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 activeTab="6"/>
  </bookViews>
  <sheets>
    <sheet name="MODEL" sheetId="5" r:id="rId1"/>
    <sheet name="PERKINS WITHOUT ATS-OPEN-50HZ" sheetId="1" r:id="rId2"/>
    <sheet name="Prices without ATS" sheetId="6" r:id="rId3"/>
    <sheet name="Prices with ATS" sheetId="7" r:id="rId4"/>
    <sheet name="AMD6PN5" sheetId="8" r:id="rId5"/>
    <sheet name="AMD9PN5" sheetId="9" r:id="rId6"/>
    <sheet name="AMD13PN5" sheetId="10" r:id="rId7"/>
    <sheet name="AMD15PN5" sheetId="11" r:id="rId8"/>
    <sheet name="AMD20PN5" sheetId="12" r:id="rId9"/>
    <sheet name="AMD30PN5" sheetId="13" r:id="rId10"/>
    <sheet name="AMD45PN5" sheetId="14" r:id="rId11"/>
    <sheet name="AMD60PN5" sheetId="15" r:id="rId12"/>
    <sheet name="AMD65PN5" sheetId="16" r:id="rId13"/>
    <sheet name="AMD80PN5" sheetId="17" r:id="rId14"/>
    <sheet name="AMD80'PN5" sheetId="18" r:id="rId15"/>
    <sheet name="AMD100PN5" sheetId="19" r:id="rId16"/>
    <sheet name="AMD135PN5" sheetId="20" r:id="rId17"/>
    <sheet name="AMD150PN5" sheetId="21" r:id="rId18"/>
    <sheet name="AMD180PN5" sheetId="22" r:id="rId19"/>
    <sheet name="AMD200PN5" sheetId="23" r:id="rId20"/>
    <sheet name="AMD200.PN5" sheetId="24" r:id="rId21"/>
    <sheet name="AMD230PN5" sheetId="25" r:id="rId22"/>
    <sheet name="AMD250PN5" sheetId="26" r:id="rId23"/>
    <sheet name="AMD275PN5" sheetId="27" r:id="rId24"/>
    <sheet name="AMD300PN5" sheetId="28" r:id="rId25"/>
    <sheet name="AMD350PN5" sheetId="29" r:id="rId26"/>
    <sheet name="AMD400PN5" sheetId="30" r:id="rId27"/>
    <sheet name="AMD450PN5" sheetId="31" r:id="rId28"/>
    <sheet name="AMD500PN5" sheetId="32" r:id="rId29"/>
    <sheet name="AMD600PN5" sheetId="33" r:id="rId30"/>
    <sheet name="AMD650PN5" sheetId="34" r:id="rId31"/>
    <sheet name="AMD750PN5" sheetId="35" r:id="rId32"/>
    <sheet name="AMD800PN5" sheetId="36" r:id="rId33"/>
    <sheet name="AMD900PN5" sheetId="37" r:id="rId34"/>
    <sheet name="AMD1000PN5" sheetId="38" r:id="rId35"/>
    <sheet name="AMD1125PN5" sheetId="39" r:id="rId36"/>
    <sheet name="AMD1250PN5" sheetId="40" r:id="rId37"/>
    <sheet name="AMD1350'PN5" sheetId="41" r:id="rId38"/>
    <sheet name="AMD1350PN5" sheetId="42" r:id="rId39"/>
    <sheet name="AMD1500PN5" sheetId="43" r:id="rId40"/>
    <sheet name="AMD1700PN5" sheetId="44" r:id="rId41"/>
    <sheet name="AMD1850PN5" sheetId="45" r:id="rId42"/>
    <sheet name="AMD1850'PN5" sheetId="46" r:id="rId43"/>
    <sheet name="AMD2000PN5" sheetId="47" r:id="rId44"/>
    <sheet name="AMD2000'PN5" sheetId="48" r:id="rId45"/>
    <sheet name="AMD2250PN5" sheetId="49" r:id="rId46"/>
    <sheet name="Sheet2" sheetId="2" r:id="rId47"/>
    <sheet name="Sheet3" sheetId="3" r:id="rId48"/>
    <sheet name="BOQ FOR AMD6PN5-OPEN Type " sheetId="50" r:id="rId49"/>
    <sheet name="EP 1900x1000x950" sheetId="51" r:id="rId50"/>
    <sheet name="EP2400x1100x1185-2700x1100x1185" sheetId="52" r:id="rId51"/>
    <sheet name="EP 3500X1200X1400" sheetId="53" r:id="rId52"/>
    <sheet name="EP 3650X1400X1500" sheetId="54" r:id="rId53"/>
    <sheet name="EP 4880X1720X1810" sheetId="55" r:id="rId54"/>
    <sheet name="EP 5400X1800X1840" sheetId="56" r:id="rId55"/>
    <sheet name="EP 4006 Series" sheetId="57" r:id="rId56"/>
    <sheet name="EP 4008" sheetId="58" r:id="rId57"/>
    <sheet name="EP 4012" sheetId="59" r:id="rId58"/>
    <sheet name="EP 4016" sheetId="60" r:id="rId59"/>
    <sheet name="Sheet1" sheetId="61" r:id="rId60"/>
    <sheet name="Sheet4" sheetId="62" r:id="rId61"/>
    <sheet name="Sheet5" sheetId="63" r:id="rId62"/>
    <sheet name="Sheet6" sheetId="64" r:id="rId63"/>
    <sheet name="Sheet7" sheetId="65" r:id="rId64"/>
    <sheet name="Sheet8" sheetId="66" r:id="rId65"/>
    <sheet name="Sheet9" sheetId="67" r:id="rId66"/>
  </sheets>
  <externalReferences>
    <externalReference r:id="rId67"/>
    <externalReference r:id="rId68"/>
    <externalReference r:id="rId69"/>
  </externalReferences>
  <definedNames>
    <definedName name="_xlnm.Print_Area" localSheetId="3">'Prices with ATS'!$B$2:$J$35</definedName>
    <definedName name="_xlnm.Print_Area" localSheetId="2">'Prices without ATS'!$A$2:$I$50</definedName>
  </definedNames>
  <calcPr calcId="144525"/>
</workbook>
</file>

<file path=xl/calcChain.xml><?xml version="1.0" encoding="utf-8"?>
<calcChain xmlns="http://schemas.openxmlformats.org/spreadsheetml/2006/main">
  <c r="G36" i="60" l="1"/>
  <c r="G34" i="60"/>
  <c r="G33" i="60"/>
  <c r="G32" i="60"/>
  <c r="G31" i="60"/>
  <c r="G30" i="60"/>
  <c r="G29" i="60"/>
  <c r="G28" i="60"/>
  <c r="I25" i="60"/>
  <c r="I24" i="60"/>
  <c r="I23" i="60"/>
  <c r="I22" i="60"/>
  <c r="I21" i="60"/>
  <c r="H21" i="60"/>
  <c r="I20" i="60"/>
  <c r="H20" i="60"/>
  <c r="I19" i="60"/>
  <c r="I18" i="60"/>
  <c r="I17" i="60"/>
  <c r="H17" i="60"/>
  <c r="I16" i="60"/>
  <c r="I15" i="60"/>
  <c r="I14" i="60"/>
  <c r="I13" i="60"/>
  <c r="I12" i="60"/>
  <c r="I11" i="60"/>
  <c r="H11" i="60"/>
  <c r="I10" i="60"/>
  <c r="H10" i="60"/>
  <c r="I9" i="60"/>
  <c r="H9" i="60"/>
  <c r="I8" i="60"/>
  <c r="H8" i="60"/>
  <c r="I7" i="60"/>
  <c r="H7" i="60"/>
  <c r="I6" i="60"/>
  <c r="G36" i="59"/>
  <c r="G34" i="59"/>
  <c r="G33" i="59"/>
  <c r="G32" i="59"/>
  <c r="G31" i="59"/>
  <c r="G30" i="59"/>
  <c r="G29" i="59"/>
  <c r="G28" i="59"/>
  <c r="I25" i="59"/>
  <c r="I24" i="59"/>
  <c r="I23" i="59"/>
  <c r="I22" i="59"/>
  <c r="I21" i="59"/>
  <c r="H21" i="59"/>
  <c r="I20" i="59"/>
  <c r="H20" i="59"/>
  <c r="I19" i="59"/>
  <c r="I18" i="59"/>
  <c r="I17" i="59"/>
  <c r="H17" i="59"/>
  <c r="I16" i="59"/>
  <c r="I15" i="59"/>
  <c r="I14" i="59"/>
  <c r="I13" i="59"/>
  <c r="I12" i="59"/>
  <c r="I11" i="59"/>
  <c r="H11" i="59"/>
  <c r="I10" i="59"/>
  <c r="H10" i="59"/>
  <c r="I9" i="59"/>
  <c r="H9" i="59"/>
  <c r="I8" i="59"/>
  <c r="H8" i="59"/>
  <c r="I7" i="59"/>
  <c r="H7" i="59"/>
  <c r="I6" i="59"/>
  <c r="G36" i="58"/>
  <c r="G34" i="58"/>
  <c r="G33" i="58"/>
  <c r="G32" i="58"/>
  <c r="G31" i="58"/>
  <c r="G30" i="58"/>
  <c r="G29" i="58"/>
  <c r="G28" i="58"/>
  <c r="I25" i="58"/>
  <c r="I24" i="58"/>
  <c r="I23" i="58"/>
  <c r="I22" i="58"/>
  <c r="I21" i="58"/>
  <c r="H21" i="58"/>
  <c r="I20" i="58"/>
  <c r="H20" i="58"/>
  <c r="I19" i="58"/>
  <c r="I18" i="58"/>
  <c r="I17" i="58"/>
  <c r="H17" i="58"/>
  <c r="I16" i="58"/>
  <c r="I15" i="58"/>
  <c r="I14" i="58"/>
  <c r="I13" i="58"/>
  <c r="I12" i="58"/>
  <c r="I11" i="58"/>
  <c r="H11" i="58"/>
  <c r="I10" i="58"/>
  <c r="H10" i="58"/>
  <c r="I9" i="58"/>
  <c r="H9" i="58"/>
  <c r="I8" i="58"/>
  <c r="H8" i="58"/>
  <c r="I7" i="58"/>
  <c r="H7" i="58"/>
  <c r="I6" i="58"/>
  <c r="G36" i="57"/>
  <c r="G34" i="57"/>
  <c r="G33" i="57"/>
  <c r="G32" i="57"/>
  <c r="G31" i="57"/>
  <c r="G30" i="57"/>
  <c r="G29" i="57"/>
  <c r="G28" i="57"/>
  <c r="I25" i="57"/>
  <c r="I24" i="57"/>
  <c r="I23" i="57"/>
  <c r="I22" i="57"/>
  <c r="I21" i="57"/>
  <c r="H21" i="57"/>
  <c r="I20" i="57"/>
  <c r="H20" i="57"/>
  <c r="I19" i="57"/>
  <c r="I18" i="57"/>
  <c r="I17" i="57"/>
  <c r="H17" i="57"/>
  <c r="I16" i="57"/>
  <c r="I15" i="57"/>
  <c r="I14" i="57"/>
  <c r="I13" i="57"/>
  <c r="I12" i="57"/>
  <c r="I11" i="57"/>
  <c r="H11" i="57"/>
  <c r="I10" i="57"/>
  <c r="H10" i="57"/>
  <c r="I9" i="57"/>
  <c r="H9" i="57"/>
  <c r="I8" i="57"/>
  <c r="H8" i="57"/>
  <c r="I7" i="57"/>
  <c r="H7" i="57"/>
  <c r="I6" i="57"/>
  <c r="G32" i="56"/>
  <c r="G30" i="56"/>
  <c r="G29" i="56"/>
  <c r="G28" i="56"/>
  <c r="G27" i="56"/>
  <c r="G26" i="56"/>
  <c r="G25" i="56"/>
  <c r="G24" i="56"/>
  <c r="I21" i="56"/>
  <c r="I20" i="56"/>
  <c r="I19" i="56"/>
  <c r="I18" i="56"/>
  <c r="I17" i="56"/>
  <c r="H17" i="56"/>
  <c r="I16" i="56"/>
  <c r="H16" i="56"/>
  <c r="I15" i="56"/>
  <c r="H15" i="56"/>
  <c r="I14" i="56"/>
  <c r="I13" i="56"/>
  <c r="I12" i="56"/>
  <c r="I11" i="56"/>
  <c r="I10" i="56"/>
  <c r="I9" i="56"/>
  <c r="H9" i="56"/>
  <c r="I8" i="56"/>
  <c r="H8" i="56"/>
  <c r="I7" i="56"/>
  <c r="H7" i="56"/>
  <c r="I6" i="56"/>
  <c r="G31" i="55"/>
  <c r="G29" i="55"/>
  <c r="G28" i="55"/>
  <c r="G27" i="55"/>
  <c r="G26" i="55"/>
  <c r="G25" i="55"/>
  <c r="G24" i="55"/>
  <c r="G23" i="55"/>
  <c r="I20" i="55"/>
  <c r="I19" i="55"/>
  <c r="I18" i="55"/>
  <c r="I17" i="55"/>
  <c r="H17" i="55"/>
  <c r="I16" i="55"/>
  <c r="H16" i="55"/>
  <c r="I15" i="55"/>
  <c r="H15" i="55"/>
  <c r="I14" i="55"/>
  <c r="I13" i="55"/>
  <c r="I12" i="55"/>
  <c r="I11" i="55"/>
  <c r="I10" i="55"/>
  <c r="I9" i="55"/>
  <c r="H9" i="55"/>
  <c r="I8" i="55"/>
  <c r="H8" i="55"/>
  <c r="I7" i="55"/>
  <c r="H7" i="55"/>
  <c r="I6" i="55"/>
  <c r="G31" i="54"/>
  <c r="G29" i="54"/>
  <c r="G28" i="54"/>
  <c r="G27" i="54"/>
  <c r="G26" i="54"/>
  <c r="G25" i="54"/>
  <c r="G24" i="54"/>
  <c r="G23" i="54"/>
  <c r="I20" i="54"/>
  <c r="I19" i="54"/>
  <c r="I18" i="54"/>
  <c r="H18" i="54"/>
  <c r="I17" i="54"/>
  <c r="H17" i="54"/>
  <c r="I16" i="54"/>
  <c r="H16" i="54"/>
  <c r="I15" i="54"/>
  <c r="H15" i="54"/>
  <c r="I14" i="54"/>
  <c r="I13" i="54"/>
  <c r="I12" i="54"/>
  <c r="I11" i="54"/>
  <c r="I10" i="54"/>
  <c r="I9" i="54"/>
  <c r="H9" i="54"/>
  <c r="I8" i="54"/>
  <c r="H8" i="54"/>
  <c r="I7" i="54"/>
  <c r="H7" i="54"/>
  <c r="I6" i="54"/>
  <c r="G35" i="53"/>
  <c r="G33" i="53"/>
  <c r="G32" i="53"/>
  <c r="G31" i="53"/>
  <c r="G30" i="53"/>
  <c r="G29" i="53"/>
  <c r="G28" i="53"/>
  <c r="G27" i="53"/>
  <c r="I24" i="53"/>
  <c r="I23" i="53"/>
  <c r="H23" i="53"/>
  <c r="I22" i="53"/>
  <c r="I21" i="53"/>
  <c r="I20" i="53"/>
  <c r="H20" i="53"/>
  <c r="I19" i="53"/>
  <c r="H19" i="53"/>
  <c r="I18" i="53"/>
  <c r="I17" i="53"/>
  <c r="I16" i="53"/>
  <c r="I15" i="53"/>
  <c r="I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I6" i="53"/>
  <c r="G36" i="52"/>
  <c r="G34" i="52"/>
  <c r="G33" i="52"/>
  <c r="G32" i="52"/>
  <c r="G31" i="52"/>
  <c r="G30" i="52"/>
  <c r="G29" i="52"/>
  <c r="G28" i="52"/>
  <c r="I25" i="52"/>
  <c r="I24" i="52"/>
  <c r="H24" i="52"/>
  <c r="I23" i="52"/>
  <c r="I22" i="52"/>
  <c r="I21" i="52"/>
  <c r="H21" i="52"/>
  <c r="I20" i="52"/>
  <c r="H20" i="52"/>
  <c r="I19" i="52"/>
  <c r="I18" i="52"/>
  <c r="I17" i="52"/>
  <c r="I16" i="52"/>
  <c r="I15" i="52"/>
  <c r="I14" i="52"/>
  <c r="H14" i="52"/>
  <c r="I13" i="52"/>
  <c r="H13" i="52"/>
  <c r="I12" i="52"/>
  <c r="I11" i="52"/>
  <c r="H11" i="52"/>
  <c r="I10" i="52"/>
  <c r="H10" i="52"/>
  <c r="I9" i="52"/>
  <c r="H9" i="52"/>
  <c r="I8" i="52"/>
  <c r="H8" i="52"/>
  <c r="I7" i="52"/>
  <c r="I6" i="52"/>
  <c r="G57" i="51"/>
  <c r="G54" i="51"/>
  <c r="G53" i="51"/>
  <c r="G52" i="51"/>
  <c r="G51" i="51"/>
  <c r="G50" i="51"/>
  <c r="G49" i="51"/>
  <c r="G48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I22" i="51"/>
  <c r="I21" i="51"/>
  <c r="H21" i="51"/>
  <c r="I20" i="51"/>
  <c r="I19" i="51"/>
  <c r="H19" i="51"/>
  <c r="I18" i="51"/>
  <c r="H18" i="51"/>
  <c r="I17" i="51"/>
  <c r="I16" i="51"/>
  <c r="I15" i="51"/>
  <c r="I14" i="51"/>
  <c r="I13" i="51"/>
  <c r="I12" i="51"/>
  <c r="H12" i="51"/>
  <c r="I11" i="51"/>
  <c r="H11" i="51"/>
  <c r="I10" i="51"/>
  <c r="I9" i="51"/>
  <c r="H9" i="51"/>
  <c r="I8" i="51"/>
  <c r="H8" i="51"/>
  <c r="I7" i="51"/>
  <c r="H7" i="51"/>
  <c r="I6" i="51"/>
  <c r="G227" i="50"/>
  <c r="G226" i="50"/>
  <c r="G225" i="50"/>
  <c r="G224" i="50"/>
  <c r="G223" i="50"/>
  <c r="G222" i="50"/>
  <c r="G221" i="50"/>
  <c r="G220" i="50"/>
  <c r="G219" i="50"/>
  <c r="G218" i="50"/>
  <c r="G217" i="50"/>
  <c r="G216" i="50"/>
  <c r="G215" i="50"/>
  <c r="G214" i="50"/>
  <c r="G213" i="50"/>
  <c r="G212" i="50"/>
  <c r="G211" i="50"/>
  <c r="G210" i="50"/>
  <c r="G209" i="50"/>
  <c r="G167" i="50"/>
  <c r="G166" i="50"/>
  <c r="G165" i="50"/>
  <c r="G164" i="50"/>
  <c r="G163" i="50"/>
  <c r="G162" i="50"/>
  <c r="G161" i="50"/>
  <c r="G160" i="50"/>
  <c r="G159" i="50"/>
  <c r="G158" i="50"/>
  <c r="G157" i="50"/>
  <c r="G156" i="50"/>
  <c r="G155" i="50"/>
  <c r="G154" i="50"/>
  <c r="G153" i="50"/>
  <c r="G151" i="50"/>
  <c r="G150" i="50"/>
  <c r="G149" i="50"/>
  <c r="G148" i="50"/>
  <c r="G147" i="50"/>
  <c r="G146" i="50"/>
  <c r="G145" i="50"/>
  <c r="G144" i="50"/>
  <c r="G143" i="50"/>
  <c r="G142" i="50"/>
  <c r="F142" i="50"/>
  <c r="G141" i="50"/>
  <c r="F141" i="50"/>
  <c r="G140" i="50"/>
  <c r="G139" i="50"/>
  <c r="G137" i="50"/>
  <c r="G136" i="50"/>
  <c r="G135" i="50"/>
  <c r="G134" i="50"/>
  <c r="G133" i="50"/>
  <c r="G132" i="50"/>
  <c r="G131" i="50"/>
  <c r="G130" i="50"/>
  <c r="G129" i="50"/>
  <c r="G128" i="50"/>
  <c r="G127" i="50"/>
  <c r="G126" i="50"/>
  <c r="D124" i="50"/>
  <c r="G123" i="50"/>
  <c r="F123" i="50"/>
  <c r="D123" i="50"/>
  <c r="G122" i="50"/>
  <c r="F122" i="50"/>
  <c r="D122" i="50"/>
  <c r="G121" i="50"/>
  <c r="F121" i="50"/>
  <c r="D121" i="50"/>
  <c r="G119" i="50"/>
  <c r="G118" i="50"/>
  <c r="G117" i="50"/>
  <c r="G116" i="50"/>
  <c r="G115" i="50"/>
  <c r="G114" i="50"/>
  <c r="G113" i="50"/>
  <c r="G112" i="50"/>
  <c r="G111" i="50"/>
  <c r="G110" i="50"/>
  <c r="G109" i="50"/>
  <c r="G108" i="50"/>
  <c r="G107" i="50"/>
  <c r="G106" i="50"/>
  <c r="G105" i="50"/>
  <c r="G104" i="50"/>
  <c r="G103" i="50"/>
  <c r="G102" i="50"/>
  <c r="G101" i="50"/>
  <c r="G99" i="50"/>
  <c r="F99" i="50"/>
  <c r="D99" i="50"/>
  <c r="G98" i="50"/>
  <c r="F98" i="50"/>
  <c r="D98" i="50"/>
  <c r="G97" i="50"/>
  <c r="F97" i="50"/>
  <c r="D97" i="50"/>
  <c r="G96" i="50"/>
  <c r="F96" i="50"/>
  <c r="D96" i="50"/>
  <c r="D95" i="50"/>
  <c r="D94" i="50"/>
  <c r="D93" i="50"/>
  <c r="G92" i="50"/>
  <c r="F92" i="50"/>
  <c r="D92" i="50"/>
  <c r="G91" i="50"/>
  <c r="F91" i="50"/>
  <c r="D91" i="50"/>
  <c r="G90" i="50"/>
  <c r="F90" i="50"/>
  <c r="D90" i="50"/>
  <c r="G89" i="50"/>
  <c r="F89" i="50"/>
  <c r="D89" i="50"/>
  <c r="G88" i="50"/>
  <c r="F88" i="50"/>
  <c r="D88" i="50"/>
  <c r="G87" i="50"/>
  <c r="F87" i="50"/>
  <c r="D87" i="50"/>
  <c r="G86" i="50"/>
  <c r="F86" i="50"/>
  <c r="D86" i="50"/>
  <c r="G85" i="50"/>
  <c r="F85" i="50"/>
  <c r="D85" i="50"/>
  <c r="G84" i="50"/>
  <c r="F84" i="50"/>
  <c r="D84" i="50"/>
  <c r="G83" i="50"/>
  <c r="F83" i="50"/>
  <c r="D83" i="50"/>
  <c r="G82" i="50"/>
  <c r="F82" i="50"/>
  <c r="D82" i="50"/>
  <c r="G81" i="50"/>
  <c r="F81" i="50"/>
  <c r="D81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4" i="50"/>
  <c r="F64" i="50"/>
  <c r="D64" i="50"/>
  <c r="D63" i="50"/>
  <c r="G62" i="50"/>
  <c r="F62" i="50"/>
  <c r="D62" i="50"/>
  <c r="G61" i="50"/>
  <c r="F61" i="50"/>
  <c r="D61" i="50"/>
  <c r="G60" i="50"/>
  <c r="F60" i="50"/>
  <c r="D60" i="50"/>
  <c r="G59" i="50"/>
  <c r="F59" i="50"/>
  <c r="D59" i="50"/>
  <c r="G58" i="50"/>
  <c r="F58" i="50"/>
  <c r="D58" i="50"/>
  <c r="G57" i="50"/>
  <c r="F57" i="50"/>
  <c r="D57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18" i="50"/>
  <c r="G17" i="50"/>
  <c r="G16" i="50"/>
  <c r="G15" i="50"/>
  <c r="F15" i="50"/>
  <c r="G14" i="50"/>
  <c r="G13" i="50"/>
  <c r="G12" i="50"/>
  <c r="G11" i="50"/>
  <c r="G10" i="50"/>
  <c r="G9" i="50"/>
  <c r="F9" i="50"/>
  <c r="G8" i="50"/>
  <c r="G7" i="50"/>
  <c r="G6" i="50"/>
  <c r="F6" i="50"/>
  <c r="G5" i="50"/>
  <c r="F5" i="50"/>
  <c r="G4" i="50"/>
  <c r="F4" i="50"/>
  <c r="G3" i="50"/>
  <c r="H2" i="50"/>
  <c r="G2" i="50"/>
  <c r="G27" i="49"/>
  <c r="G26" i="49"/>
  <c r="F26" i="49"/>
  <c r="G25" i="49"/>
  <c r="F25" i="49"/>
  <c r="G24" i="49"/>
  <c r="F24" i="49"/>
  <c r="G23" i="49"/>
  <c r="F23" i="49"/>
  <c r="G22" i="49"/>
  <c r="G21" i="49"/>
  <c r="G20" i="49"/>
  <c r="G19" i="49"/>
  <c r="G18" i="49"/>
  <c r="F18" i="49"/>
  <c r="G17" i="49"/>
  <c r="G16" i="49"/>
  <c r="G15" i="49"/>
  <c r="G14" i="49"/>
  <c r="G13" i="49"/>
  <c r="G12" i="49"/>
  <c r="G11" i="49"/>
  <c r="G10" i="49"/>
  <c r="G9" i="49"/>
  <c r="G8" i="49"/>
  <c r="F8" i="49"/>
  <c r="G7" i="49"/>
  <c r="F7" i="49"/>
  <c r="G6" i="49"/>
  <c r="F6" i="49"/>
  <c r="H4" i="49"/>
  <c r="G4" i="49"/>
  <c r="F4" i="49"/>
  <c r="G27" i="48"/>
  <c r="G26" i="48"/>
  <c r="F26" i="48"/>
  <c r="G25" i="48"/>
  <c r="F25" i="48"/>
  <c r="G24" i="48"/>
  <c r="F24" i="48"/>
  <c r="G23" i="48"/>
  <c r="F23" i="48"/>
  <c r="G22" i="48"/>
  <c r="G21" i="48"/>
  <c r="G20" i="48"/>
  <c r="G19" i="48"/>
  <c r="G18" i="48"/>
  <c r="F18" i="48"/>
  <c r="G17" i="48"/>
  <c r="G16" i="48"/>
  <c r="G15" i="48"/>
  <c r="G14" i="48"/>
  <c r="G13" i="48"/>
  <c r="G12" i="48"/>
  <c r="G11" i="48"/>
  <c r="G10" i="48"/>
  <c r="G9" i="48"/>
  <c r="G8" i="48"/>
  <c r="F8" i="48"/>
  <c r="G7" i="48"/>
  <c r="F7" i="48"/>
  <c r="G6" i="48"/>
  <c r="F6" i="48"/>
  <c r="H4" i="48"/>
  <c r="G4" i="48"/>
  <c r="F4" i="48"/>
  <c r="G27" i="47"/>
  <c r="G26" i="47"/>
  <c r="F26" i="47"/>
  <c r="G25" i="47"/>
  <c r="F25" i="47"/>
  <c r="G24" i="47"/>
  <c r="F24" i="47"/>
  <c r="G23" i="47"/>
  <c r="F23" i="47"/>
  <c r="G22" i="47"/>
  <c r="G21" i="47"/>
  <c r="G20" i="47"/>
  <c r="G19" i="47"/>
  <c r="G18" i="47"/>
  <c r="F18" i="47"/>
  <c r="G17" i="47"/>
  <c r="G16" i="47"/>
  <c r="G15" i="47"/>
  <c r="G14" i="47"/>
  <c r="G13" i="47"/>
  <c r="G12" i="47"/>
  <c r="G11" i="47"/>
  <c r="G10" i="47"/>
  <c r="G9" i="47"/>
  <c r="G8" i="47"/>
  <c r="F8" i="47"/>
  <c r="G7" i="47"/>
  <c r="F7" i="47"/>
  <c r="G6" i="47"/>
  <c r="F6" i="47"/>
  <c r="H4" i="47"/>
  <c r="G4" i="47"/>
  <c r="F4" i="47"/>
  <c r="G27" i="46"/>
  <c r="G26" i="46"/>
  <c r="F26" i="46"/>
  <c r="G25" i="46"/>
  <c r="F25" i="46"/>
  <c r="G24" i="46"/>
  <c r="F24" i="46"/>
  <c r="G23" i="46"/>
  <c r="F23" i="46"/>
  <c r="G22" i="46"/>
  <c r="G21" i="46"/>
  <c r="G20" i="46"/>
  <c r="G19" i="46"/>
  <c r="G18" i="46"/>
  <c r="F18" i="46"/>
  <c r="G17" i="46"/>
  <c r="G16" i="46"/>
  <c r="G15" i="46"/>
  <c r="G14" i="46"/>
  <c r="G13" i="46"/>
  <c r="G12" i="46"/>
  <c r="G11" i="46"/>
  <c r="G10" i="46"/>
  <c r="G9" i="46"/>
  <c r="G8" i="46"/>
  <c r="F8" i="46"/>
  <c r="G7" i="46"/>
  <c r="F7" i="46"/>
  <c r="G6" i="46"/>
  <c r="F6" i="46"/>
  <c r="H4" i="46"/>
  <c r="G4" i="46"/>
  <c r="F4" i="46"/>
  <c r="G27" i="45"/>
  <c r="G26" i="45"/>
  <c r="F26" i="45"/>
  <c r="G25" i="45"/>
  <c r="F25" i="45"/>
  <c r="G24" i="45"/>
  <c r="F24" i="45"/>
  <c r="G23" i="45"/>
  <c r="F23" i="45"/>
  <c r="G22" i="45"/>
  <c r="G21" i="45"/>
  <c r="G20" i="45"/>
  <c r="G19" i="45"/>
  <c r="G18" i="45"/>
  <c r="F18" i="45"/>
  <c r="G17" i="45"/>
  <c r="G16" i="45"/>
  <c r="G15" i="45"/>
  <c r="G14" i="45"/>
  <c r="G13" i="45"/>
  <c r="G12" i="45"/>
  <c r="G11" i="45"/>
  <c r="G10" i="45"/>
  <c r="G9" i="45"/>
  <c r="G8" i="45"/>
  <c r="F8" i="45"/>
  <c r="G7" i="45"/>
  <c r="F7" i="45"/>
  <c r="G6" i="45"/>
  <c r="F6" i="45"/>
  <c r="H4" i="45"/>
  <c r="G4" i="45"/>
  <c r="F4" i="45"/>
  <c r="G27" i="44"/>
  <c r="G26" i="44"/>
  <c r="F26" i="44"/>
  <c r="G25" i="44"/>
  <c r="F25" i="44"/>
  <c r="G24" i="44"/>
  <c r="F24" i="44"/>
  <c r="G23" i="44"/>
  <c r="F23" i="44"/>
  <c r="G22" i="44"/>
  <c r="G21" i="44"/>
  <c r="G20" i="44"/>
  <c r="G19" i="44"/>
  <c r="G18" i="44"/>
  <c r="F18" i="44"/>
  <c r="G17" i="44"/>
  <c r="G16" i="44"/>
  <c r="G15" i="44"/>
  <c r="G14" i="44"/>
  <c r="G13" i="44"/>
  <c r="G12" i="44"/>
  <c r="G11" i="44"/>
  <c r="F11" i="44"/>
  <c r="G10" i="44"/>
  <c r="G9" i="44"/>
  <c r="G8" i="44"/>
  <c r="F8" i="44"/>
  <c r="G7" i="44"/>
  <c r="F7" i="44"/>
  <c r="G6" i="44"/>
  <c r="F6" i="44"/>
  <c r="H4" i="44"/>
  <c r="G4" i="44"/>
  <c r="F4" i="44"/>
  <c r="G27" i="43"/>
  <c r="G26" i="43"/>
  <c r="F26" i="43"/>
  <c r="G25" i="43"/>
  <c r="F25" i="43"/>
  <c r="G24" i="43"/>
  <c r="F24" i="43"/>
  <c r="G23" i="43"/>
  <c r="F23" i="43"/>
  <c r="G22" i="43"/>
  <c r="G21" i="43"/>
  <c r="G20" i="43"/>
  <c r="G19" i="43"/>
  <c r="G18" i="43"/>
  <c r="F18" i="43"/>
  <c r="G17" i="43"/>
  <c r="G16" i="43"/>
  <c r="G15" i="43"/>
  <c r="G14" i="43"/>
  <c r="G13" i="43"/>
  <c r="G12" i="43"/>
  <c r="G11" i="43"/>
  <c r="F11" i="43"/>
  <c r="G10" i="43"/>
  <c r="G9" i="43"/>
  <c r="G8" i="43"/>
  <c r="F8" i="43"/>
  <c r="G7" i="43"/>
  <c r="F7" i="43"/>
  <c r="G6" i="43"/>
  <c r="F6" i="43"/>
  <c r="H4" i="43"/>
  <c r="G4" i="43"/>
  <c r="F4" i="43"/>
  <c r="G27" i="42"/>
  <c r="G26" i="42"/>
  <c r="F26" i="42"/>
  <c r="G25" i="42"/>
  <c r="F25" i="42"/>
  <c r="G24" i="42"/>
  <c r="F24" i="42"/>
  <c r="G23" i="42"/>
  <c r="F23" i="42"/>
  <c r="G22" i="42"/>
  <c r="G21" i="42"/>
  <c r="G20" i="42"/>
  <c r="G19" i="42"/>
  <c r="G18" i="42"/>
  <c r="F18" i="42"/>
  <c r="G17" i="42"/>
  <c r="G16" i="42"/>
  <c r="G15" i="42"/>
  <c r="G14" i="42"/>
  <c r="G13" i="42"/>
  <c r="G12" i="42"/>
  <c r="G11" i="42"/>
  <c r="F11" i="42"/>
  <c r="G10" i="42"/>
  <c r="G9" i="42"/>
  <c r="G8" i="42"/>
  <c r="F8" i="42"/>
  <c r="G7" i="42"/>
  <c r="F7" i="42"/>
  <c r="G6" i="42"/>
  <c r="F6" i="42"/>
  <c r="H4" i="42"/>
  <c r="G4" i="42"/>
  <c r="F4" i="42"/>
  <c r="G27" i="41"/>
  <c r="G26" i="41"/>
  <c r="F26" i="41"/>
  <c r="G25" i="41"/>
  <c r="F25" i="41"/>
  <c r="G24" i="41"/>
  <c r="F24" i="41"/>
  <c r="G23" i="41"/>
  <c r="F23" i="41"/>
  <c r="G22" i="41"/>
  <c r="G21" i="41"/>
  <c r="G20" i="41"/>
  <c r="G19" i="41"/>
  <c r="G18" i="41"/>
  <c r="F18" i="41"/>
  <c r="G17" i="41"/>
  <c r="G16" i="41"/>
  <c r="G15" i="41"/>
  <c r="G14" i="41"/>
  <c r="G13" i="41"/>
  <c r="G12" i="41"/>
  <c r="G11" i="41"/>
  <c r="F11" i="41"/>
  <c r="G10" i="41"/>
  <c r="G9" i="41"/>
  <c r="G8" i="41"/>
  <c r="F8" i="41"/>
  <c r="G7" i="41"/>
  <c r="F7" i="41"/>
  <c r="G6" i="41"/>
  <c r="F6" i="41"/>
  <c r="H4" i="41"/>
  <c r="G4" i="41"/>
  <c r="F4" i="41"/>
  <c r="G27" i="40"/>
  <c r="G26" i="40"/>
  <c r="F26" i="40"/>
  <c r="G25" i="40"/>
  <c r="F25" i="40"/>
  <c r="G24" i="40"/>
  <c r="F24" i="40"/>
  <c r="G23" i="40"/>
  <c r="F23" i="40"/>
  <c r="G22" i="40"/>
  <c r="G21" i="40"/>
  <c r="G20" i="40"/>
  <c r="G19" i="40"/>
  <c r="G18" i="40"/>
  <c r="F18" i="40"/>
  <c r="G17" i="40"/>
  <c r="G16" i="40"/>
  <c r="G15" i="40"/>
  <c r="G14" i="40"/>
  <c r="G13" i="40"/>
  <c r="G12" i="40"/>
  <c r="G11" i="40"/>
  <c r="F11" i="40"/>
  <c r="G10" i="40"/>
  <c r="G9" i="40"/>
  <c r="G8" i="40"/>
  <c r="F8" i="40"/>
  <c r="G7" i="40"/>
  <c r="F7" i="40"/>
  <c r="G6" i="40"/>
  <c r="F6" i="40"/>
  <c r="H4" i="40"/>
  <c r="G4" i="40"/>
  <c r="F4" i="40"/>
  <c r="G27" i="39"/>
  <c r="G26" i="39"/>
  <c r="F26" i="39"/>
  <c r="G25" i="39"/>
  <c r="F25" i="39"/>
  <c r="G24" i="39"/>
  <c r="F24" i="39"/>
  <c r="G23" i="39"/>
  <c r="F23" i="39"/>
  <c r="G22" i="39"/>
  <c r="G21" i="39"/>
  <c r="G20" i="39"/>
  <c r="G19" i="39"/>
  <c r="G18" i="39"/>
  <c r="F18" i="39"/>
  <c r="G17" i="39"/>
  <c r="G16" i="39"/>
  <c r="G15" i="39"/>
  <c r="G14" i="39"/>
  <c r="G13" i="39"/>
  <c r="G12" i="39"/>
  <c r="G11" i="39"/>
  <c r="F11" i="39"/>
  <c r="G10" i="39"/>
  <c r="G9" i="39"/>
  <c r="G8" i="39"/>
  <c r="F8" i="39"/>
  <c r="G7" i="39"/>
  <c r="F7" i="39"/>
  <c r="G6" i="39"/>
  <c r="F6" i="39"/>
  <c r="H4" i="39"/>
  <c r="G4" i="39"/>
  <c r="F4" i="39"/>
  <c r="G27" i="38"/>
  <c r="G26" i="38"/>
  <c r="F26" i="38"/>
  <c r="G25" i="38"/>
  <c r="F25" i="38"/>
  <c r="G24" i="38"/>
  <c r="F24" i="38"/>
  <c r="G23" i="38"/>
  <c r="F23" i="38"/>
  <c r="G22" i="38"/>
  <c r="G21" i="38"/>
  <c r="G20" i="38"/>
  <c r="G19" i="38"/>
  <c r="G18" i="38"/>
  <c r="F18" i="38"/>
  <c r="G17" i="38"/>
  <c r="G16" i="38"/>
  <c r="G15" i="38"/>
  <c r="G14" i="38"/>
  <c r="G13" i="38"/>
  <c r="G12" i="38"/>
  <c r="G11" i="38"/>
  <c r="F11" i="38"/>
  <c r="G10" i="38"/>
  <c r="G9" i="38"/>
  <c r="G8" i="38"/>
  <c r="F8" i="38"/>
  <c r="G7" i="38"/>
  <c r="F7" i="38"/>
  <c r="G6" i="38"/>
  <c r="F6" i="38"/>
  <c r="H4" i="38"/>
  <c r="G4" i="38"/>
  <c r="F4" i="38"/>
  <c r="G27" i="37"/>
  <c r="G26" i="37"/>
  <c r="F26" i="37"/>
  <c r="G25" i="37"/>
  <c r="F25" i="37"/>
  <c r="G24" i="37"/>
  <c r="F24" i="37"/>
  <c r="G23" i="37"/>
  <c r="F23" i="37"/>
  <c r="G22" i="37"/>
  <c r="G21" i="37"/>
  <c r="G20" i="37"/>
  <c r="G19" i="37"/>
  <c r="G18" i="37"/>
  <c r="F18" i="37"/>
  <c r="G17" i="37"/>
  <c r="G16" i="37"/>
  <c r="G15" i="37"/>
  <c r="G14" i="37"/>
  <c r="G13" i="37"/>
  <c r="G12" i="37"/>
  <c r="G11" i="37"/>
  <c r="F11" i="37"/>
  <c r="G10" i="37"/>
  <c r="G9" i="37"/>
  <c r="G8" i="37"/>
  <c r="F8" i="37"/>
  <c r="G7" i="37"/>
  <c r="F7" i="37"/>
  <c r="G6" i="37"/>
  <c r="F6" i="37"/>
  <c r="H4" i="37"/>
  <c r="G4" i="37"/>
  <c r="F4" i="37"/>
  <c r="G27" i="36"/>
  <c r="G26" i="36"/>
  <c r="F26" i="36"/>
  <c r="G25" i="36"/>
  <c r="F25" i="36"/>
  <c r="G24" i="36"/>
  <c r="F24" i="36"/>
  <c r="G23" i="36"/>
  <c r="F23" i="36"/>
  <c r="G22" i="36"/>
  <c r="G21" i="36"/>
  <c r="G20" i="36"/>
  <c r="G19" i="36"/>
  <c r="G18" i="36"/>
  <c r="F18" i="36"/>
  <c r="G17" i="36"/>
  <c r="G16" i="36"/>
  <c r="G15" i="36"/>
  <c r="G14" i="36"/>
  <c r="G13" i="36"/>
  <c r="G12" i="36"/>
  <c r="G11" i="36"/>
  <c r="F11" i="36"/>
  <c r="G10" i="36"/>
  <c r="G9" i="36"/>
  <c r="G8" i="36"/>
  <c r="F8" i="36"/>
  <c r="G7" i="36"/>
  <c r="F7" i="36"/>
  <c r="G6" i="36"/>
  <c r="F6" i="36"/>
  <c r="H4" i="36"/>
  <c r="G4" i="36"/>
  <c r="F4" i="36"/>
  <c r="G27" i="35"/>
  <c r="G26" i="35"/>
  <c r="F26" i="35"/>
  <c r="G25" i="35"/>
  <c r="F25" i="35"/>
  <c r="G24" i="35"/>
  <c r="F24" i="35"/>
  <c r="G23" i="35"/>
  <c r="F23" i="35"/>
  <c r="G22" i="35"/>
  <c r="G21" i="35"/>
  <c r="G20" i="35"/>
  <c r="G19" i="35"/>
  <c r="G18" i="35"/>
  <c r="F18" i="35"/>
  <c r="G17" i="35"/>
  <c r="G16" i="35"/>
  <c r="G15" i="35"/>
  <c r="G14" i="35"/>
  <c r="G13" i="35"/>
  <c r="G12" i="35"/>
  <c r="G11" i="35"/>
  <c r="F11" i="35"/>
  <c r="G10" i="35"/>
  <c r="G9" i="35"/>
  <c r="G8" i="35"/>
  <c r="F8" i="35"/>
  <c r="G7" i="35"/>
  <c r="F7" i="35"/>
  <c r="G6" i="35"/>
  <c r="F6" i="35"/>
  <c r="H4" i="35"/>
  <c r="G4" i="35"/>
  <c r="F4" i="35"/>
  <c r="E51" i="34"/>
  <c r="G48" i="34"/>
  <c r="G47" i="34"/>
  <c r="G46" i="34"/>
  <c r="G45" i="34"/>
  <c r="G44" i="34"/>
  <c r="G43" i="34"/>
  <c r="G42" i="34"/>
  <c r="G41" i="34"/>
  <c r="G40" i="34"/>
  <c r="G39" i="34"/>
  <c r="G38" i="34"/>
  <c r="G37" i="34"/>
  <c r="G36" i="34"/>
  <c r="F36" i="34"/>
  <c r="G35" i="34"/>
  <c r="F35" i="34"/>
  <c r="G34" i="34"/>
  <c r="G33" i="34"/>
  <c r="G32" i="34"/>
  <c r="G27" i="34"/>
  <c r="G26" i="34"/>
  <c r="F26" i="34"/>
  <c r="G25" i="34"/>
  <c r="F25" i="34"/>
  <c r="G24" i="34"/>
  <c r="F24" i="34"/>
  <c r="G23" i="34"/>
  <c r="F23" i="34"/>
  <c r="G22" i="34"/>
  <c r="G21" i="34"/>
  <c r="G20" i="34"/>
  <c r="G19" i="34"/>
  <c r="G18" i="34"/>
  <c r="F18" i="34"/>
  <c r="G17" i="34"/>
  <c r="G16" i="34"/>
  <c r="G15" i="34"/>
  <c r="G14" i="34"/>
  <c r="G13" i="34"/>
  <c r="G12" i="34"/>
  <c r="G11" i="34"/>
  <c r="F11" i="34"/>
  <c r="G10" i="34"/>
  <c r="F10" i="34"/>
  <c r="G9" i="34"/>
  <c r="G8" i="34"/>
  <c r="G7" i="34"/>
  <c r="F7" i="34"/>
  <c r="G6" i="34"/>
  <c r="F6" i="34"/>
  <c r="G5" i="34"/>
  <c r="F5" i="34"/>
  <c r="H3" i="34"/>
  <c r="G3" i="34"/>
  <c r="F3" i="34"/>
  <c r="E51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F36" i="33"/>
  <c r="G35" i="33"/>
  <c r="F35" i="33"/>
  <c r="G34" i="33"/>
  <c r="G33" i="33"/>
  <c r="G32" i="33"/>
  <c r="G27" i="33"/>
  <c r="G26" i="33"/>
  <c r="F26" i="33"/>
  <c r="G25" i="33"/>
  <c r="F25" i="33"/>
  <c r="G24" i="33"/>
  <c r="F24" i="33"/>
  <c r="G23" i="33"/>
  <c r="F23" i="33"/>
  <c r="G22" i="33"/>
  <c r="G21" i="33"/>
  <c r="G20" i="33"/>
  <c r="G19" i="33"/>
  <c r="G18" i="33"/>
  <c r="F18" i="33"/>
  <c r="G17" i="33"/>
  <c r="G16" i="33"/>
  <c r="G15" i="33"/>
  <c r="G14" i="33"/>
  <c r="G13" i="33"/>
  <c r="G12" i="33"/>
  <c r="G11" i="33"/>
  <c r="F11" i="33"/>
  <c r="G10" i="33"/>
  <c r="F10" i="33"/>
  <c r="G9" i="33"/>
  <c r="G8" i="33"/>
  <c r="G7" i="33"/>
  <c r="F7" i="33"/>
  <c r="G6" i="33"/>
  <c r="F6" i="33"/>
  <c r="G5" i="33"/>
  <c r="F5" i="33"/>
  <c r="H3" i="33"/>
  <c r="G3" i="33"/>
  <c r="F3" i="33"/>
  <c r="E51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F36" i="32"/>
  <c r="G35" i="32"/>
  <c r="F35" i="32"/>
  <c r="G34" i="32"/>
  <c r="G33" i="32"/>
  <c r="G32" i="32"/>
  <c r="G27" i="32"/>
  <c r="G25" i="32"/>
  <c r="F25" i="32"/>
  <c r="G24" i="32"/>
  <c r="F24" i="32"/>
  <c r="G23" i="32"/>
  <c r="F23" i="32"/>
  <c r="G22" i="32"/>
  <c r="F22" i="32"/>
  <c r="G21" i="32"/>
  <c r="G20" i="32"/>
  <c r="G19" i="32"/>
  <c r="G18" i="32"/>
  <c r="G17" i="32"/>
  <c r="F17" i="32"/>
  <c r="G16" i="32"/>
  <c r="G15" i="32"/>
  <c r="G14" i="32"/>
  <c r="G13" i="32"/>
  <c r="G12" i="32"/>
  <c r="G11" i="32"/>
  <c r="G10" i="32"/>
  <c r="F10" i="32"/>
  <c r="G9" i="32"/>
  <c r="G8" i="32"/>
  <c r="G7" i="32"/>
  <c r="F7" i="32"/>
  <c r="G6" i="32"/>
  <c r="F6" i="32"/>
  <c r="G5" i="32"/>
  <c r="F5" i="32"/>
  <c r="H3" i="32"/>
  <c r="G3" i="32"/>
  <c r="F3" i="32"/>
  <c r="E51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F36" i="31"/>
  <c r="G35" i="31"/>
  <c r="F35" i="31"/>
  <c r="G34" i="31"/>
  <c r="G33" i="31"/>
  <c r="G32" i="31"/>
  <c r="G27" i="31"/>
  <c r="G25" i="31"/>
  <c r="F25" i="31"/>
  <c r="G24" i="31"/>
  <c r="F24" i="31"/>
  <c r="G23" i="31"/>
  <c r="F23" i="31"/>
  <c r="G22" i="31"/>
  <c r="F22" i="31"/>
  <c r="G21" i="31"/>
  <c r="G20" i="31"/>
  <c r="G19" i="31"/>
  <c r="G18" i="31"/>
  <c r="G17" i="31"/>
  <c r="F17" i="31"/>
  <c r="G16" i="31"/>
  <c r="G15" i="31"/>
  <c r="G14" i="31"/>
  <c r="G13" i="31"/>
  <c r="G12" i="31"/>
  <c r="G11" i="31"/>
  <c r="G10" i="31"/>
  <c r="F10" i="31"/>
  <c r="G9" i="31"/>
  <c r="G8" i="31"/>
  <c r="G7" i="31"/>
  <c r="F7" i="31"/>
  <c r="G6" i="31"/>
  <c r="F6" i="31"/>
  <c r="G5" i="31"/>
  <c r="F5" i="31"/>
  <c r="H3" i="31"/>
  <c r="G3" i="31"/>
  <c r="F3" i="31"/>
  <c r="E51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F36" i="30"/>
  <c r="G35" i="30"/>
  <c r="F35" i="30"/>
  <c r="G34" i="30"/>
  <c r="G33" i="30"/>
  <c r="G32" i="30"/>
  <c r="G27" i="30"/>
  <c r="G25" i="30"/>
  <c r="F25" i="30"/>
  <c r="G24" i="30"/>
  <c r="F24" i="30"/>
  <c r="G23" i="30"/>
  <c r="F23" i="30"/>
  <c r="G22" i="30"/>
  <c r="F22" i="30"/>
  <c r="G21" i="30"/>
  <c r="G20" i="30"/>
  <c r="G19" i="30"/>
  <c r="G18" i="30"/>
  <c r="G17" i="30"/>
  <c r="F17" i="30"/>
  <c r="G16" i="30"/>
  <c r="G15" i="30"/>
  <c r="G14" i="30"/>
  <c r="G13" i="30"/>
  <c r="G12" i="30"/>
  <c r="G11" i="30"/>
  <c r="G10" i="30"/>
  <c r="F10" i="30"/>
  <c r="G9" i="30"/>
  <c r="G8" i="30"/>
  <c r="G7" i="30"/>
  <c r="F7" i="30"/>
  <c r="G6" i="30"/>
  <c r="F6" i="30"/>
  <c r="G5" i="30"/>
  <c r="F5" i="30"/>
  <c r="H3" i="30"/>
  <c r="G3" i="30"/>
  <c r="F3" i="30"/>
  <c r="E51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F36" i="29"/>
  <c r="G35" i="29"/>
  <c r="G34" i="29"/>
  <c r="G33" i="29"/>
  <c r="G32" i="29"/>
  <c r="G27" i="29"/>
  <c r="G25" i="29"/>
  <c r="F25" i="29"/>
  <c r="G24" i="29"/>
  <c r="F24" i="29"/>
  <c r="G23" i="29"/>
  <c r="F23" i="29"/>
  <c r="G22" i="29"/>
  <c r="F22" i="29"/>
  <c r="G21" i="29"/>
  <c r="G20" i="29"/>
  <c r="G19" i="29"/>
  <c r="G18" i="29"/>
  <c r="G17" i="29"/>
  <c r="F17" i="29"/>
  <c r="G16" i="29"/>
  <c r="G15" i="29"/>
  <c r="G14" i="29"/>
  <c r="G13" i="29"/>
  <c r="G12" i="29"/>
  <c r="G11" i="29"/>
  <c r="G10" i="29"/>
  <c r="F10" i="29"/>
  <c r="G9" i="29"/>
  <c r="G8" i="29"/>
  <c r="G7" i="29"/>
  <c r="F7" i="29"/>
  <c r="G6" i="29"/>
  <c r="F6" i="29"/>
  <c r="G5" i="29"/>
  <c r="F5" i="29"/>
  <c r="H3" i="29"/>
  <c r="G3" i="29"/>
  <c r="F3" i="29"/>
  <c r="E51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F36" i="28"/>
  <c r="G35" i="28"/>
  <c r="G34" i="28"/>
  <c r="G33" i="28"/>
  <c r="G32" i="28"/>
  <c r="G27" i="28"/>
  <c r="G25" i="28"/>
  <c r="F25" i="28"/>
  <c r="G24" i="28"/>
  <c r="F24" i="28"/>
  <c r="G23" i="28"/>
  <c r="F23" i="28"/>
  <c r="G22" i="28"/>
  <c r="F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F10" i="28"/>
  <c r="G9" i="28"/>
  <c r="G8" i="28"/>
  <c r="G7" i="28"/>
  <c r="F7" i="28"/>
  <c r="G6" i="28"/>
  <c r="F6" i="28"/>
  <c r="G5" i="28"/>
  <c r="F5" i="28"/>
  <c r="H3" i="28"/>
  <c r="G3" i="28"/>
  <c r="F3" i="28"/>
  <c r="E51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F36" i="27"/>
  <c r="G35" i="27"/>
  <c r="G34" i="27"/>
  <c r="G33" i="27"/>
  <c r="G32" i="27"/>
  <c r="G27" i="27"/>
  <c r="G25" i="27"/>
  <c r="F25" i="27"/>
  <c r="G24" i="27"/>
  <c r="F24" i="27"/>
  <c r="G23" i="27"/>
  <c r="F23" i="27"/>
  <c r="G22" i="27"/>
  <c r="F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F10" i="27"/>
  <c r="G9" i="27"/>
  <c r="G8" i="27"/>
  <c r="G7" i="27"/>
  <c r="F7" i="27"/>
  <c r="G6" i="27"/>
  <c r="F6" i="27"/>
  <c r="G5" i="27"/>
  <c r="F5" i="27"/>
  <c r="H3" i="27"/>
  <c r="G3" i="27"/>
  <c r="F3" i="27"/>
  <c r="E51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F36" i="26"/>
  <c r="G35" i="26"/>
  <c r="G34" i="26"/>
  <c r="G33" i="26"/>
  <c r="G32" i="26"/>
  <c r="G27" i="26"/>
  <c r="G25" i="26"/>
  <c r="F25" i="26"/>
  <c r="G24" i="26"/>
  <c r="F24" i="26"/>
  <c r="G23" i="26"/>
  <c r="F23" i="26"/>
  <c r="G22" i="26"/>
  <c r="F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F10" i="26"/>
  <c r="G9" i="26"/>
  <c r="G8" i="26"/>
  <c r="G7" i="26"/>
  <c r="F7" i="26"/>
  <c r="G6" i="26"/>
  <c r="F6" i="26"/>
  <c r="G5" i="26"/>
  <c r="F5" i="26"/>
  <c r="H3" i="26"/>
  <c r="G3" i="26"/>
  <c r="F3" i="26"/>
  <c r="E51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F36" i="25"/>
  <c r="G35" i="25"/>
  <c r="G34" i="25"/>
  <c r="G33" i="25"/>
  <c r="G32" i="25"/>
  <c r="G27" i="25"/>
  <c r="G25" i="25"/>
  <c r="F25" i="25"/>
  <c r="G24" i="25"/>
  <c r="F24" i="25"/>
  <c r="G23" i="25"/>
  <c r="F23" i="25"/>
  <c r="G22" i="25"/>
  <c r="F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F10" i="25"/>
  <c r="G9" i="25"/>
  <c r="G8" i="25"/>
  <c r="G7" i="25"/>
  <c r="F7" i="25"/>
  <c r="G6" i="25"/>
  <c r="F6" i="25"/>
  <c r="G5" i="25"/>
  <c r="F5" i="25"/>
  <c r="H3" i="25"/>
  <c r="G3" i="25"/>
  <c r="F3" i="25"/>
  <c r="E51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F36" i="24"/>
  <c r="G35" i="24"/>
  <c r="G34" i="24"/>
  <c r="G33" i="24"/>
  <c r="G32" i="24"/>
  <c r="G27" i="24"/>
  <c r="G25" i="24"/>
  <c r="F25" i="24"/>
  <c r="G24" i="24"/>
  <c r="F24" i="24"/>
  <c r="G23" i="24"/>
  <c r="F23" i="24"/>
  <c r="G22" i="24"/>
  <c r="F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F10" i="24"/>
  <c r="G9" i="24"/>
  <c r="G8" i="24"/>
  <c r="G7" i="24"/>
  <c r="F7" i="24"/>
  <c r="G6" i="24"/>
  <c r="F6" i="24"/>
  <c r="G5" i="24"/>
  <c r="F5" i="24"/>
  <c r="H3" i="24"/>
  <c r="G3" i="24"/>
  <c r="F3" i="24"/>
  <c r="E51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F36" i="23"/>
  <c r="G35" i="23"/>
  <c r="G34" i="23"/>
  <c r="G33" i="23"/>
  <c r="G32" i="23"/>
  <c r="G27" i="23"/>
  <c r="G25" i="23"/>
  <c r="F25" i="23"/>
  <c r="G24" i="23"/>
  <c r="F24" i="23"/>
  <c r="G23" i="23"/>
  <c r="F23" i="23"/>
  <c r="G22" i="23"/>
  <c r="F22" i="23"/>
  <c r="G21" i="23"/>
  <c r="G20" i="23"/>
  <c r="G19" i="23"/>
  <c r="G18" i="23"/>
  <c r="G17" i="23"/>
  <c r="F17" i="23"/>
  <c r="G16" i="23"/>
  <c r="G15" i="23"/>
  <c r="G14" i="23"/>
  <c r="G13" i="23"/>
  <c r="G12" i="23"/>
  <c r="G11" i="23"/>
  <c r="G10" i="23"/>
  <c r="F10" i="23"/>
  <c r="G9" i="23"/>
  <c r="G8" i="23"/>
  <c r="G7" i="23"/>
  <c r="F7" i="23"/>
  <c r="G6" i="23"/>
  <c r="F6" i="23"/>
  <c r="G5" i="23"/>
  <c r="F5" i="23"/>
  <c r="H3" i="23"/>
  <c r="G3" i="23"/>
  <c r="F3" i="23"/>
  <c r="E51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F36" i="22"/>
  <c r="G35" i="22"/>
  <c r="G34" i="22"/>
  <c r="G33" i="22"/>
  <c r="G32" i="22"/>
  <c r="G27" i="22"/>
  <c r="G25" i="22"/>
  <c r="F25" i="22"/>
  <c r="G24" i="22"/>
  <c r="F24" i="22"/>
  <c r="G23" i="22"/>
  <c r="F23" i="22"/>
  <c r="G22" i="22"/>
  <c r="F22" i="22"/>
  <c r="G21" i="22"/>
  <c r="G20" i="22"/>
  <c r="G19" i="22"/>
  <c r="G18" i="22"/>
  <c r="G17" i="22"/>
  <c r="F17" i="22"/>
  <c r="G16" i="22"/>
  <c r="G15" i="22"/>
  <c r="G14" i="22"/>
  <c r="G13" i="22"/>
  <c r="G12" i="22"/>
  <c r="G11" i="22"/>
  <c r="G10" i="22"/>
  <c r="F10" i="22"/>
  <c r="G9" i="22"/>
  <c r="G8" i="22"/>
  <c r="G7" i="22"/>
  <c r="F7" i="22"/>
  <c r="G6" i="22"/>
  <c r="F6" i="22"/>
  <c r="G5" i="22"/>
  <c r="F5" i="22"/>
  <c r="H3" i="22"/>
  <c r="G3" i="22"/>
  <c r="F3" i="22"/>
  <c r="E51" i="21"/>
  <c r="G48" i="21"/>
  <c r="G47" i="21"/>
  <c r="G46" i="21"/>
  <c r="F46" i="21"/>
  <c r="G45" i="21"/>
  <c r="F45" i="21"/>
  <c r="G44" i="21"/>
  <c r="G43" i="21"/>
  <c r="G42" i="21"/>
  <c r="G41" i="21"/>
  <c r="G40" i="21"/>
  <c r="F40" i="21"/>
  <c r="G39" i="21"/>
  <c r="F39" i="21"/>
  <c r="G38" i="21"/>
  <c r="G37" i="21"/>
  <c r="G36" i="21"/>
  <c r="F36" i="21"/>
  <c r="G35" i="21"/>
  <c r="G34" i="21"/>
  <c r="G33" i="21"/>
  <c r="G32" i="21"/>
  <c r="G27" i="21"/>
  <c r="G25" i="21"/>
  <c r="F25" i="21"/>
  <c r="G24" i="21"/>
  <c r="F24" i="21"/>
  <c r="G23" i="21"/>
  <c r="F23" i="21"/>
  <c r="G22" i="21"/>
  <c r="F22" i="21"/>
  <c r="G21" i="21"/>
  <c r="G20" i="21"/>
  <c r="G19" i="21"/>
  <c r="G18" i="21"/>
  <c r="G17" i="21"/>
  <c r="F17" i="21"/>
  <c r="G16" i="21"/>
  <c r="G15" i="21"/>
  <c r="G14" i="21"/>
  <c r="G13" i="21"/>
  <c r="G12" i="21"/>
  <c r="G11" i="21"/>
  <c r="G10" i="21"/>
  <c r="F10" i="21"/>
  <c r="G9" i="21"/>
  <c r="G8" i="21"/>
  <c r="G7" i="21"/>
  <c r="F7" i="21"/>
  <c r="G6" i="21"/>
  <c r="F6" i="21"/>
  <c r="G5" i="21"/>
  <c r="F5" i="21"/>
  <c r="H3" i="21"/>
  <c r="G3" i="21"/>
  <c r="F3" i="21"/>
  <c r="E51" i="20"/>
  <c r="G48" i="20"/>
  <c r="G47" i="20"/>
  <c r="G46" i="20"/>
  <c r="F46" i="20"/>
  <c r="G45" i="20"/>
  <c r="F45" i="20"/>
  <c r="G44" i="20"/>
  <c r="G43" i="20"/>
  <c r="G42" i="20"/>
  <c r="G41" i="20"/>
  <c r="G40" i="20"/>
  <c r="F40" i="20"/>
  <c r="G39" i="20"/>
  <c r="F39" i="20"/>
  <c r="G38" i="20"/>
  <c r="G37" i="20"/>
  <c r="G36" i="20"/>
  <c r="F36" i="20"/>
  <c r="G35" i="20"/>
  <c r="G34" i="20"/>
  <c r="G33" i="20"/>
  <c r="G32" i="20"/>
  <c r="G27" i="20"/>
  <c r="G25" i="20"/>
  <c r="F25" i="20"/>
  <c r="G24" i="20"/>
  <c r="F24" i="20"/>
  <c r="G23" i="20"/>
  <c r="F23" i="20"/>
  <c r="G22" i="20"/>
  <c r="F22" i="20"/>
  <c r="G21" i="20"/>
  <c r="G20" i="20"/>
  <c r="G19" i="20"/>
  <c r="G18" i="20"/>
  <c r="G17" i="20"/>
  <c r="F17" i="20"/>
  <c r="G16" i="20"/>
  <c r="G15" i="20"/>
  <c r="G14" i="20"/>
  <c r="G13" i="20"/>
  <c r="G12" i="20"/>
  <c r="G11" i="20"/>
  <c r="G10" i="20"/>
  <c r="F10" i="20"/>
  <c r="G9" i="20"/>
  <c r="G8" i="20"/>
  <c r="G7" i="20"/>
  <c r="F7" i="20"/>
  <c r="G6" i="20"/>
  <c r="F6" i="20"/>
  <c r="G5" i="20"/>
  <c r="F5" i="20"/>
  <c r="H3" i="20"/>
  <c r="G3" i="20"/>
  <c r="F3" i="20"/>
  <c r="E51" i="19"/>
  <c r="G48" i="19"/>
  <c r="G47" i="19"/>
  <c r="G46" i="19"/>
  <c r="F46" i="19"/>
  <c r="G45" i="19"/>
  <c r="F45" i="19"/>
  <c r="G44" i="19"/>
  <c r="G43" i="19"/>
  <c r="G42" i="19"/>
  <c r="G41" i="19"/>
  <c r="G40" i="19"/>
  <c r="F40" i="19"/>
  <c r="G39" i="19"/>
  <c r="F39" i="19"/>
  <c r="G38" i="19"/>
  <c r="G37" i="19"/>
  <c r="G36" i="19"/>
  <c r="F36" i="19"/>
  <c r="G35" i="19"/>
  <c r="G34" i="19"/>
  <c r="G33" i="19"/>
  <c r="G32" i="19"/>
  <c r="G27" i="19"/>
  <c r="G25" i="19"/>
  <c r="F25" i="19"/>
  <c r="G24" i="19"/>
  <c r="F24" i="19"/>
  <c r="G23" i="19"/>
  <c r="F23" i="19"/>
  <c r="G22" i="19"/>
  <c r="F22" i="19"/>
  <c r="G21" i="19"/>
  <c r="G20" i="19"/>
  <c r="G19" i="19"/>
  <c r="G18" i="19"/>
  <c r="G17" i="19"/>
  <c r="F17" i="19"/>
  <c r="G16" i="19"/>
  <c r="G15" i="19"/>
  <c r="G14" i="19"/>
  <c r="G13" i="19"/>
  <c r="G12" i="19"/>
  <c r="G11" i="19"/>
  <c r="F11" i="19"/>
  <c r="G10" i="19"/>
  <c r="G8" i="19"/>
  <c r="F8" i="19"/>
  <c r="G7" i="19"/>
  <c r="F7" i="19"/>
  <c r="G6" i="19"/>
  <c r="F6" i="19"/>
  <c r="H4" i="19"/>
  <c r="G4" i="19"/>
  <c r="F4" i="19"/>
  <c r="E51" i="18"/>
  <c r="G48" i="18"/>
  <c r="G47" i="18"/>
  <c r="G46" i="18"/>
  <c r="F46" i="18"/>
  <c r="G45" i="18"/>
  <c r="F45" i="18"/>
  <c r="G44" i="18"/>
  <c r="G43" i="18"/>
  <c r="G42" i="18"/>
  <c r="G41" i="18"/>
  <c r="G40" i="18"/>
  <c r="F40" i="18"/>
  <c r="G39" i="18"/>
  <c r="F39" i="18"/>
  <c r="G38" i="18"/>
  <c r="G37" i="18"/>
  <c r="G36" i="18"/>
  <c r="F36" i="18"/>
  <c r="G35" i="18"/>
  <c r="F35" i="18"/>
  <c r="G34" i="18"/>
  <c r="G33" i="18"/>
  <c r="G32" i="18"/>
  <c r="G27" i="18"/>
  <c r="G25" i="18"/>
  <c r="F25" i="18"/>
  <c r="G24" i="18"/>
  <c r="F24" i="18"/>
  <c r="G23" i="18"/>
  <c r="F23" i="18"/>
  <c r="G22" i="18"/>
  <c r="F22" i="18"/>
  <c r="G21" i="18"/>
  <c r="G20" i="18"/>
  <c r="G19" i="18"/>
  <c r="G18" i="18"/>
  <c r="G17" i="18"/>
  <c r="F17" i="18"/>
  <c r="G16" i="18"/>
  <c r="G15" i="18"/>
  <c r="G14" i="18"/>
  <c r="G13" i="18"/>
  <c r="G12" i="18"/>
  <c r="G11" i="18"/>
  <c r="F11" i="18"/>
  <c r="G10" i="18"/>
  <c r="G9" i="18"/>
  <c r="G8" i="18"/>
  <c r="F8" i="18"/>
  <c r="G7" i="18"/>
  <c r="F7" i="18"/>
  <c r="G6" i="18"/>
  <c r="F6" i="18"/>
  <c r="H4" i="18"/>
  <c r="G4" i="18"/>
  <c r="F4" i="18"/>
  <c r="E51" i="17"/>
  <c r="G48" i="17"/>
  <c r="G47" i="17"/>
  <c r="G46" i="17"/>
  <c r="F46" i="17"/>
  <c r="G45" i="17"/>
  <c r="F45" i="17"/>
  <c r="G44" i="17"/>
  <c r="G43" i="17"/>
  <c r="G42" i="17"/>
  <c r="G41" i="17"/>
  <c r="G40" i="17"/>
  <c r="F40" i="17"/>
  <c r="G39" i="17"/>
  <c r="F39" i="17"/>
  <c r="G38" i="17"/>
  <c r="G37" i="17"/>
  <c r="G36" i="17"/>
  <c r="F36" i="17"/>
  <c r="G35" i="17"/>
  <c r="F35" i="17"/>
  <c r="G34" i="17"/>
  <c r="G33" i="17"/>
  <c r="G32" i="17"/>
  <c r="G27" i="17"/>
  <c r="G25" i="17"/>
  <c r="F25" i="17"/>
  <c r="G24" i="17"/>
  <c r="F24" i="17"/>
  <c r="G23" i="17"/>
  <c r="F23" i="17"/>
  <c r="G22" i="17"/>
  <c r="F22" i="17"/>
  <c r="G21" i="17"/>
  <c r="G20" i="17"/>
  <c r="G19" i="17"/>
  <c r="G18" i="17"/>
  <c r="G17" i="17"/>
  <c r="F17" i="17"/>
  <c r="G16" i="17"/>
  <c r="G15" i="17"/>
  <c r="G14" i="17"/>
  <c r="G13" i="17"/>
  <c r="G12" i="17"/>
  <c r="G11" i="17"/>
  <c r="F11" i="17"/>
  <c r="G10" i="17"/>
  <c r="G9" i="17"/>
  <c r="G8" i="17"/>
  <c r="F8" i="17"/>
  <c r="G7" i="17"/>
  <c r="F7" i="17"/>
  <c r="G6" i="17"/>
  <c r="F6" i="17"/>
  <c r="H4" i="17"/>
  <c r="G4" i="17"/>
  <c r="F4" i="17"/>
  <c r="E51" i="16"/>
  <c r="G48" i="16"/>
  <c r="G47" i="16"/>
  <c r="G46" i="16"/>
  <c r="F46" i="16"/>
  <c r="G45" i="16"/>
  <c r="F45" i="16"/>
  <c r="G44" i="16"/>
  <c r="G43" i="16"/>
  <c r="G42" i="16"/>
  <c r="G41" i="16"/>
  <c r="G40" i="16"/>
  <c r="F40" i="16"/>
  <c r="G39" i="16"/>
  <c r="F39" i="16"/>
  <c r="G38" i="16"/>
  <c r="G37" i="16"/>
  <c r="G36" i="16"/>
  <c r="F36" i="16"/>
  <c r="G35" i="16"/>
  <c r="F35" i="16"/>
  <c r="G34" i="16"/>
  <c r="G33" i="16"/>
  <c r="G32" i="16"/>
  <c r="G27" i="16"/>
  <c r="G25" i="16"/>
  <c r="F25" i="16"/>
  <c r="G24" i="16"/>
  <c r="F24" i="16"/>
  <c r="G23" i="16"/>
  <c r="F23" i="16"/>
  <c r="G22" i="16"/>
  <c r="F22" i="16"/>
  <c r="G21" i="16"/>
  <c r="G20" i="16"/>
  <c r="G19" i="16"/>
  <c r="G18" i="16"/>
  <c r="G17" i="16"/>
  <c r="F17" i="16"/>
  <c r="G16" i="16"/>
  <c r="G15" i="16"/>
  <c r="G14" i="16"/>
  <c r="G13" i="16"/>
  <c r="G12" i="16"/>
  <c r="G11" i="16"/>
  <c r="F11" i="16"/>
  <c r="G10" i="16"/>
  <c r="G9" i="16"/>
  <c r="G8" i="16"/>
  <c r="F8" i="16"/>
  <c r="G7" i="16"/>
  <c r="F7" i="16"/>
  <c r="G6" i="16"/>
  <c r="F6" i="16"/>
  <c r="H4" i="16"/>
  <c r="G4" i="16"/>
  <c r="F4" i="16"/>
  <c r="E51" i="15"/>
  <c r="G47" i="15"/>
  <c r="G46" i="15"/>
  <c r="G45" i="15"/>
  <c r="F45" i="15"/>
  <c r="G44" i="15"/>
  <c r="F44" i="15"/>
  <c r="G43" i="15"/>
  <c r="G42" i="15"/>
  <c r="G41" i="15"/>
  <c r="G40" i="15"/>
  <c r="F40" i="15"/>
  <c r="G39" i="15"/>
  <c r="F39" i="15"/>
  <c r="G38" i="15"/>
  <c r="G37" i="15"/>
  <c r="G36" i="15"/>
  <c r="F36" i="15"/>
  <c r="G35" i="15"/>
  <c r="G34" i="15"/>
  <c r="G33" i="15"/>
  <c r="G32" i="15"/>
  <c r="G27" i="15"/>
  <c r="G25" i="15"/>
  <c r="F25" i="15"/>
  <c r="G24" i="15"/>
  <c r="F24" i="15"/>
  <c r="G23" i="15"/>
  <c r="F23" i="15"/>
  <c r="G22" i="15"/>
  <c r="F22" i="15"/>
  <c r="G21" i="15"/>
  <c r="G20" i="15"/>
  <c r="G19" i="15"/>
  <c r="G18" i="15"/>
  <c r="F18" i="15"/>
  <c r="G17" i="15"/>
  <c r="G16" i="15"/>
  <c r="G15" i="15"/>
  <c r="G14" i="15"/>
  <c r="G13" i="15"/>
  <c r="G12" i="15"/>
  <c r="G11" i="15"/>
  <c r="F11" i="15"/>
  <c r="G10" i="15"/>
  <c r="G9" i="15"/>
  <c r="G8" i="15"/>
  <c r="F8" i="15"/>
  <c r="G7" i="15"/>
  <c r="F7" i="15"/>
  <c r="G6" i="15"/>
  <c r="F6" i="15"/>
  <c r="H4" i="15"/>
  <c r="G4" i="15"/>
  <c r="F4" i="15"/>
  <c r="E51" i="14"/>
  <c r="G47" i="14"/>
  <c r="G46" i="14"/>
  <c r="G45" i="14"/>
  <c r="F45" i="14"/>
  <c r="G44" i="14"/>
  <c r="F44" i="14"/>
  <c r="G43" i="14"/>
  <c r="G42" i="14"/>
  <c r="G41" i="14"/>
  <c r="G40" i="14"/>
  <c r="F40" i="14"/>
  <c r="G39" i="14"/>
  <c r="F39" i="14"/>
  <c r="G38" i="14"/>
  <c r="G37" i="14"/>
  <c r="G36" i="14"/>
  <c r="F36" i="14"/>
  <c r="G35" i="14"/>
  <c r="G34" i="14"/>
  <c r="G33" i="14"/>
  <c r="G32" i="14"/>
  <c r="G27" i="14"/>
  <c r="G25" i="14"/>
  <c r="F25" i="14"/>
  <c r="G24" i="14"/>
  <c r="F24" i="14"/>
  <c r="G23" i="14"/>
  <c r="F23" i="14"/>
  <c r="G22" i="14"/>
  <c r="F22" i="14"/>
  <c r="G21" i="14"/>
  <c r="G20" i="14"/>
  <c r="G19" i="14"/>
  <c r="G18" i="14"/>
  <c r="F18" i="14"/>
  <c r="G17" i="14"/>
  <c r="G16" i="14"/>
  <c r="G15" i="14"/>
  <c r="G14" i="14"/>
  <c r="G13" i="14"/>
  <c r="G12" i="14"/>
  <c r="G11" i="14"/>
  <c r="F11" i="14"/>
  <c r="G10" i="14"/>
  <c r="G9" i="14"/>
  <c r="G8" i="14"/>
  <c r="F8" i="14"/>
  <c r="G7" i="14"/>
  <c r="F7" i="14"/>
  <c r="G6" i="14"/>
  <c r="F6" i="14"/>
  <c r="H4" i="14"/>
  <c r="G4" i="14"/>
  <c r="F4" i="14"/>
  <c r="E51" i="13"/>
  <c r="G47" i="13"/>
  <c r="G45" i="13"/>
  <c r="F45" i="13"/>
  <c r="G44" i="13"/>
  <c r="F44" i="13"/>
  <c r="G43" i="13"/>
  <c r="G42" i="13"/>
  <c r="G41" i="13"/>
  <c r="G40" i="13"/>
  <c r="F40" i="13"/>
  <c r="G39" i="13"/>
  <c r="F39" i="13"/>
  <c r="G38" i="13"/>
  <c r="G37" i="13"/>
  <c r="G36" i="13"/>
  <c r="F36" i="13"/>
  <c r="G35" i="13"/>
  <c r="G34" i="13"/>
  <c r="G33" i="13"/>
  <c r="G32" i="13"/>
  <c r="G27" i="13"/>
  <c r="G25" i="13"/>
  <c r="F25" i="13"/>
  <c r="G24" i="13"/>
  <c r="F24" i="13"/>
  <c r="G23" i="13"/>
  <c r="F23" i="13"/>
  <c r="G22" i="13"/>
  <c r="F22" i="13"/>
  <c r="G21" i="13"/>
  <c r="G20" i="13"/>
  <c r="G19" i="13"/>
  <c r="G18" i="13"/>
  <c r="G17" i="13"/>
  <c r="F17" i="13"/>
  <c r="G16" i="13"/>
  <c r="G15" i="13"/>
  <c r="G14" i="13"/>
  <c r="G13" i="13"/>
  <c r="G12" i="13"/>
  <c r="G11" i="13"/>
  <c r="G10" i="13"/>
  <c r="F10" i="13"/>
  <c r="G9" i="13"/>
  <c r="G8" i="13"/>
  <c r="G7" i="13"/>
  <c r="F7" i="13"/>
  <c r="G6" i="13"/>
  <c r="F6" i="13"/>
  <c r="G5" i="13"/>
  <c r="F5" i="13"/>
  <c r="H3" i="13"/>
  <c r="G3" i="13"/>
  <c r="F3" i="13"/>
  <c r="E51" i="12"/>
  <c r="G47" i="12"/>
  <c r="G46" i="12"/>
  <c r="G45" i="12"/>
  <c r="F45" i="12"/>
  <c r="G44" i="12"/>
  <c r="F44" i="12"/>
  <c r="G43" i="12"/>
  <c r="G42" i="12"/>
  <c r="G41" i="12"/>
  <c r="G40" i="12"/>
  <c r="F40" i="12"/>
  <c r="G39" i="12"/>
  <c r="F39" i="12"/>
  <c r="G38" i="12"/>
  <c r="G37" i="12"/>
  <c r="G36" i="12"/>
  <c r="F36" i="12"/>
  <c r="G35" i="12"/>
  <c r="G34" i="12"/>
  <c r="G33" i="12"/>
  <c r="G32" i="12"/>
  <c r="G27" i="12"/>
  <c r="G25" i="12"/>
  <c r="F25" i="12"/>
  <c r="G24" i="12"/>
  <c r="F24" i="12"/>
  <c r="G23" i="12"/>
  <c r="F23" i="12"/>
  <c r="G22" i="12"/>
  <c r="F22" i="12"/>
  <c r="G21" i="12"/>
  <c r="G20" i="12"/>
  <c r="G19" i="12"/>
  <c r="G18" i="12"/>
  <c r="G17" i="12"/>
  <c r="F17" i="12"/>
  <c r="G16" i="12"/>
  <c r="G15" i="12"/>
  <c r="G14" i="12"/>
  <c r="G13" i="12"/>
  <c r="G12" i="12"/>
  <c r="G11" i="12"/>
  <c r="F11" i="12"/>
  <c r="G10" i="12"/>
  <c r="G9" i="12"/>
  <c r="G8" i="12"/>
  <c r="F8" i="12"/>
  <c r="G7" i="12"/>
  <c r="F7" i="12"/>
  <c r="G6" i="12"/>
  <c r="F6" i="12"/>
  <c r="H4" i="12"/>
  <c r="G4" i="12"/>
  <c r="F4" i="12"/>
  <c r="E51" i="11"/>
  <c r="G47" i="11"/>
  <c r="G46" i="11"/>
  <c r="G45" i="11"/>
  <c r="F45" i="11"/>
  <c r="G44" i="11"/>
  <c r="F44" i="11"/>
  <c r="G43" i="11"/>
  <c r="G42" i="11"/>
  <c r="G41" i="11"/>
  <c r="G40" i="11"/>
  <c r="F40" i="11"/>
  <c r="G39" i="11"/>
  <c r="F39" i="11"/>
  <c r="G38" i="11"/>
  <c r="G37" i="11"/>
  <c r="G36" i="11"/>
  <c r="F36" i="11"/>
  <c r="G35" i="11"/>
  <c r="G34" i="11"/>
  <c r="G33" i="11"/>
  <c r="G32" i="11"/>
  <c r="G27" i="11"/>
  <c r="G25" i="11"/>
  <c r="F25" i="11"/>
  <c r="G24" i="11"/>
  <c r="F24" i="11"/>
  <c r="G23" i="11"/>
  <c r="F23" i="11"/>
  <c r="G22" i="11"/>
  <c r="F22" i="11"/>
  <c r="G21" i="11"/>
  <c r="G20" i="11"/>
  <c r="G19" i="11"/>
  <c r="G18" i="11"/>
  <c r="G17" i="11"/>
  <c r="F17" i="11"/>
  <c r="G16" i="11"/>
  <c r="G15" i="11"/>
  <c r="G14" i="11"/>
  <c r="G13" i="11"/>
  <c r="G12" i="11"/>
  <c r="G11" i="11"/>
  <c r="F11" i="11"/>
  <c r="G10" i="11"/>
  <c r="G9" i="11"/>
  <c r="G8" i="11"/>
  <c r="F8" i="11"/>
  <c r="G7" i="11"/>
  <c r="F7" i="11"/>
  <c r="G6" i="11"/>
  <c r="F6" i="11"/>
  <c r="H4" i="11"/>
  <c r="G4" i="11"/>
  <c r="F4" i="11"/>
  <c r="E51" i="10"/>
  <c r="G47" i="10"/>
  <c r="G46" i="10"/>
  <c r="G45" i="10"/>
  <c r="F45" i="10"/>
  <c r="G44" i="10"/>
  <c r="F44" i="10"/>
  <c r="G43" i="10"/>
  <c r="G42" i="10"/>
  <c r="G41" i="10"/>
  <c r="G40" i="10"/>
  <c r="F40" i="10"/>
  <c r="G39" i="10"/>
  <c r="F39" i="10"/>
  <c r="G38" i="10"/>
  <c r="G37" i="10"/>
  <c r="G36" i="10"/>
  <c r="F36" i="10"/>
  <c r="G35" i="10"/>
  <c r="G34" i="10"/>
  <c r="G33" i="10"/>
  <c r="G32" i="10"/>
  <c r="G27" i="10"/>
  <c r="G25" i="10"/>
  <c r="F25" i="10"/>
  <c r="G24" i="10"/>
  <c r="F24" i="10"/>
  <c r="G23" i="10"/>
  <c r="F23" i="10"/>
  <c r="G22" i="10"/>
  <c r="F22" i="10"/>
  <c r="G21" i="10"/>
  <c r="G20" i="10"/>
  <c r="G19" i="10"/>
  <c r="G18" i="10"/>
  <c r="G17" i="10"/>
  <c r="F17" i="10"/>
  <c r="G16" i="10"/>
  <c r="G15" i="10"/>
  <c r="G14" i="10"/>
  <c r="G13" i="10"/>
  <c r="G12" i="10"/>
  <c r="G11" i="10"/>
  <c r="F11" i="10"/>
  <c r="G10" i="10"/>
  <c r="G9" i="10"/>
  <c r="G8" i="10"/>
  <c r="F8" i="10"/>
  <c r="G7" i="10"/>
  <c r="F7" i="10"/>
  <c r="G6" i="10"/>
  <c r="F6" i="10"/>
  <c r="H4" i="10"/>
  <c r="G4" i="10"/>
  <c r="F4" i="10"/>
  <c r="E51" i="9"/>
  <c r="G47" i="9"/>
  <c r="G46" i="9"/>
  <c r="G45" i="9"/>
  <c r="F45" i="9"/>
  <c r="G44" i="9"/>
  <c r="F44" i="9"/>
  <c r="G43" i="9"/>
  <c r="G42" i="9"/>
  <c r="G41" i="9"/>
  <c r="G40" i="9"/>
  <c r="F40" i="9"/>
  <c r="G39" i="9"/>
  <c r="F39" i="9"/>
  <c r="G38" i="9"/>
  <c r="G37" i="9"/>
  <c r="G36" i="9"/>
  <c r="F36" i="9"/>
  <c r="G35" i="9"/>
  <c r="G34" i="9"/>
  <c r="G33" i="9"/>
  <c r="G32" i="9"/>
  <c r="G27" i="9"/>
  <c r="G25" i="9"/>
  <c r="F25" i="9"/>
  <c r="G24" i="9"/>
  <c r="F24" i="9"/>
  <c r="G23" i="9"/>
  <c r="F23" i="9"/>
  <c r="G22" i="9"/>
  <c r="F22" i="9"/>
  <c r="G21" i="9"/>
  <c r="G20" i="9"/>
  <c r="G19" i="9"/>
  <c r="G18" i="9"/>
  <c r="G17" i="9"/>
  <c r="F17" i="9"/>
  <c r="G16" i="9"/>
  <c r="G15" i="9"/>
  <c r="G14" i="9"/>
  <c r="G13" i="9"/>
  <c r="G12" i="9"/>
  <c r="G11" i="9"/>
  <c r="F11" i="9"/>
  <c r="G10" i="9"/>
  <c r="G9" i="9"/>
  <c r="G8" i="9"/>
  <c r="F8" i="9"/>
  <c r="G7" i="9"/>
  <c r="F7" i="9"/>
  <c r="G6" i="9"/>
  <c r="F6" i="9"/>
  <c r="H4" i="9"/>
  <c r="G4" i="9"/>
  <c r="F4" i="9"/>
  <c r="E51" i="8"/>
  <c r="E49" i="8"/>
  <c r="G48" i="8"/>
  <c r="G47" i="8"/>
  <c r="G46" i="8"/>
  <c r="F46" i="8"/>
  <c r="G45" i="8"/>
  <c r="F45" i="8"/>
  <c r="G44" i="8"/>
  <c r="G43" i="8"/>
  <c r="G42" i="8"/>
  <c r="G41" i="8"/>
  <c r="F41" i="8"/>
  <c r="G40" i="8"/>
  <c r="F40" i="8"/>
  <c r="G39" i="8"/>
  <c r="G38" i="8"/>
  <c r="G37" i="8"/>
  <c r="F37" i="8"/>
  <c r="G36" i="8"/>
  <c r="G35" i="8"/>
  <c r="G34" i="8"/>
  <c r="G33" i="8"/>
  <c r="G27" i="8"/>
  <c r="G25" i="8"/>
  <c r="F25" i="8"/>
  <c r="G24" i="8"/>
  <c r="F24" i="8"/>
  <c r="G23" i="8"/>
  <c r="F23" i="8"/>
  <c r="G22" i="8"/>
  <c r="F22" i="8"/>
  <c r="G21" i="8"/>
  <c r="G20" i="8"/>
  <c r="G19" i="8"/>
  <c r="G18" i="8"/>
  <c r="G17" i="8"/>
  <c r="F17" i="8"/>
  <c r="G16" i="8"/>
  <c r="G15" i="8"/>
  <c r="G14" i="8"/>
  <c r="G13" i="8"/>
  <c r="G12" i="8"/>
  <c r="G11" i="8"/>
  <c r="F11" i="8"/>
  <c r="G10" i="8"/>
  <c r="G9" i="8"/>
  <c r="G8" i="8"/>
  <c r="F8" i="8"/>
  <c r="G7" i="8"/>
  <c r="F7" i="8"/>
  <c r="G6" i="8"/>
  <c r="F6" i="8"/>
  <c r="G5" i="8"/>
  <c r="H4" i="8"/>
  <c r="G4" i="8"/>
  <c r="K35" i="7"/>
  <c r="J35" i="7"/>
  <c r="K34" i="7"/>
  <c r="J34" i="7"/>
  <c r="K33" i="7"/>
  <c r="J33" i="7"/>
  <c r="K32" i="7"/>
  <c r="J32" i="7"/>
  <c r="K31" i="7"/>
  <c r="J31" i="7"/>
  <c r="K30" i="7"/>
  <c r="J30" i="7"/>
  <c r="K29" i="7"/>
  <c r="J29" i="7"/>
  <c r="K28" i="7"/>
  <c r="J28" i="7"/>
  <c r="K27" i="7"/>
  <c r="J27" i="7"/>
  <c r="K26" i="7"/>
  <c r="J26" i="7"/>
  <c r="K25" i="7"/>
  <c r="J25" i="7"/>
  <c r="K24" i="7"/>
  <c r="J24" i="7"/>
  <c r="K23" i="7"/>
  <c r="J23" i="7"/>
  <c r="K22" i="7"/>
  <c r="J22" i="7"/>
  <c r="K21" i="7"/>
  <c r="J21" i="7"/>
  <c r="K20" i="7"/>
  <c r="J20" i="7"/>
  <c r="K19" i="7"/>
  <c r="J19" i="7"/>
  <c r="K18" i="7"/>
  <c r="J18" i="7"/>
  <c r="K17" i="7"/>
  <c r="J17" i="7"/>
  <c r="K16" i="7"/>
  <c r="J16" i="7"/>
  <c r="K15" i="7"/>
  <c r="J15" i="7"/>
  <c r="K14" i="7"/>
  <c r="J14" i="7"/>
  <c r="K13" i="7"/>
  <c r="J13" i="7"/>
  <c r="K12" i="7"/>
  <c r="J12" i="7"/>
  <c r="K11" i="7"/>
  <c r="J11" i="7"/>
  <c r="K10" i="7"/>
  <c r="J10" i="7"/>
  <c r="M3" i="7"/>
  <c r="M2" i="7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J21" i="6"/>
  <c r="I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L4" i="6"/>
  <c r="L3" i="6"/>
</calcChain>
</file>

<file path=xl/sharedStrings.xml><?xml version="1.0" encoding="utf-8"?>
<sst xmlns="http://schemas.openxmlformats.org/spreadsheetml/2006/main" count="7209" uniqueCount="752">
  <si>
    <t>Date:</t>
  </si>
  <si>
    <t>GBP</t>
  </si>
  <si>
    <t>SAR</t>
  </si>
  <si>
    <t>Revise:</t>
  </si>
  <si>
    <t>R02</t>
  </si>
  <si>
    <t>Operation Charges (%)</t>
  </si>
  <si>
    <t>Price List 2019 for Sudan &amp; Kenya</t>
  </si>
  <si>
    <t>Margin (%)</t>
  </si>
  <si>
    <r>
      <t xml:space="preserve">Genset ( Perkins_Stamford )
Frequency: </t>
    </r>
    <r>
      <rPr>
        <b/>
        <sz val="12"/>
        <color rgb="FFFF0000"/>
        <rFont val="Calibri"/>
        <family val="2"/>
        <scheme val="minor"/>
      </rPr>
      <t>50Hz</t>
    </r>
    <r>
      <rPr>
        <b/>
        <sz val="12"/>
        <rFont val="Calibri"/>
        <family val="2"/>
        <scheme val="minor"/>
      </rPr>
      <t xml:space="preserve">, Voltage: </t>
    </r>
    <r>
      <rPr>
        <b/>
        <sz val="12"/>
        <color rgb="FFFF0000"/>
        <rFont val="Calibri"/>
        <family val="2"/>
        <scheme val="minor"/>
      </rPr>
      <t>400-230V</t>
    </r>
    <r>
      <rPr>
        <b/>
        <sz val="12"/>
        <rFont val="Calibri"/>
        <family val="2"/>
        <scheme val="minor"/>
      </rPr>
      <t xml:space="preserve"> Standard Genset //  </t>
    </r>
    <r>
      <rPr>
        <b/>
        <sz val="12"/>
        <color rgb="FFFF0000"/>
        <rFont val="Calibri"/>
        <family val="2"/>
        <scheme val="minor"/>
      </rPr>
      <t>G.B.P =5.1 SAR</t>
    </r>
  </si>
  <si>
    <t xml:space="preserve">Sr./No </t>
  </si>
  <si>
    <t>Genset Model #</t>
  </si>
  <si>
    <t>Genset Output Power</t>
  </si>
  <si>
    <t>Engine Model #</t>
  </si>
  <si>
    <t>Alternator Model #</t>
  </si>
  <si>
    <r>
      <rPr>
        <b/>
        <u/>
        <sz val="10"/>
        <color theme="1"/>
        <rFont val="Calibri"/>
        <family val="2"/>
        <scheme val="minor"/>
      </rPr>
      <t>Open Type</t>
    </r>
    <r>
      <rPr>
        <b/>
        <sz val="10"/>
        <color theme="1"/>
        <rFont val="Calibri"/>
        <family val="2"/>
        <scheme val="minor"/>
      </rPr>
      <t xml:space="preserve">
Price (SAR)</t>
    </r>
  </si>
  <si>
    <t>Open type Acual Cost</t>
  </si>
  <si>
    <t xml:space="preserve">Standby Power </t>
  </si>
  <si>
    <t xml:space="preserve">Prime Power </t>
  </si>
  <si>
    <t>KW</t>
  </si>
  <si>
    <t>KVA</t>
  </si>
  <si>
    <t>AMD6PN5</t>
  </si>
  <si>
    <t>403D-07G</t>
  </si>
  <si>
    <t>PI044D</t>
  </si>
  <si>
    <t>AMD9PN5</t>
  </si>
  <si>
    <t>403A-11G1</t>
  </si>
  <si>
    <t>S0L1-D</t>
  </si>
  <si>
    <t>AMD13PN5</t>
  </si>
  <si>
    <t>403A-15G1</t>
  </si>
  <si>
    <t>S0L1-L</t>
  </si>
  <si>
    <t>AMD15PN5</t>
  </si>
  <si>
    <t>403A-15G2</t>
  </si>
  <si>
    <t>S0L1-P</t>
  </si>
  <si>
    <t>AMD20PN5</t>
  </si>
  <si>
    <t>404A-22G1</t>
  </si>
  <si>
    <t>S0L2-G</t>
  </si>
  <si>
    <t>AMD30PN5</t>
  </si>
  <si>
    <t>1103A-33G</t>
  </si>
  <si>
    <t>S0L2-P</t>
  </si>
  <si>
    <t>AMD45PN5</t>
  </si>
  <si>
    <t>1103A-33TG1</t>
  </si>
  <si>
    <t>UCI224D</t>
  </si>
  <si>
    <t>AMD60PN5</t>
  </si>
  <si>
    <t>1103A-33TG2</t>
  </si>
  <si>
    <t>S1L2Y</t>
  </si>
  <si>
    <t>AMD65PN5</t>
  </si>
  <si>
    <t>1104A-44TG1</t>
  </si>
  <si>
    <t>AMD80PN5</t>
  </si>
  <si>
    <t>1104A-44TG2</t>
  </si>
  <si>
    <t>UCI224G</t>
  </si>
  <si>
    <t>1104C-44TAG1</t>
  </si>
  <si>
    <t>AMD100PN5</t>
  </si>
  <si>
    <t>1104C-44TAG2</t>
  </si>
  <si>
    <t>UCI274C</t>
  </si>
  <si>
    <t>AMD135PN5</t>
  </si>
  <si>
    <t>1106A-70TG1</t>
  </si>
  <si>
    <t>UCI274E</t>
  </si>
  <si>
    <t>AMD150PN5</t>
  </si>
  <si>
    <t>1106A-70TAG2</t>
  </si>
  <si>
    <t>UCI274F</t>
  </si>
  <si>
    <t>AMD180PN5</t>
  </si>
  <si>
    <t>1106A-70TAG3</t>
  </si>
  <si>
    <t>UCI274G</t>
  </si>
  <si>
    <t>AMD200PN5</t>
  </si>
  <si>
    <t>1106A-70TAG4</t>
  </si>
  <si>
    <t>UCI274H</t>
  </si>
  <si>
    <t>1506A-E88TAG1</t>
  </si>
  <si>
    <t>AMD230PN5</t>
  </si>
  <si>
    <t>1506A-E88TAG2</t>
  </si>
  <si>
    <t>UCDI274J</t>
  </si>
  <si>
    <t>AMD250PN5</t>
  </si>
  <si>
    <t>1506A-E88TAG3</t>
  </si>
  <si>
    <t>UCDI274K</t>
  </si>
  <si>
    <t>AMD275PN5</t>
  </si>
  <si>
    <t>1506A-E88TAG4</t>
  </si>
  <si>
    <t>S4L1D-D</t>
  </si>
  <si>
    <t>AMD300PN5</t>
  </si>
  <si>
    <t>1506A-E88TAG5</t>
  </si>
  <si>
    <t>AMD350PN5</t>
  </si>
  <si>
    <t>2206A-E13TAG2</t>
  </si>
  <si>
    <t>S4L1D-E</t>
  </si>
  <si>
    <t>AMD400PN5</t>
  </si>
  <si>
    <t>2206A-E13TAG3</t>
  </si>
  <si>
    <t>S4L1D-F</t>
  </si>
  <si>
    <t>AMD450PN5</t>
  </si>
  <si>
    <t>2506A-E15TAG1</t>
  </si>
  <si>
    <t>HCI544C</t>
  </si>
  <si>
    <t>AMD500PN5</t>
  </si>
  <si>
    <t>2506A-E15TAG2</t>
  </si>
  <si>
    <t>AMD600PN5</t>
  </si>
  <si>
    <t>2806A-E18TAG1A</t>
  </si>
  <si>
    <t>HCI544E</t>
  </si>
  <si>
    <t>AMD650PN5</t>
  </si>
  <si>
    <t>2806A-E18TAG2</t>
  </si>
  <si>
    <t>HCI544F</t>
  </si>
  <si>
    <t>AMD750PN5</t>
  </si>
  <si>
    <t>4006-23TAG2A</t>
  </si>
  <si>
    <t>HCI634G</t>
  </si>
  <si>
    <t>AMD800PN5</t>
  </si>
  <si>
    <t>4006-23TAG3A</t>
  </si>
  <si>
    <t>AMD900PN5</t>
  </si>
  <si>
    <t>4008TAG1A</t>
  </si>
  <si>
    <t>HCI634H</t>
  </si>
  <si>
    <t>AMD1000PN5</t>
  </si>
  <si>
    <t>4008TAG2A</t>
  </si>
  <si>
    <t>HCI634J</t>
  </si>
  <si>
    <t>AMD1125PN5</t>
  </si>
  <si>
    <t>4008-30TAG3</t>
  </si>
  <si>
    <t>HCI634K</t>
  </si>
  <si>
    <t>AMD1250PN5</t>
  </si>
  <si>
    <t>4012-46TWG2A</t>
  </si>
  <si>
    <t>PI734A</t>
  </si>
  <si>
    <t>AMD1350PN5</t>
  </si>
  <si>
    <t>4012-46TWG3A</t>
  </si>
  <si>
    <t>PI734B</t>
  </si>
  <si>
    <t>4012-46TAG1A</t>
  </si>
  <si>
    <t>AMD1500PN5</t>
  </si>
  <si>
    <t>4012-46TAG2A</t>
  </si>
  <si>
    <t>PI734C</t>
  </si>
  <si>
    <t>AMD1700PN5</t>
  </si>
  <si>
    <t>4012-46TAG3A</t>
  </si>
  <si>
    <t>PI734E</t>
  </si>
  <si>
    <t>AMD1850PN5</t>
  </si>
  <si>
    <t>4016TAG1A</t>
  </si>
  <si>
    <t>4016-61TRG1</t>
  </si>
  <si>
    <t>AMD2000PN5</t>
  </si>
  <si>
    <t>4016TAG2A</t>
  </si>
  <si>
    <t>PI734F</t>
  </si>
  <si>
    <t>4016-61TRG2</t>
  </si>
  <si>
    <t>AMD2250PN5</t>
  </si>
  <si>
    <t>4016-61TRG3</t>
  </si>
  <si>
    <t>PI734H</t>
  </si>
  <si>
    <r>
      <t xml:space="preserve">Genset ( Perkins_Stamford ) With builtin 3P ATS "SOCOMEC"
Frequency: </t>
    </r>
    <r>
      <rPr>
        <b/>
        <sz val="12"/>
        <color rgb="FFFF0000"/>
        <rFont val="Calibri"/>
        <family val="2"/>
        <scheme val="minor"/>
      </rPr>
      <t>50Hz</t>
    </r>
    <r>
      <rPr>
        <b/>
        <sz val="12"/>
        <rFont val="Calibri"/>
        <family val="2"/>
        <scheme val="minor"/>
      </rPr>
      <t xml:space="preserve">,Voltage: </t>
    </r>
    <r>
      <rPr>
        <b/>
        <sz val="12"/>
        <color rgb="FFFF0000"/>
        <rFont val="Calibri"/>
        <family val="2"/>
        <scheme val="minor"/>
      </rPr>
      <t>400-230V</t>
    </r>
    <r>
      <rPr>
        <b/>
        <sz val="12"/>
        <rFont val="Calibri"/>
        <family val="2"/>
        <scheme val="minor"/>
      </rPr>
      <t xml:space="preserve">  Standard Genset // </t>
    </r>
    <r>
      <rPr>
        <b/>
        <sz val="12"/>
        <color rgb="FFFF0000"/>
        <rFont val="Calibri"/>
        <family val="2"/>
        <scheme val="minor"/>
      </rPr>
      <t xml:space="preserve"> G.B.P =5 SAR</t>
    </r>
  </si>
  <si>
    <r>
      <rPr>
        <b/>
        <u/>
        <sz val="10"/>
        <color theme="1"/>
        <rFont val="Calibri"/>
        <family val="2"/>
        <scheme val="minor"/>
      </rPr>
      <t>Open Type with ATS</t>
    </r>
    <r>
      <rPr>
        <b/>
        <sz val="10"/>
        <color theme="1"/>
        <rFont val="Calibri"/>
        <family val="2"/>
        <scheme val="minor"/>
      </rPr>
      <t xml:space="preserve">
Price (SAR)</t>
    </r>
  </si>
  <si>
    <t>AMD6PN5 / ATS100</t>
  </si>
  <si>
    <t>AMD9PN5 / ATS100</t>
  </si>
  <si>
    <t>AMD13PN5 / ATS100</t>
  </si>
  <si>
    <t>AMD15PN5 / ATS100</t>
  </si>
  <si>
    <t>AMD20PN5 / ATS100</t>
  </si>
  <si>
    <t>AMD30PN5 / ATS100</t>
  </si>
  <si>
    <t>AMD45PN5 / ATS100</t>
  </si>
  <si>
    <t>AMD60PN5 / ATS100</t>
  </si>
  <si>
    <t>AMD65PN5 / ATS160</t>
  </si>
  <si>
    <t>AMD80PN5 / ATS160</t>
  </si>
  <si>
    <t>AMD100PN5 / ATS250</t>
  </si>
  <si>
    <t>AMD135PN5 / ATS250</t>
  </si>
  <si>
    <t>AMD150PN5 / ATS250</t>
  </si>
  <si>
    <t>AMD180PN5 / ATS400</t>
  </si>
  <si>
    <t>AMD200PN5 / ATS400</t>
  </si>
  <si>
    <t>AMD230PN5 / ATS400</t>
  </si>
  <si>
    <t>AMD250PN5 / ATS400</t>
  </si>
  <si>
    <t>UCI274K</t>
  </si>
  <si>
    <t>AMD275PN5 / ATS630</t>
  </si>
  <si>
    <t>AMD300PN5 / ATS630</t>
  </si>
  <si>
    <t>AMD350PN5 / ATS630</t>
  </si>
  <si>
    <t>AMD400PN5 / ATS800</t>
  </si>
  <si>
    <t>AMD450PN5 / ATS800</t>
  </si>
  <si>
    <t>AMD500PN5 / ATS800</t>
  </si>
  <si>
    <t>AMD600PN5 / ATS1000</t>
  </si>
  <si>
    <t>AMD650PN5 / ATS1250</t>
  </si>
  <si>
    <t>Standard Genset Cost  AMD6PN5 // Open Type</t>
  </si>
  <si>
    <t>p</t>
  </si>
  <si>
    <t>Item Description</t>
  </si>
  <si>
    <t>Item Code</t>
  </si>
  <si>
    <t>Qty</t>
  </si>
  <si>
    <t>Unit</t>
  </si>
  <si>
    <t>Unit Price</t>
  </si>
  <si>
    <t>Total Price</t>
  </si>
  <si>
    <t>1</t>
  </si>
  <si>
    <t>Perkins 403D-07G</t>
  </si>
  <si>
    <t>N</t>
  </si>
  <si>
    <t>n/a</t>
  </si>
  <si>
    <t>2</t>
  </si>
  <si>
    <t>ALTERNATOR STAMFORD PI044D</t>
  </si>
  <si>
    <t>3</t>
  </si>
  <si>
    <t>Engine Oil 15 W 40</t>
  </si>
  <si>
    <t>04030002</t>
  </si>
  <si>
    <t>L</t>
  </si>
  <si>
    <t>4</t>
  </si>
  <si>
    <t xml:space="preserve">Distilled Water </t>
  </si>
  <si>
    <t>04040003</t>
  </si>
  <si>
    <t>5</t>
  </si>
  <si>
    <t xml:space="preserve">Anti Freeze Coolant water </t>
  </si>
  <si>
    <t>04040001</t>
  </si>
  <si>
    <t>6</t>
  </si>
  <si>
    <t>2" silencer end to end</t>
  </si>
  <si>
    <t>24010007</t>
  </si>
  <si>
    <t>7</t>
  </si>
  <si>
    <t xml:space="preserve">Base Frame </t>
  </si>
  <si>
    <t>N/A</t>
  </si>
  <si>
    <t>8</t>
  </si>
  <si>
    <t>MOUNTING 400KG, METAL WITH RUBBER M14</t>
  </si>
  <si>
    <t>03010009</t>
  </si>
  <si>
    <t>9</t>
  </si>
  <si>
    <t>Electrical Pannel &amp; Harness 403 / 404</t>
  </si>
  <si>
    <t>27010001</t>
  </si>
  <si>
    <t>10</t>
  </si>
  <si>
    <t xml:space="preserve">Silencer support &amp;  Pipe Line </t>
  </si>
  <si>
    <t>11</t>
  </si>
  <si>
    <t>1C×50MM CU/PVC FELXIBLE CABLE RED,600/1000</t>
  </si>
  <si>
    <t>01010061</t>
  </si>
  <si>
    <t>M</t>
  </si>
  <si>
    <t>12</t>
  </si>
  <si>
    <t>1C×50MM CU/PVC FLEXIBLE CABLE,450/750V</t>
  </si>
  <si>
    <t>01010004</t>
  </si>
  <si>
    <t>13</t>
  </si>
  <si>
    <t>1C×16MM CU/XLPE/PVC CABLE G&amp;Y</t>
  </si>
  <si>
    <t>01010020</t>
  </si>
  <si>
    <t>14</t>
  </si>
  <si>
    <t>BATTERY 40AH</t>
  </si>
  <si>
    <t>01080012</t>
  </si>
  <si>
    <t>15</t>
  </si>
  <si>
    <t>1C×10MM Flexible Cable</t>
  </si>
  <si>
    <t>02070059</t>
  </si>
  <si>
    <t>16</t>
  </si>
  <si>
    <t>CT 60/5</t>
  </si>
  <si>
    <t>01030014</t>
  </si>
  <si>
    <t>17</t>
  </si>
  <si>
    <t>MCB 40 A</t>
  </si>
  <si>
    <t>01020029</t>
  </si>
  <si>
    <t>18</t>
  </si>
  <si>
    <t xml:space="preserve">Consumables </t>
  </si>
  <si>
    <t>19</t>
  </si>
  <si>
    <t xml:space="preserve">Custom Duty: (TAX) </t>
  </si>
  <si>
    <t>20</t>
  </si>
  <si>
    <t xml:space="preserve">Transportation from UK: </t>
  </si>
  <si>
    <t>21</t>
  </si>
  <si>
    <t xml:space="preserve">LC Charge: </t>
  </si>
  <si>
    <t>22</t>
  </si>
  <si>
    <t>Clearance</t>
  </si>
  <si>
    <t>Total</t>
  </si>
  <si>
    <t xml:space="preserve">Optional ATS included  Genset Cost Price </t>
  </si>
  <si>
    <t>Item description</t>
  </si>
  <si>
    <t>Item code</t>
  </si>
  <si>
    <t>EP controller replacement 6120-6110</t>
  </si>
  <si>
    <t>EP - ATS Enclosure replacment</t>
  </si>
  <si>
    <t>Canopy size replacement</t>
  </si>
  <si>
    <t>ATYS , 4P , 100 A</t>
  </si>
  <si>
    <t>Battery Charger 12V, 3A</t>
  </si>
  <si>
    <t>01050001</t>
  </si>
  <si>
    <t>Round Relay Base 11 Pin</t>
  </si>
  <si>
    <t>02020019</t>
  </si>
  <si>
    <t>Relay 230V Coil 10A switch Rating/11Pin</t>
  </si>
  <si>
    <t>02020022</t>
  </si>
  <si>
    <t>Relay 12VDC, 14 Pin</t>
  </si>
  <si>
    <t>02020002</t>
  </si>
  <si>
    <t>Relay Base 14 Pin</t>
  </si>
  <si>
    <t>02020006</t>
  </si>
  <si>
    <t>Busbar</t>
  </si>
  <si>
    <t xml:space="preserve">Fuse Carrier </t>
  </si>
  <si>
    <t>02010001</t>
  </si>
  <si>
    <t xml:space="preserve">Fuse </t>
  </si>
  <si>
    <t>02010007</t>
  </si>
  <si>
    <t>MCB,10A</t>
  </si>
  <si>
    <t>01020015</t>
  </si>
  <si>
    <t>MCB,20A</t>
  </si>
  <si>
    <t>01020013</t>
  </si>
  <si>
    <t>Consuamles</t>
  </si>
  <si>
    <t>set</t>
  </si>
  <si>
    <t>ATS included Genset Total Cost</t>
  </si>
  <si>
    <t>R00</t>
  </si>
  <si>
    <t>Standard Genset Cost AMD9PN5 // Open Type</t>
  </si>
  <si>
    <t>GPB</t>
  </si>
  <si>
    <t>Perkins 403A-11G1</t>
  </si>
  <si>
    <t>ALTERNATOR STAMFORD "S0L1-D"</t>
  </si>
  <si>
    <t xml:space="preserve">Silencer Support &amp; pipe line </t>
  </si>
  <si>
    <t xml:space="preserve">TOTAL </t>
  </si>
  <si>
    <t>Standard Genset Cost   AMD13PN5 // Open Type</t>
  </si>
  <si>
    <t>Perkins 403A-15G1</t>
  </si>
  <si>
    <t>ALTERNATOR STAMFORD S0L1-L</t>
  </si>
  <si>
    <t>28010001</t>
  </si>
  <si>
    <t>Standard Genset Cost Price  AMD15PN5 // Open Type</t>
  </si>
  <si>
    <t>Perkins 403A-15G2</t>
  </si>
  <si>
    <t>06010051</t>
  </si>
  <si>
    <t>ALTERNATOR STAMFORD S0L1-P</t>
  </si>
  <si>
    <t>06010054</t>
  </si>
  <si>
    <t>Base Frame</t>
  </si>
  <si>
    <t xml:space="preserve">silencer support &amp; pipe line </t>
  </si>
  <si>
    <t>Standard Genset Cost AMD20PN5 // Open Type</t>
  </si>
  <si>
    <t>Perkins 404A-22G1</t>
  </si>
  <si>
    <t>ALTERNATOR STAMFORD S0L2-G</t>
  </si>
  <si>
    <t xml:space="preserve">Silencer support &amp; pipe line </t>
  </si>
  <si>
    <t>Standard Genset Cost AMD30PN5  // Open Type</t>
  </si>
  <si>
    <t>PERKINS ENGINE 1103A-33G</t>
  </si>
  <si>
    <t>06020041</t>
  </si>
  <si>
    <t>ALTERNATOR STAMFORD S0L2-P</t>
  </si>
  <si>
    <t>06020047</t>
  </si>
  <si>
    <t xml:space="preserve">Distilled water </t>
  </si>
  <si>
    <t xml:space="preserve">Anti freeze coolant water </t>
  </si>
  <si>
    <t>END TO END RESIDENTIAL SILENCER 3"to 4"</t>
  </si>
  <si>
    <t>24010006</t>
  </si>
  <si>
    <t xml:space="preserve">Silencer Support &amp; pipe Line </t>
  </si>
  <si>
    <t>Electrical Pannel &amp; Harness 1103 / 1104</t>
  </si>
  <si>
    <t>1.5</t>
  </si>
  <si>
    <t>PLASTIC CABLE GLAND 63MM</t>
  </si>
  <si>
    <t>01040017</t>
  </si>
  <si>
    <t>MCCB 60A,3P</t>
  </si>
  <si>
    <t>01020043</t>
  </si>
  <si>
    <t>BATTERY 50AH</t>
  </si>
  <si>
    <t>01080007</t>
  </si>
  <si>
    <t>1CX35MM, CU/PVC CABLE ,Y/G</t>
  </si>
  <si>
    <t>01010035</t>
  </si>
  <si>
    <t>1C×16MM CU/PVC FLEXIBLE CABLE</t>
  </si>
  <si>
    <t>02070075</t>
  </si>
  <si>
    <t>23</t>
  </si>
  <si>
    <t>Standard Genset Cost  AMD45PN5 // Open Type</t>
  </si>
  <si>
    <t>PERKINS ENGINE 1103A-33TG1</t>
  </si>
  <si>
    <t>ALTERNATOR STAMFORD UCI224D</t>
  </si>
  <si>
    <t xml:space="preserve">Silencer support &amp; pipe Line </t>
  </si>
  <si>
    <t>MCCB 100A,3P</t>
  </si>
  <si>
    <t>Standard Genset Cost  AMD60PN5 // Open Type</t>
  </si>
  <si>
    <t>PERKINS ENGINE 1103A-33TG2</t>
  </si>
  <si>
    <t>ALTERNATOR STAMFORD S1L2Y</t>
  </si>
  <si>
    <t>Standard Genset Cost  AMD65PN // Open Type</t>
  </si>
  <si>
    <t>Perkins Engine 1104A-44TG1</t>
  </si>
  <si>
    <t>stamfored Alternator SIL2Y</t>
  </si>
  <si>
    <t>Distilled water</t>
  </si>
  <si>
    <t>Anti Freeze Coolant water</t>
  </si>
  <si>
    <t xml:space="preserve">3" to 4" end to end silencer </t>
  </si>
  <si>
    <t>MOUNTING 400KG, METAL WITH RUBBER M16</t>
  </si>
  <si>
    <t>03010010</t>
  </si>
  <si>
    <t>CT 150/5</t>
  </si>
  <si>
    <t>01030012</t>
  </si>
  <si>
    <t>MCCB LSIS 125A, 3P</t>
  </si>
  <si>
    <t>01020049</t>
  </si>
  <si>
    <t>7.5</t>
  </si>
  <si>
    <t>Base Frame  replacement</t>
  </si>
  <si>
    <t>ATYS , 3P , 160 A</t>
  </si>
  <si>
    <t>25010002</t>
  </si>
  <si>
    <t xml:space="preserve">Busbar 40*5 </t>
  </si>
  <si>
    <t>01060014</t>
  </si>
  <si>
    <t>Busbar insulator 10*40</t>
  </si>
  <si>
    <t>01060005</t>
  </si>
  <si>
    <t>Standard Genset Cost AMD80PN // Open Type</t>
  </si>
  <si>
    <t>Perkins Engine 1104C-44TG2</t>
  </si>
  <si>
    <t>stamfored Alternator UCI224G</t>
  </si>
  <si>
    <t>MCCB LSIS 150A, 3P</t>
  </si>
  <si>
    <t>base frame  replacement</t>
  </si>
  <si>
    <t>Standard Genset Cost AMD80,PN // Open Type</t>
  </si>
  <si>
    <t>Perkins Engine 1104C-44TAG1</t>
  </si>
  <si>
    <t>Base Frame replacement</t>
  </si>
  <si>
    <t>Standard Genset Cost AMD100PN // Open Type</t>
  </si>
  <si>
    <t>Perkins Engine 1104C-44TAG2</t>
  </si>
  <si>
    <t>06020043</t>
  </si>
  <si>
    <t>stamfored Alternator UCI274C</t>
  </si>
  <si>
    <t>06020068</t>
  </si>
  <si>
    <t>Silencer Support &amp; pipe line</t>
  </si>
  <si>
    <t>CT 200/5</t>
  </si>
  <si>
    <t>MCCB LSIS 175A, 3P</t>
  </si>
  <si>
    <t>ATYS , 3P , 250 A</t>
  </si>
  <si>
    <t>25010003</t>
  </si>
  <si>
    <t>Standard Genset Cost AMD135PN // Open Type</t>
  </si>
  <si>
    <t>Perkins Engine 1106A-70TG1</t>
  </si>
  <si>
    <t>stamfored Alternator UCI274E</t>
  </si>
  <si>
    <t>END TO END RESIDENTIAL SILENCER 4"</t>
  </si>
  <si>
    <t>24010004</t>
  </si>
  <si>
    <t>Electrical Pannel &amp; Harness 1106  3500X1200X1400</t>
  </si>
  <si>
    <t>27010003</t>
  </si>
  <si>
    <t xml:space="preserve">silencer support &amp; pipe Line </t>
  </si>
  <si>
    <t>CT 300/5</t>
  </si>
  <si>
    <t>01030010</t>
  </si>
  <si>
    <t>MCCB LSIS 250A, 3P</t>
  </si>
  <si>
    <t>01020050</t>
  </si>
  <si>
    <t>1C×95MM CU/PVC FLEXIBLE CABLE</t>
  </si>
  <si>
    <t>01010013</t>
  </si>
  <si>
    <t>BATTERY 70A FREE MAINTENANCE</t>
  </si>
  <si>
    <t>01080003</t>
  </si>
  <si>
    <t>1CX50MM CU/PVC Y/G CABLE</t>
  </si>
  <si>
    <t>01010056</t>
  </si>
  <si>
    <t>Base Frame Replacement</t>
  </si>
  <si>
    <t>Standard Genset Cost AMD150PN  // Open Type</t>
  </si>
  <si>
    <t>Perkins Engine 1106A-70TAG2</t>
  </si>
  <si>
    <t>06020049</t>
  </si>
  <si>
    <t>stamfored Alternator UCI274F</t>
  </si>
  <si>
    <t>06020065</t>
  </si>
  <si>
    <t xml:space="preserve">BASE FRAME </t>
  </si>
  <si>
    <t>Standard Genset Cost  AMD180PN // Open Type</t>
  </si>
  <si>
    <t>Perkins Engine 1106A-70TAG3</t>
  </si>
  <si>
    <t>stamfored Alternator UCI274G</t>
  </si>
  <si>
    <t>MCCB LSIS 300A, 3P</t>
  </si>
  <si>
    <t>01020010</t>
  </si>
  <si>
    <t>1C×120MM CU/PVC FLEXIBLE CABLE</t>
  </si>
  <si>
    <t>01010012</t>
  </si>
  <si>
    <t>base frame replacement</t>
  </si>
  <si>
    <t>ATYS , 3P , 400 A</t>
  </si>
  <si>
    <t>Standard Genset Cost AMD200PN // Open Type</t>
  </si>
  <si>
    <t>Perkins Engine 1106A-70TAG4</t>
  </si>
  <si>
    <t>stamfored Alternator UCI274H</t>
  </si>
  <si>
    <t>BASE FRAME</t>
  </si>
  <si>
    <t>CT 400/5</t>
  </si>
  <si>
    <t>01030009</t>
  </si>
  <si>
    <t>MCCB LSIS 350A, 3P</t>
  </si>
  <si>
    <t>01020054</t>
  </si>
  <si>
    <t>Standard Genset Cost AMD200.PN // Open Type</t>
  </si>
  <si>
    <t>Perkins Engine 1506A-E88TAG1</t>
  </si>
  <si>
    <t>MOUNTING 600KG, METAL WITH RUBBER M14</t>
  </si>
  <si>
    <t>Electrical Pannel &amp; Harness 1506</t>
  </si>
  <si>
    <t>27010004</t>
  </si>
  <si>
    <t>BATTERY 100A FREE MAINTENANCE</t>
  </si>
  <si>
    <t>01080011</t>
  </si>
  <si>
    <t>2501000</t>
  </si>
  <si>
    <t>Battery Charger 24V, 5A</t>
  </si>
  <si>
    <t>01050002</t>
  </si>
  <si>
    <t>Standard Genset Cost AMD230PN // Open Type</t>
  </si>
  <si>
    <t>Perkins Engine 1506A-E88TAG2</t>
  </si>
  <si>
    <t>stamfored Alternator UCI274J</t>
  </si>
  <si>
    <t>silencer support &amp; pipe line</t>
  </si>
  <si>
    <t>MCCB LSIS 400A, 3P</t>
  </si>
  <si>
    <t>01020009</t>
  </si>
  <si>
    <t>Standard Genset Cost  AMD250PN // Open Type</t>
  </si>
  <si>
    <t>Perkins Engine 1506A-E88TAG3</t>
  </si>
  <si>
    <t>stamfored Alternator UCDI274K</t>
  </si>
  <si>
    <t xml:space="preserve"> Base Frame replacement</t>
  </si>
  <si>
    <t>Standard Genset Cost AMD275PN // Open Type</t>
  </si>
  <si>
    <t>Perkins Engine 1506A-E88TAG4</t>
  </si>
  <si>
    <t>stamfored Alternator S4L1D-D</t>
  </si>
  <si>
    <t>CT 500/5</t>
  </si>
  <si>
    <t>01030008</t>
  </si>
  <si>
    <t>MCCB LSIS 500A, 3P</t>
  </si>
  <si>
    <t>01020008</t>
  </si>
  <si>
    <t>1C×240MM CU/PVC FLEXIBLE CABLE</t>
  </si>
  <si>
    <t>01010073</t>
  </si>
  <si>
    <t>ATYS , 3P , 630 A</t>
  </si>
  <si>
    <t>25010005</t>
  </si>
  <si>
    <t>Standard Genset Cost AMD300PN  // Open Type</t>
  </si>
  <si>
    <t>Perkins Engine 1506A-E88TAG5</t>
  </si>
  <si>
    <t>Standard Genset Cost AMD350PN // Open Type</t>
  </si>
  <si>
    <t>Perkins Engine 2206A-E13TAG2</t>
  </si>
  <si>
    <t>stamfored Alternator S4L1D-E</t>
  </si>
  <si>
    <t xml:space="preserve">5" to 6" side to end silencer </t>
  </si>
  <si>
    <t>24010001</t>
  </si>
  <si>
    <t>Electrical Pannel &amp; Harness 2000</t>
  </si>
  <si>
    <t>27010005</t>
  </si>
  <si>
    <t>CT 600/5</t>
  </si>
  <si>
    <t>01030007</t>
  </si>
  <si>
    <t>MCCB LSIS 630A, 3P</t>
  </si>
  <si>
    <t>01020032</t>
  </si>
  <si>
    <t>BATTERY 120A FREE MAINTENANCE</t>
  </si>
  <si>
    <t>01080010</t>
  </si>
  <si>
    <t>Busbar 40*10</t>
  </si>
  <si>
    <t>01060003</t>
  </si>
  <si>
    <t>Standard Genset Cost AMD400PN // Open Type</t>
  </si>
  <si>
    <t>Perkins Engine 2206A-E13TAG3</t>
  </si>
  <si>
    <t>stamfored Alternator S4L1D-F</t>
  </si>
  <si>
    <t>CT 800/5</t>
  </si>
  <si>
    <t>MCCB LSIS 800A, 3P</t>
  </si>
  <si>
    <t>ATYS , 3P , 800 A</t>
  </si>
  <si>
    <t>25010006</t>
  </si>
  <si>
    <t>Standard Genset Cost AMD450PN // Open Type</t>
  </si>
  <si>
    <t>Perkins Engine 2506A-E15TAG1</t>
  </si>
  <si>
    <t>stamfored Alternator HCI544C</t>
  </si>
  <si>
    <t xml:space="preserve">Silencer Sipport &amp; pipe Line </t>
  </si>
  <si>
    <t>Standard Genset Cost  AMD500PN // Open Type</t>
  </si>
  <si>
    <t>Perkins Engine 2506A-E15TAG2</t>
  </si>
  <si>
    <t xml:space="preserve">Silencer Supprt &amp; pipe Line </t>
  </si>
  <si>
    <t>Standard Genset Cost AMD600PN // Open Type</t>
  </si>
  <si>
    <t>Perkins Engine 2806A-E18TAG1</t>
  </si>
  <si>
    <t>stamfored Alternator HCI544E</t>
  </si>
  <si>
    <t xml:space="preserve">8" to 10" end to end silencer </t>
  </si>
  <si>
    <t>24010010</t>
  </si>
  <si>
    <t>Mounting 1000KG, Metal with Rubber M20</t>
  </si>
  <si>
    <t>03010005</t>
  </si>
  <si>
    <t>Electrical Pannel &amp; Harness 2806</t>
  </si>
  <si>
    <t>27010006</t>
  </si>
  <si>
    <t>CT 1000/5</t>
  </si>
  <si>
    <t>01030005</t>
  </si>
  <si>
    <t>MCCB LSIS 1000A, 3P</t>
  </si>
  <si>
    <t>01020005</t>
  </si>
  <si>
    <t>BATTERY 150A FREE MAINTENANCE</t>
  </si>
  <si>
    <t>01080004</t>
  </si>
  <si>
    <t>24</t>
  </si>
  <si>
    <t>base Frame replacement</t>
  </si>
  <si>
    <t>ATYS , 3P , 1000 A</t>
  </si>
  <si>
    <t>25010007</t>
  </si>
  <si>
    <t>Busbar 50*10</t>
  </si>
  <si>
    <t>01060011</t>
  </si>
  <si>
    <t>Standard Genset Cost  AMD650PN // Open Type</t>
  </si>
  <si>
    <t>Perkins Engine 2806A-E18TAG2</t>
  </si>
  <si>
    <t>stamfored Alternator HCI544F</t>
  </si>
  <si>
    <t>CT 1600/5</t>
  </si>
  <si>
    <t>01030003</t>
  </si>
  <si>
    <t>MCCB LSIS 1250A, 3P</t>
  </si>
  <si>
    <t>01020004</t>
  </si>
  <si>
    <t>ATYS , 3P , 1250A</t>
  </si>
  <si>
    <t>25010008</t>
  </si>
  <si>
    <t>Busbar 60*10</t>
  </si>
  <si>
    <t>01060002</t>
  </si>
  <si>
    <t xml:space="preserve">Standard Genset Cost AMD750PN // Open Type </t>
  </si>
  <si>
    <t>Perkins Engine 4006-23TAG2A</t>
  </si>
  <si>
    <t>stamfored Alternator HCI634G</t>
  </si>
  <si>
    <t xml:space="preserve">6" to 10 " side to end double inlet silencer </t>
  </si>
  <si>
    <t xml:space="preserve">Electrical Pannel </t>
  </si>
  <si>
    <t>Standard Genset Cost  AMD850PN // Open Type</t>
  </si>
  <si>
    <t>Perkins Engine 4006-23TAG3A</t>
  </si>
  <si>
    <t>MCCB LSIS 1600A, 3P</t>
  </si>
  <si>
    <t>01020003</t>
  </si>
  <si>
    <t>Standard Genset Cost AMD900PN // Open Type</t>
  </si>
  <si>
    <t>Perkins Engine 4008-TAG1A</t>
  </si>
  <si>
    <t>stamfored Alternator HCI634H</t>
  </si>
  <si>
    <t>8" TO 10 " END TO END</t>
  </si>
  <si>
    <t xml:space="preserve">Standard Genset Cost  AMD1000PN // Open Type </t>
  </si>
  <si>
    <t>Perkins Engine 4008-TAG2A</t>
  </si>
  <si>
    <t>stamfored Alternator HCI634J</t>
  </si>
  <si>
    <t>Standard Genset Cost  AMD1125PN // Open Type</t>
  </si>
  <si>
    <t>Perkins Engine 4008-30TAG3</t>
  </si>
  <si>
    <t>stamfored Alternator HCI634K</t>
  </si>
  <si>
    <t>CT 2000/5</t>
  </si>
  <si>
    <t>ACB LSIS 2000A, 3P</t>
  </si>
  <si>
    <t>01020002</t>
  </si>
  <si>
    <t>Standard Genset Cost  AMD1250PN // Open Type</t>
  </si>
  <si>
    <t>Perkins Engine 4012-46TWG2A</t>
  </si>
  <si>
    <t>stamfored Alternator PI734A</t>
  </si>
  <si>
    <t xml:space="preserve">10" TO 12" end to end silencer </t>
  </si>
  <si>
    <t>01030002</t>
  </si>
  <si>
    <t>Standard Genset Cost AMD1350'PN // Open Type</t>
  </si>
  <si>
    <t>Perkins Engine 4012-46TWG3A</t>
  </si>
  <si>
    <t>stamfored Alternator PI734B</t>
  </si>
  <si>
    <t>Electrical Pannel</t>
  </si>
  <si>
    <t>CT 2500/5</t>
  </si>
  <si>
    <t>ACB LSIS 2500A, 3P</t>
  </si>
  <si>
    <t>Standard Genset Cost  AMD1350PN // Open Type</t>
  </si>
  <si>
    <t>Perkins Engine 4012-46TAG1A</t>
  </si>
  <si>
    <t>Standard Genset Cost  AMD1500PN // Open Type</t>
  </si>
  <si>
    <t>Perkins Engine 4012-46TAG2A</t>
  </si>
  <si>
    <t>stamfored Alternator PI734C</t>
  </si>
  <si>
    <t>Standard Genset Cost AMD1700PN  // Open Type</t>
  </si>
  <si>
    <t>Perkins Engine 4012-46TAG3A</t>
  </si>
  <si>
    <t>stamfored Alternator PI734E</t>
  </si>
  <si>
    <t>CT 3200/5</t>
  </si>
  <si>
    <t>01030001</t>
  </si>
  <si>
    <t>ACB LSIS 3200A, 3P</t>
  </si>
  <si>
    <t>01020001</t>
  </si>
  <si>
    <t>Standard Genset Cost AMD1850PN // Open Type</t>
  </si>
  <si>
    <t>Perkins Engine 4016-TAG1A</t>
  </si>
  <si>
    <t xml:space="preserve">10" to 12" end to end silencer </t>
  </si>
  <si>
    <t>Spring Mounting 1500 KG</t>
  </si>
  <si>
    <t>03010012</t>
  </si>
  <si>
    <t>28</t>
  </si>
  <si>
    <t>Standard Genset Cost AMD1850'PN // Open Type</t>
  </si>
  <si>
    <t>Perkins Engine 4016-61TRG1</t>
  </si>
  <si>
    <t>Standard Genset Cost  AMD2000PN // Open Type</t>
  </si>
  <si>
    <t>Perkins Engine 4016-TAG2</t>
  </si>
  <si>
    <t>stamfored Alternator PI734F</t>
  </si>
  <si>
    <t>CT4000/5</t>
  </si>
  <si>
    <t>ACB LSIS 4000A, 3P</t>
  </si>
  <si>
    <t>Standard Genset Cost  AMD2000'PN // Open Type</t>
  </si>
  <si>
    <t>Perkins Engine 4016-61TRG2</t>
  </si>
  <si>
    <t>Standard Genset Cost  AMD2250PN // Open Type</t>
  </si>
  <si>
    <t>Perkins Engine 4016-61TRG3</t>
  </si>
  <si>
    <t>stamfored Alternator PI734H</t>
  </si>
  <si>
    <t xml:space="preserve">BOQ FOR AMD6PN5-Open Type </t>
  </si>
  <si>
    <t>P</t>
  </si>
  <si>
    <t>ITEM DESCRIPTION</t>
  </si>
  <si>
    <t>ITEM CODE</t>
  </si>
  <si>
    <t>QTY</t>
  </si>
  <si>
    <t>UNIT</t>
  </si>
  <si>
    <t>UNIT PRICE</t>
  </si>
  <si>
    <t>TOTAL PRICE</t>
  </si>
  <si>
    <t>SILENCER SUPPORT &amp; PIPE LINE</t>
  </si>
  <si>
    <t>GI PIPE 3"X2MM</t>
  </si>
  <si>
    <t>03030055</t>
  </si>
  <si>
    <t>M.S ELBOW 3''</t>
  </si>
  <si>
    <t>03030010</t>
  </si>
  <si>
    <t>FLEXIBLE JOINTER 3''</t>
  </si>
  <si>
    <t>03030019</t>
  </si>
  <si>
    <t>GI REDUCER CONNECTOR 2.5" TO 3"X2MM</t>
  </si>
  <si>
    <t>03030048</t>
  </si>
  <si>
    <t>Saddle Clamp 3 "</t>
  </si>
  <si>
    <t>03030065</t>
  </si>
  <si>
    <t>Hose Clips 4"</t>
  </si>
  <si>
    <t>03020140</t>
  </si>
  <si>
    <t>FIBER GLASS MUFFLER COATING 4"</t>
  </si>
  <si>
    <t>03030044</t>
  </si>
  <si>
    <t>MS sheet 1.2*2.4*2mm</t>
  </si>
  <si>
    <t>Consumables</t>
  </si>
  <si>
    <t>Price</t>
  </si>
  <si>
    <t>Oxygen</t>
  </si>
  <si>
    <t xml:space="preserve">Acyteline </t>
  </si>
  <si>
    <t>Cutting disk 4.5</t>
  </si>
  <si>
    <t>Grinding Disk 4.5</t>
  </si>
  <si>
    <t xml:space="preserve">Cutting Disk 14 </t>
  </si>
  <si>
    <t>Welding rod 3.2</t>
  </si>
  <si>
    <t>welding rod 2.5</t>
  </si>
  <si>
    <t xml:space="preserve">Primer Paint </t>
  </si>
  <si>
    <t xml:space="preserve">Black Paint </t>
  </si>
  <si>
    <t xml:space="preserve">anti heat Silver paint </t>
  </si>
  <si>
    <t xml:space="preserve">welding glass </t>
  </si>
  <si>
    <t xml:space="preserve">Gloves </t>
  </si>
  <si>
    <t>Thinner</t>
  </si>
  <si>
    <t xml:space="preserve">roller for paint </t>
  </si>
  <si>
    <t>EP</t>
  </si>
  <si>
    <t xml:space="preserve"> PLASTIC CABLE GLAND 29MM</t>
  </si>
  <si>
    <t>01040022</t>
  </si>
  <si>
    <t>PLASTIC CABLE GLAND 28MM</t>
  </si>
  <si>
    <t>01040114</t>
  </si>
  <si>
    <t>WATER TEMPERATURE SENSOR1/2"</t>
  </si>
  <si>
    <t>02060001</t>
  </si>
  <si>
    <t>OIL PRESSURE SENSOR 10 BAR,1/8"</t>
  </si>
  <si>
    <t>02060002</t>
  </si>
  <si>
    <t>RELAY 12 VDC,14 PIN</t>
  </si>
  <si>
    <t>RELAY BASE 14 PIN</t>
  </si>
  <si>
    <t>Auto Mobile relay 12 Volt</t>
  </si>
  <si>
    <t>02020024</t>
  </si>
  <si>
    <t>MCB 20A,1P</t>
  </si>
  <si>
    <t>MCB 10A,1P</t>
  </si>
  <si>
    <t>DSE 6110 MKII</t>
  </si>
  <si>
    <t>02030010</t>
  </si>
  <si>
    <t>AUTO HAND SELECTOR ON/OFF</t>
  </si>
  <si>
    <t>02040007</t>
  </si>
  <si>
    <t>FUSE CARRIER 32A</t>
  </si>
  <si>
    <t>FUSE 2A,10×32MM</t>
  </si>
  <si>
    <t>EMERGENCY BUSH BUTTON</t>
  </si>
  <si>
    <t>02040004</t>
  </si>
  <si>
    <t>Hinges 40*40*5</t>
  </si>
  <si>
    <t>09040015</t>
  </si>
  <si>
    <t>Quarter Turn Latch</t>
  </si>
  <si>
    <t>09040014</t>
  </si>
  <si>
    <t>Busbar 40*5</t>
  </si>
  <si>
    <t>GI SHEET 2MX1.2MX2MM</t>
  </si>
  <si>
    <t>05010047</t>
  </si>
  <si>
    <t>Terminal Block 2.5</t>
  </si>
  <si>
    <t>Dain Rail 35 mm</t>
  </si>
  <si>
    <t>Trunking 45*25 mm</t>
  </si>
  <si>
    <t xml:space="preserve">insulation Tape </t>
  </si>
  <si>
    <t xml:space="preserve">Super Glue </t>
  </si>
  <si>
    <t xml:space="preserve">Battery Terminal </t>
  </si>
  <si>
    <t xml:space="preserve">End Stopper </t>
  </si>
  <si>
    <t>Bolts</t>
  </si>
  <si>
    <t xml:space="preserve">Nuts &amp; washer </t>
  </si>
  <si>
    <t>Numbering</t>
  </si>
  <si>
    <t xml:space="preserve">1 mm wire </t>
  </si>
  <si>
    <t xml:space="preserve">2.5 mm wire </t>
  </si>
  <si>
    <t xml:space="preserve">6 mm wire </t>
  </si>
  <si>
    <t>flexible pipe 16</t>
  </si>
  <si>
    <t>flexible pipe 25</t>
  </si>
  <si>
    <t xml:space="preserve">shrinkable tubes </t>
  </si>
  <si>
    <t xml:space="preserve">sprial </t>
  </si>
  <si>
    <t>terminal lugs , forks , rings</t>
  </si>
  <si>
    <t xml:space="preserve">Cable lugs </t>
  </si>
  <si>
    <t>SILENCER</t>
  </si>
  <si>
    <t>MS SHEET 2.4X1.2X2MM</t>
  </si>
  <si>
    <t>05010006</t>
  </si>
  <si>
    <t>Roll Rockwool  50mm, 48KG/m3</t>
  </si>
  <si>
    <t>09040077</t>
  </si>
  <si>
    <t>M2</t>
  </si>
  <si>
    <t>GI PIPE 4"X2MM</t>
  </si>
  <si>
    <t>03030056</t>
  </si>
  <si>
    <t>Welding Rod 3.2</t>
  </si>
  <si>
    <t>Gringing disk 4.5</t>
  </si>
  <si>
    <t>Cutting Disk 14</t>
  </si>
  <si>
    <t xml:space="preserve">Welding Glass </t>
  </si>
  <si>
    <t xml:space="preserve">Thinner </t>
  </si>
  <si>
    <t>anti heat Silver Paint</t>
  </si>
  <si>
    <t xml:space="preserve">Masking Tape </t>
  </si>
  <si>
    <t xml:space="preserve">Oxygen </t>
  </si>
  <si>
    <t>Acyteline</t>
  </si>
  <si>
    <t>MS SHEET 2.4M x 1.2M x 3MM</t>
  </si>
  <si>
    <t>05010033</t>
  </si>
  <si>
    <t>2.4</t>
  </si>
  <si>
    <t>Ms ShEET 2.4M x 1.2M x 10MM</t>
  </si>
  <si>
    <t>.04</t>
  </si>
  <si>
    <t>FUEL TANK SOCKET WITH CAP 2"X100MM</t>
  </si>
  <si>
    <t>09040063</t>
  </si>
  <si>
    <t>FUEL SENSOR 12/24V 10,180 OHM</t>
  </si>
  <si>
    <t>02060003</t>
  </si>
  <si>
    <t>MS PIPE SCH40X 1/2"</t>
  </si>
  <si>
    <t>0.1</t>
  </si>
  <si>
    <t>End Cap GI 3/4"</t>
  </si>
  <si>
    <t>03020018</t>
  </si>
  <si>
    <t>End CapGI  1"</t>
  </si>
  <si>
    <t>03020015</t>
  </si>
  <si>
    <t>MS Socket 1/2"</t>
  </si>
  <si>
    <t>03020057</t>
  </si>
  <si>
    <t>MS socket 3/4"</t>
  </si>
  <si>
    <t>03020122</t>
  </si>
  <si>
    <t>MS Socket 1"</t>
  </si>
  <si>
    <t>03020077</t>
  </si>
  <si>
    <t>Parrel Nipple 1/2" x 100mm</t>
  </si>
  <si>
    <t>03020088</t>
  </si>
  <si>
    <t>MS Elbow 1/2"</t>
  </si>
  <si>
    <t>03020168</t>
  </si>
  <si>
    <t>MS Hex Nipple 1/2"</t>
  </si>
  <si>
    <t>03020216</t>
  </si>
  <si>
    <t>Grinding disk 4.5 " mm</t>
  </si>
  <si>
    <t>acyteline cylinder</t>
  </si>
  <si>
    <t>oxygen cylinder</t>
  </si>
  <si>
    <t>cutting disk 4.5 "</t>
  </si>
  <si>
    <t>welding rod 3.2</t>
  </si>
  <si>
    <t>Cutting Disk 14 "</t>
  </si>
  <si>
    <t>Welding Glass</t>
  </si>
  <si>
    <t xml:space="preserve">Soup </t>
  </si>
  <si>
    <t>Primer Paint</t>
  </si>
  <si>
    <t>Black Paint</t>
  </si>
  <si>
    <t xml:space="preserve">Teflon </t>
  </si>
  <si>
    <t>Painting Cloth</t>
  </si>
  <si>
    <t xml:space="preserve">Complete Genset </t>
  </si>
  <si>
    <t xml:space="preserve">Mounting Bolts </t>
  </si>
  <si>
    <t>Hydraulic diesel Pipe 3/4</t>
  </si>
  <si>
    <t xml:space="preserve">Fuel Inlet &amp; Return </t>
  </si>
  <si>
    <t>Threded rod 10 mm</t>
  </si>
  <si>
    <t>nut &amp; threaded rod for hook</t>
  </si>
  <si>
    <t xml:space="preserve">Hose Clips </t>
  </si>
  <si>
    <t xml:space="preserve">Petrol </t>
  </si>
  <si>
    <t xml:space="preserve">Diesel For Testing </t>
  </si>
  <si>
    <t xml:space="preserve">washer &amp; spring washer </t>
  </si>
  <si>
    <t xml:space="preserve">Sticker </t>
  </si>
  <si>
    <t xml:space="preserve">Name Plate </t>
  </si>
  <si>
    <t xml:space="preserve">Touch Up paint </t>
  </si>
  <si>
    <t xml:space="preserve">Painting Cloth </t>
  </si>
  <si>
    <t>Hydraulic diesel Pipe 1/4</t>
  </si>
  <si>
    <t>Consumables Items</t>
  </si>
  <si>
    <t>WATER TEMPERATURE SENSOR 3/8"</t>
  </si>
  <si>
    <t>02060006</t>
  </si>
  <si>
    <t>Auto Mobile  relay 12 V</t>
  </si>
  <si>
    <t xml:space="preserve"> DSE CONTROLLER MODEL 6110, MKII</t>
  </si>
  <si>
    <t>quarter turn latches</t>
  </si>
  <si>
    <t>2.75</t>
  </si>
  <si>
    <t>GI SHEET 1.5MX1.2MX1.8MM, G90, ZERO SPANGLE</t>
  </si>
  <si>
    <t>05010024</t>
  </si>
  <si>
    <t>Job</t>
  </si>
  <si>
    <t xml:space="preserve">Working Hours </t>
  </si>
  <si>
    <t xml:space="preserve">Hour Rate </t>
  </si>
  <si>
    <t xml:space="preserve">Total Cost </t>
  </si>
  <si>
    <t>CNC Operator</t>
  </si>
  <si>
    <t>Labor</t>
  </si>
  <si>
    <t>Electrician</t>
  </si>
  <si>
    <t xml:space="preserve">Welder </t>
  </si>
  <si>
    <t>Powder Coating</t>
  </si>
  <si>
    <t>fabricator</t>
  </si>
  <si>
    <t>CNC operator</t>
  </si>
  <si>
    <t>Fabricator</t>
  </si>
  <si>
    <t>Hinges 4*4*50</t>
  </si>
  <si>
    <t>42.76</t>
  </si>
  <si>
    <t>GI SHEET 2.4M x 1.2M x 2MM, G90</t>
  </si>
  <si>
    <t>05010020</t>
  </si>
  <si>
    <t>RELAY 24 VDC,14 PIN</t>
  </si>
  <si>
    <t>02020001</t>
  </si>
  <si>
    <t>DSE 6110MKII</t>
  </si>
  <si>
    <t>GI SHEET 2.4MX1.2MX2MM, G90, ZERO SPANGLE</t>
  </si>
  <si>
    <t xml:space="preserve">starter solenoid 24v </t>
  </si>
  <si>
    <t>02020007</t>
  </si>
  <si>
    <t xml:space="preserve">water temperature sensor </t>
  </si>
  <si>
    <t xml:space="preserve">Oil Pressure sensor </t>
  </si>
  <si>
    <t>gi SHEET 2.4MX1.2MX1MM, G90</t>
  </si>
  <si>
    <t>05010029</t>
  </si>
  <si>
    <t>angle bar 40*40*6m</t>
  </si>
  <si>
    <t>05050001</t>
  </si>
  <si>
    <t>Busbar 80*10</t>
  </si>
  <si>
    <t>01060001</t>
  </si>
  <si>
    <t>Busbar insulator 10*76</t>
  </si>
  <si>
    <t>01060007</t>
  </si>
  <si>
    <t>Busbar 100*10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</si>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</sst>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theme="1"/>
      <name val="Calibri"/>
      <family val="2"/>
      <charset val="178"/>
      <scheme val="minor"/>
    </font>
    <font>
      <sz val="10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Algerian"/>
      <family val="5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charset val="178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sz val="9.9499999999999993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.9499999999999993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Baskerville Old Face"/>
      <family val="1"/>
    </font>
    <font>
      <b/>
      <u/>
      <sz val="16"/>
      <color theme="1"/>
      <name val="Baskerville Old Face"/>
      <family val="1"/>
    </font>
    <font>
      <b/>
      <sz val="10"/>
      <color rgb="FF3F3F76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indexed="64"/>
      </bottom>
      <diagonal/>
    </border>
  </borders>
  <cellStyleXfs count="13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5" fillId="4" borderId="3" applyNumberFormat="0" applyAlignment="0" applyProtection="0"/>
    <xf numFmtId="0" fontId="8" fillId="0" borderId="0"/>
    <xf numFmtId="0" fontId="9" fillId="0" borderId="0"/>
    <xf numFmtId="0" fontId="10" fillId="0" borderId="0"/>
    <xf numFmtId="0" fontId="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8" fillId="0" borderId="0"/>
  </cellStyleXfs>
  <cellXfs count="478">
    <xf numFmtId="0" fontId="0" fillId="0" borderId="0" xfId="0"/>
    <xf numFmtId="0" fontId="0" fillId="6" borderId="0" xfId="0" applyFill="1"/>
    <xf numFmtId="0" fontId="0" fillId="7" borderId="0" xfId="0" applyFill="1"/>
    <xf numFmtId="0" fontId="0" fillId="8" borderId="0" xfId="0" applyFill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4" fillId="0" borderId="8" xfId="0" applyFont="1" applyBorder="1" applyAlignment="1"/>
    <xf numFmtId="0" fontId="15" fillId="10" borderId="4" xfId="6" applyFont="1" applyFill="1" applyBorder="1" applyAlignment="1">
      <alignment horizontal="center"/>
    </xf>
    <xf numFmtId="0" fontId="15" fillId="0" borderId="4" xfId="6" applyFont="1" applyFill="1" applyBorder="1" applyAlignment="1">
      <alignment horizontal="center"/>
    </xf>
    <xf numFmtId="0" fontId="15" fillId="11" borderId="4" xfId="6" applyFont="1" applyFill="1" applyBorder="1" applyAlignment="1">
      <alignment horizontal="center"/>
    </xf>
    <xf numFmtId="0" fontId="17" fillId="0" borderId="4" xfId="6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10" borderId="4" xfId="0" applyNumberFormat="1" applyFont="1" applyFill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164" fontId="17" fillId="11" borderId="4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9" applyFont="1" applyFill="1" applyBorder="1" applyAlignment="1" applyProtection="1">
      <alignment horizontal="center" vertical="center"/>
    </xf>
    <xf numFmtId="0" fontId="18" fillId="12" borderId="4" xfId="9" applyFont="1" applyFill="1" applyBorder="1" applyAlignment="1" applyProtection="1">
      <alignment horizontal="center" vertical="center"/>
    </xf>
    <xf numFmtId="0" fontId="0" fillId="12" borderId="7" xfId="0" applyFill="1" applyBorder="1"/>
    <xf numFmtId="0" fontId="18" fillId="0" borderId="4" xfId="7" applyFont="1" applyFill="1" applyBorder="1" applyAlignment="1">
      <alignment horizontal="center" vertical="top"/>
    </xf>
    <xf numFmtId="0" fontId="18" fillId="0" borderId="4" xfId="7" applyFont="1" applyFill="1" applyBorder="1" applyAlignment="1">
      <alignment horizontal="center" vertical="top" wrapText="1"/>
    </xf>
    <xf numFmtId="3" fontId="18" fillId="0" borderId="4" xfId="7" applyNumberFormat="1" applyFont="1" applyFill="1" applyBorder="1" applyAlignment="1">
      <alignment horizontal="center" vertical="top"/>
    </xf>
    <xf numFmtId="4" fontId="0" fillId="0" borderId="7" xfId="0" applyNumberForma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vertical="center"/>
    </xf>
    <xf numFmtId="0" fontId="18" fillId="0" borderId="4" xfId="7" applyFont="1" applyFill="1" applyBorder="1" applyAlignment="1">
      <alignment horizontal="center"/>
    </xf>
    <xf numFmtId="0" fontId="18" fillId="0" borderId="4" xfId="5" applyFont="1" applyFill="1" applyBorder="1" applyAlignment="1">
      <alignment horizontal="center" wrapText="1"/>
    </xf>
    <xf numFmtId="0" fontId="0" fillId="0" borderId="4" xfId="0" applyBorder="1"/>
    <xf numFmtId="0" fontId="12" fillId="9" borderId="4" xfId="0" applyFont="1" applyFill="1" applyBorder="1" applyAlignment="1">
      <alignment horizontal="center" vertical="center"/>
    </xf>
    <xf numFmtId="0" fontId="14" fillId="0" borderId="4" xfId="0" applyFont="1" applyBorder="1" applyAlignment="1"/>
    <xf numFmtId="0" fontId="18" fillId="0" borderId="4" xfId="7" applyFont="1" applyFill="1" applyBorder="1" applyAlignment="1">
      <alignment horizontal="center" vertical="center"/>
    </xf>
    <xf numFmtId="0" fontId="18" fillId="0" borderId="4" xfId="5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0" fillId="2" borderId="9" xfId="1" applyNumberFormat="1" applyFont="1" applyBorder="1" applyAlignment="1">
      <alignment horizontal="center" vertical="center"/>
    </xf>
    <xf numFmtId="49" fontId="20" fillId="2" borderId="10" xfId="1" applyNumberFormat="1" applyFont="1" applyBorder="1" applyAlignment="1">
      <alignment horizontal="center" vertical="center"/>
    </xf>
    <xf numFmtId="49" fontId="20" fillId="2" borderId="11" xfId="1" applyNumberFormat="1" applyFont="1" applyBorder="1" applyAlignment="1">
      <alignment horizontal="center" vertical="center"/>
    </xf>
    <xf numFmtId="49" fontId="20" fillId="2" borderId="12" xfId="1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20" fillId="2" borderId="16" xfId="1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20" fillId="2" borderId="19" xfId="1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/>
    </xf>
    <xf numFmtId="49" fontId="0" fillId="0" borderId="24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3" fillId="0" borderId="23" xfId="2" applyFill="1" applyBorder="1" applyAlignment="1">
      <alignment horizontal="center" vertical="center"/>
    </xf>
    <xf numFmtId="0" fontId="3" fillId="0" borderId="25" xfId="2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/>
    </xf>
    <xf numFmtId="49" fontId="0" fillId="0" borderId="4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3" fillId="0" borderId="4" xfId="2" applyFill="1" applyBorder="1" applyAlignment="1">
      <alignment horizontal="center" vertical="center"/>
    </xf>
    <xf numFmtId="0" fontId="3" fillId="0" borderId="18" xfId="2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/>
    </xf>
    <xf numFmtId="0" fontId="7" fillId="0" borderId="26" xfId="0" applyFont="1" applyBorder="1" applyAlignment="1" applyProtection="1">
      <alignment horizontal="center"/>
    </xf>
    <xf numFmtId="0" fontId="3" fillId="0" borderId="26" xfId="2" applyFill="1" applyBorder="1" applyAlignment="1">
      <alignment horizontal="center" vertical="center"/>
    </xf>
    <xf numFmtId="2" fontId="3" fillId="0" borderId="27" xfId="2" applyNumberFormat="1" applyFill="1" applyBorder="1" applyAlignment="1">
      <alignment horizontal="center" vertical="center"/>
    </xf>
    <xf numFmtId="49" fontId="20" fillId="2" borderId="4" xfId="1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" fontId="3" fillId="3" borderId="31" xfId="2" applyNumberFormat="1" applyBorder="1" applyAlignment="1">
      <alignment horizontal="center" vertical="center"/>
    </xf>
    <xf numFmtId="0" fontId="20" fillId="2" borderId="32" xfId="1" applyFont="1" applyBorder="1" applyAlignment="1">
      <alignment horizontal="center" vertical="center"/>
    </xf>
    <xf numFmtId="0" fontId="20" fillId="2" borderId="33" xfId="1" applyFont="1" applyBorder="1" applyAlignment="1">
      <alignment horizontal="center" vertical="center"/>
    </xf>
    <xf numFmtId="0" fontId="20" fillId="2" borderId="34" xfId="1" applyFont="1" applyBorder="1" applyAlignment="1">
      <alignment horizontal="center" vertical="center"/>
    </xf>
    <xf numFmtId="0" fontId="20" fillId="2" borderId="35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2" borderId="36" xfId="1" applyFont="1" applyBorder="1" applyAlignment="1">
      <alignment horizontal="center" vertical="center"/>
    </xf>
    <xf numFmtId="0" fontId="20" fillId="2" borderId="37" xfId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3" borderId="31" xfId="2" applyBorder="1" applyAlignment="1">
      <alignment horizontal="center" vertical="center"/>
    </xf>
    <xf numFmtId="2" fontId="4" fillId="3" borderId="30" xfId="3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8" xfId="0" applyFill="1" applyBorder="1" applyAlignment="1">
      <alignment horizontal="center" vertical="center"/>
    </xf>
    <xf numFmtId="2" fontId="0" fillId="0" borderId="18" xfId="0" applyNumberFormat="1" applyFill="1" applyBorder="1" applyAlignment="1">
      <alignment horizontal="center" vertical="center"/>
    </xf>
    <xf numFmtId="2" fontId="6" fillId="0" borderId="46" xfId="0" applyNumberFormat="1" applyFont="1" applyBorder="1" applyAlignment="1">
      <alignment horizontal="center" vertical="center"/>
    </xf>
    <xf numFmtId="49" fontId="22" fillId="2" borderId="32" xfId="1" applyNumberFormat="1" applyFont="1" applyBorder="1" applyAlignment="1">
      <alignment horizontal="center" vertical="center" wrapText="1"/>
    </xf>
    <xf numFmtId="49" fontId="22" fillId="2" borderId="33" xfId="1" applyNumberFormat="1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/>
    </xf>
    <xf numFmtId="49" fontId="23" fillId="0" borderId="23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/>
    </xf>
    <xf numFmtId="0" fontId="21" fillId="5" borderId="4" xfId="0" applyFont="1" applyFill="1" applyBorder="1" applyAlignment="1" applyProtection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 wrapText="1"/>
    </xf>
    <xf numFmtId="49" fontId="21" fillId="5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2" fontId="21" fillId="0" borderId="4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8" xfId="0" applyNumberFormat="1" applyFont="1" applyFill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49" fontId="21" fillId="0" borderId="4" xfId="0" applyNumberFormat="1" applyFont="1" applyFill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 wrapText="1"/>
    </xf>
    <xf numFmtId="0" fontId="24" fillId="0" borderId="4" xfId="5" applyFont="1" applyBorder="1" applyAlignment="1">
      <alignment horizontal="center" vertical="center" wrapText="1"/>
    </xf>
    <xf numFmtId="49" fontId="23" fillId="0" borderId="4" xfId="5" applyNumberFormat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49" fontId="22" fillId="2" borderId="17" xfId="1" applyNumberFormat="1" applyFont="1" applyBorder="1" applyAlignment="1">
      <alignment horizontal="center" vertical="center" wrapText="1"/>
    </xf>
    <xf numFmtId="49" fontId="22" fillId="2" borderId="50" xfId="1" applyNumberFormat="1" applyFont="1" applyBorder="1" applyAlignment="1">
      <alignment horizontal="center" vertical="center" wrapText="1"/>
    </xf>
    <xf numFmtId="49" fontId="22" fillId="2" borderId="51" xfId="1" applyNumberFormat="1" applyFont="1" applyBorder="1" applyAlignment="1">
      <alignment horizontal="center" vertical="center" wrapText="1"/>
    </xf>
    <xf numFmtId="49" fontId="22" fillId="2" borderId="52" xfId="1" applyNumberFormat="1" applyFont="1" applyBorder="1" applyAlignment="1">
      <alignment horizontal="center" vertical="center" wrapText="1"/>
    </xf>
    <xf numFmtId="49" fontId="22" fillId="2" borderId="42" xfId="1" applyNumberFormat="1" applyFont="1" applyBorder="1" applyAlignment="1">
      <alignment horizontal="center" vertical="center" wrapText="1"/>
    </xf>
    <xf numFmtId="0" fontId="25" fillId="0" borderId="5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 wrapText="1"/>
    </xf>
    <xf numFmtId="0" fontId="23" fillId="0" borderId="4" xfId="5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49" fontId="23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/>
    </xf>
    <xf numFmtId="49" fontId="0" fillId="0" borderId="24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 vertical="center" wrapText="1"/>
    </xf>
    <xf numFmtId="49" fontId="20" fillId="2" borderId="1" xfId="1" applyNumberFormat="1" applyFont="1" applyAlignment="1">
      <alignment horizontal="center" vertical="center" wrapText="1"/>
    </xf>
    <xf numFmtId="2" fontId="0" fillId="0" borderId="18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49" fontId="25" fillId="0" borderId="14" xfId="0" applyNumberFormat="1" applyFont="1" applyFill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/>
    </xf>
    <xf numFmtId="0" fontId="28" fillId="0" borderId="7" xfId="0" applyFont="1" applyBorder="1" applyAlignment="1">
      <alignment horizontal="center" vertical="center" wrapText="1"/>
    </xf>
    <xf numFmtId="49" fontId="28" fillId="0" borderId="4" xfId="0" applyNumberFormat="1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 vertical="center" wrapText="1"/>
    </xf>
    <xf numFmtId="2" fontId="17" fillId="0" borderId="18" xfId="0" applyNumberFormat="1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/>
    </xf>
    <xf numFmtId="0" fontId="28" fillId="0" borderId="7" xfId="5" applyFont="1" applyBorder="1" applyAlignment="1">
      <alignment horizontal="center" vertical="center" wrapText="1"/>
    </xf>
    <xf numFmtId="49" fontId="28" fillId="0" borderId="4" xfId="5" applyNumberFormat="1" applyFont="1" applyBorder="1" applyAlignment="1">
      <alignment horizontal="center" vertical="center"/>
    </xf>
    <xf numFmtId="2" fontId="17" fillId="0" borderId="4" xfId="0" applyNumberFormat="1" applyFont="1" applyBorder="1" applyAlignment="1">
      <alignment horizontal="center"/>
    </xf>
    <xf numFmtId="0" fontId="23" fillId="0" borderId="58" xfId="0" applyFont="1" applyBorder="1" applyAlignment="1">
      <alignment horizontal="center" vertical="center"/>
    </xf>
    <xf numFmtId="2" fontId="1" fillId="0" borderId="59" xfId="0" applyNumberFormat="1" applyFont="1" applyBorder="1" applyAlignment="1">
      <alignment horizontal="center" vertical="center" wrapText="1"/>
    </xf>
    <xf numFmtId="49" fontId="20" fillId="2" borderId="1" xfId="1" applyNumberFormat="1" applyFont="1" applyAlignment="1">
      <alignment horizontal="center" vertical="center"/>
    </xf>
    <xf numFmtId="49" fontId="28" fillId="0" borderId="23" xfId="0" applyNumberFormat="1" applyFont="1" applyBorder="1" applyAlignment="1">
      <alignment horizontal="center" vertical="center"/>
    </xf>
    <xf numFmtId="49" fontId="20" fillId="2" borderId="60" xfId="1" applyNumberFormat="1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49" fontId="4" fillId="5" borderId="0" xfId="3" applyNumberFormat="1" applyFont="1" applyFill="1" applyBorder="1" applyAlignment="1">
      <alignment horizontal="center" vertical="center" wrapText="1"/>
    </xf>
    <xf numFmtId="2" fontId="4" fillId="5" borderId="0" xfId="3" applyNumberFormat="1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/>
    </xf>
    <xf numFmtId="49" fontId="28" fillId="0" borderId="4" xfId="0" applyNumberFormat="1" applyFont="1" applyFill="1" applyBorder="1" applyAlignment="1">
      <alignment horizontal="center"/>
    </xf>
    <xf numFmtId="2" fontId="17" fillId="0" borderId="4" xfId="0" applyNumberFormat="1" applyFont="1" applyFill="1" applyBorder="1" applyAlignment="1">
      <alignment horizontal="center" vertical="center" wrapText="1"/>
    </xf>
    <xf numFmtId="0" fontId="3" fillId="3" borderId="30" xfId="2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0" fillId="2" borderId="9" xfId="1" applyFont="1" applyBorder="1" applyAlignment="1">
      <alignment horizontal="center" vertical="center"/>
    </xf>
    <xf numFmtId="0" fontId="20" fillId="2" borderId="10" xfId="1" applyFont="1" applyBorder="1" applyAlignment="1">
      <alignment horizontal="center" vertical="center"/>
    </xf>
    <xf numFmtId="0" fontId="20" fillId="2" borderId="11" xfId="1" applyFont="1" applyBorder="1" applyAlignment="1">
      <alignment horizontal="center" vertical="center"/>
    </xf>
    <xf numFmtId="0" fontId="20" fillId="2" borderId="12" xfId="1" applyFont="1" applyBorder="1" applyAlignment="1">
      <alignment horizontal="center" vertical="center"/>
    </xf>
    <xf numFmtId="0" fontId="23" fillId="5" borderId="8" xfId="8" applyFont="1" applyFill="1" applyBorder="1" applyAlignment="1">
      <alignment horizontal="center" vertical="center"/>
    </xf>
    <xf numFmtId="0" fontId="23" fillId="5" borderId="23" xfId="8" applyFont="1" applyFill="1" applyBorder="1" applyAlignment="1">
      <alignment horizontal="center" vertical="center"/>
    </xf>
    <xf numFmtId="0" fontId="21" fillId="5" borderId="23" xfId="8" applyFont="1" applyFill="1" applyBorder="1" applyAlignment="1" applyProtection="1">
      <alignment horizontal="center"/>
    </xf>
    <xf numFmtId="0" fontId="0" fillId="5" borderId="18" xfId="0" applyFill="1" applyBorder="1" applyAlignment="1">
      <alignment horizontal="center" vertical="center"/>
    </xf>
    <xf numFmtId="0" fontId="20" fillId="2" borderId="16" xfId="1" applyFont="1" applyBorder="1" applyAlignment="1">
      <alignment horizontal="center" vertical="center"/>
    </xf>
    <xf numFmtId="0" fontId="23" fillId="5" borderId="7" xfId="8" applyFont="1" applyFill="1" applyBorder="1" applyAlignment="1">
      <alignment horizontal="center" vertical="center"/>
    </xf>
    <xf numFmtId="0" fontId="23" fillId="5" borderId="4" xfId="8" applyFont="1" applyFill="1" applyBorder="1" applyAlignment="1">
      <alignment horizontal="center" vertical="center"/>
    </xf>
    <xf numFmtId="49" fontId="21" fillId="5" borderId="23" xfId="8" applyNumberFormat="1" applyFont="1" applyFill="1" applyBorder="1" applyAlignment="1" applyProtection="1">
      <alignment horizontal="center"/>
    </xf>
    <xf numFmtId="49" fontId="1" fillId="5" borderId="4" xfId="8" applyNumberFormat="1" applyFont="1" applyFill="1" applyBorder="1" applyAlignment="1">
      <alignment horizontal="center" vertical="center"/>
    </xf>
    <xf numFmtId="0" fontId="21" fillId="5" borderId="4" xfId="8" applyFont="1" applyFill="1" applyBorder="1" applyAlignment="1" applyProtection="1">
      <alignment horizontal="center"/>
    </xf>
    <xf numFmtId="0" fontId="24" fillId="5" borderId="7" xfId="8" applyFont="1" applyFill="1" applyBorder="1" applyAlignment="1">
      <alignment horizontal="center" vertical="center"/>
    </xf>
    <xf numFmtId="49" fontId="23" fillId="5" borderId="4" xfId="8" applyNumberFormat="1" applyFont="1" applyFill="1" applyBorder="1" applyAlignment="1">
      <alignment horizontal="center" vertical="center"/>
    </xf>
    <xf numFmtId="0" fontId="23" fillId="5" borderId="49" xfId="8" applyFont="1" applyFill="1" applyBorder="1" applyAlignment="1">
      <alignment horizontal="center" vertical="center"/>
    </xf>
    <xf numFmtId="0" fontId="23" fillId="5" borderId="21" xfId="8" applyFont="1" applyFill="1" applyBorder="1" applyAlignment="1">
      <alignment horizontal="center" vertical="center"/>
    </xf>
    <xf numFmtId="49" fontId="1" fillId="5" borderId="21" xfId="8" applyNumberFormat="1" applyFont="1" applyFill="1" applyBorder="1" applyAlignment="1">
      <alignment horizontal="center" vertical="center"/>
    </xf>
    <xf numFmtId="0" fontId="20" fillId="2" borderId="31" xfId="1" applyFont="1" applyBorder="1" applyAlignment="1">
      <alignment horizontal="center" vertical="center"/>
    </xf>
    <xf numFmtId="0" fontId="20" fillId="2" borderId="66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23" fillId="0" borderId="8" xfId="5" applyFont="1" applyBorder="1" applyAlignment="1">
      <alignment horizontal="center" vertical="center"/>
    </xf>
    <xf numFmtId="0" fontId="23" fillId="0" borderId="23" xfId="5" applyFont="1" applyBorder="1" applyAlignment="1">
      <alignment horizontal="center" vertical="center"/>
    </xf>
    <xf numFmtId="0" fontId="21" fillId="0" borderId="23" xfId="8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0" fontId="23" fillId="0" borderId="7" xfId="5" applyFont="1" applyBorder="1" applyAlignment="1">
      <alignment horizontal="center" vertical="center"/>
    </xf>
    <xf numFmtId="0" fontId="21" fillId="0" borderId="4" xfId="8" applyFont="1" applyFill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0" fontId="23" fillId="0" borderId="7" xfId="8" applyFont="1" applyBorder="1" applyAlignment="1">
      <alignment horizontal="center" vertical="center"/>
    </xf>
    <xf numFmtId="0" fontId="23" fillId="0" borderId="4" xfId="8" applyFont="1" applyBorder="1" applyAlignment="1">
      <alignment horizontal="center" vertical="center"/>
    </xf>
    <xf numFmtId="49" fontId="21" fillId="5" borderId="4" xfId="8" applyNumberFormat="1" applyFont="1" applyFill="1" applyBorder="1" applyAlignment="1">
      <alignment horizontal="center" vertical="center"/>
    </xf>
    <xf numFmtId="49" fontId="21" fillId="0" borderId="23" xfId="8" applyNumberFormat="1" applyFont="1" applyFill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 wrapText="1"/>
    </xf>
    <xf numFmtId="0" fontId="20" fillId="2" borderId="68" xfId="1" applyFont="1" applyBorder="1" applyAlignment="1">
      <alignment horizontal="center" vertical="center"/>
    </xf>
    <xf numFmtId="0" fontId="24" fillId="0" borderId="49" xfId="10" applyFont="1" applyBorder="1" applyAlignment="1">
      <alignment horizontal="center" vertical="center"/>
    </xf>
    <xf numFmtId="49" fontId="23" fillId="0" borderId="21" xfId="10" applyNumberFormat="1" applyFont="1" applyBorder="1" applyAlignment="1">
      <alignment horizontal="center" vertical="center"/>
    </xf>
    <xf numFmtId="49" fontId="21" fillId="0" borderId="21" xfId="8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 wrapText="1"/>
    </xf>
    <xf numFmtId="0" fontId="30" fillId="15" borderId="65" xfId="0" applyFont="1" applyFill="1" applyBorder="1" applyAlignment="1">
      <alignment horizontal="center" vertical="center" textRotation="90"/>
    </xf>
    <xf numFmtId="0" fontId="20" fillId="2" borderId="70" xfId="1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1" fillId="0" borderId="23" xfId="0" applyFont="1" applyFill="1" applyBorder="1" applyAlignment="1" applyProtection="1">
      <alignment horizontal="center"/>
    </xf>
    <xf numFmtId="0" fontId="0" fillId="5" borderId="23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center"/>
    </xf>
    <xf numFmtId="0" fontId="0" fillId="5" borderId="5" xfId="0" applyFill="1" applyBorder="1" applyAlignment="1">
      <alignment horizontal="center" vertical="center"/>
    </xf>
    <xf numFmtId="0" fontId="20" fillId="2" borderId="19" xfId="1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0" fontId="21" fillId="0" borderId="26" xfId="0" applyFont="1" applyFill="1" applyBorder="1" applyAlignment="1" applyProtection="1">
      <alignment horizontal="center"/>
    </xf>
    <xf numFmtId="0" fontId="0" fillId="5" borderId="21" xfId="0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/>
    </xf>
    <xf numFmtId="0" fontId="20" fillId="2" borderId="28" xfId="1" applyFont="1" applyBorder="1" applyAlignment="1">
      <alignment horizontal="center" vertical="center"/>
    </xf>
    <xf numFmtId="0" fontId="20" fillId="2" borderId="74" xfId="1" applyFont="1" applyBorder="1" applyAlignment="1">
      <alignment horizontal="center" vertical="center"/>
    </xf>
    <xf numFmtId="0" fontId="20" fillId="2" borderId="75" xfId="1" applyFont="1" applyBorder="1" applyAlignment="1">
      <alignment horizontal="center" vertical="center"/>
    </xf>
    <xf numFmtId="0" fontId="20" fillId="2" borderId="76" xfId="1" applyFont="1" applyBorder="1" applyAlignment="1">
      <alignment horizontal="center" vertical="center"/>
    </xf>
    <xf numFmtId="0" fontId="25" fillId="0" borderId="77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2" fontId="0" fillId="0" borderId="25" xfId="0" applyNumberFormat="1" applyFont="1" applyFill="1" applyBorder="1" applyAlignment="1">
      <alignment horizontal="center" vertical="center" wrapText="1"/>
    </xf>
    <xf numFmtId="0" fontId="20" fillId="2" borderId="78" xfId="1" applyFont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2" fontId="0" fillId="0" borderId="18" xfId="0" applyNumberFormat="1" applyFont="1" applyFill="1" applyBorder="1" applyAlignment="1">
      <alignment horizontal="center" vertical="center" wrapText="1"/>
    </xf>
    <xf numFmtId="0" fontId="26" fillId="0" borderId="17" xfId="5" applyFont="1" applyFill="1" applyBorder="1" applyAlignment="1">
      <alignment horizontal="center" vertical="center"/>
    </xf>
    <xf numFmtId="0" fontId="25" fillId="0" borderId="4" xfId="5" applyFont="1" applyFill="1" applyBorder="1" applyAlignment="1">
      <alignment horizontal="center" vertical="center"/>
    </xf>
    <xf numFmtId="0" fontId="25" fillId="0" borderId="17" xfId="5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21" fillId="5" borderId="17" xfId="0" applyFont="1" applyFill="1" applyBorder="1" applyAlignment="1" applyProtection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1" fillId="0" borderId="4" xfId="0" applyFont="1" applyFill="1" applyBorder="1" applyAlignment="1" applyProtection="1">
      <alignment horizontal="center" vertical="center"/>
    </xf>
    <xf numFmtId="0" fontId="20" fillId="2" borderId="79" xfId="1" applyFont="1" applyBorder="1" applyAlignment="1">
      <alignment horizontal="center" vertical="center"/>
    </xf>
    <xf numFmtId="0" fontId="21" fillId="5" borderId="20" xfId="0" applyFont="1" applyFill="1" applyBorder="1" applyAlignment="1" applyProtection="1">
      <alignment horizontal="center" vertical="center"/>
    </xf>
    <xf numFmtId="49" fontId="21" fillId="5" borderId="21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 applyProtection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1" fillId="0" borderId="22" xfId="0" applyFont="1" applyFill="1" applyBorder="1" applyAlignment="1" applyProtection="1">
      <alignment horizontal="center" vertical="center" wrapText="1"/>
    </xf>
    <xf numFmtId="0" fontId="20" fillId="2" borderId="80" xfId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5" borderId="7" xfId="0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4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Border="1"/>
    <xf numFmtId="0" fontId="0" fillId="0" borderId="77" xfId="0" applyBorder="1" applyAlignment="1">
      <alignment horizontal="center" vertical="center"/>
    </xf>
    <xf numFmtId="0" fontId="0" fillId="0" borderId="45" xfId="0" applyBorder="1"/>
    <xf numFmtId="0" fontId="20" fillId="2" borderId="81" xfId="1" applyFont="1" applyBorder="1" applyAlignment="1">
      <alignment horizontal="center" vertical="center"/>
    </xf>
    <xf numFmtId="0" fontId="0" fillId="14" borderId="0" xfId="0" applyFill="1"/>
    <xf numFmtId="49" fontId="23" fillId="0" borderId="23" xfId="5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21" fillId="5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2" borderId="82" xfId="1" applyFont="1" applyBorder="1" applyAlignment="1">
      <alignment horizontal="center" vertical="center"/>
    </xf>
    <xf numFmtId="0" fontId="20" fillId="2" borderId="67" xfId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49" fontId="23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9" fontId="20" fillId="2" borderId="31" xfId="1" applyNumberFormat="1" applyFont="1" applyBorder="1" applyAlignment="1">
      <alignment horizontal="center" vertical="center" wrapText="1"/>
    </xf>
    <xf numFmtId="49" fontId="20" fillId="2" borderId="81" xfId="1" applyNumberFormat="1" applyFont="1" applyBorder="1" applyAlignment="1">
      <alignment horizontal="center" vertical="center" wrapText="1"/>
    </xf>
    <xf numFmtId="49" fontId="20" fillId="2" borderId="10" xfId="1" applyNumberFormat="1" applyFont="1" applyBorder="1" applyAlignment="1">
      <alignment horizontal="center" vertical="center" wrapText="1"/>
    </xf>
    <xf numFmtId="49" fontId="20" fillId="2" borderId="11" xfId="1" applyNumberFormat="1" applyFont="1" applyBorder="1" applyAlignment="1">
      <alignment horizontal="center" vertical="center" wrapText="1"/>
    </xf>
    <xf numFmtId="49" fontId="20" fillId="2" borderId="66" xfId="1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49" fontId="20" fillId="2" borderId="16" xfId="1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0" fillId="2" borderId="19" xfId="1" applyNumberFormat="1" applyFont="1" applyBorder="1" applyAlignment="1">
      <alignment horizontal="center" vertical="center" wrapText="1"/>
    </xf>
    <xf numFmtId="49" fontId="1" fillId="0" borderId="72" xfId="0" applyNumberFormat="1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  <xf numFmtId="2" fontId="3" fillId="3" borderId="31" xfId="2" applyNumberFormat="1" applyBorder="1" applyAlignment="1">
      <alignment horizontal="center" vertical="center" wrapText="1"/>
    </xf>
    <xf numFmtId="0" fontId="21" fillId="0" borderId="23" xfId="11" applyFont="1" applyFill="1" applyBorder="1" applyAlignment="1">
      <alignment horizontal="center" vertical="center"/>
    </xf>
    <xf numFmtId="0" fontId="1" fillId="0" borderId="23" xfId="11" applyFont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1" fillId="0" borderId="4" xfId="11" applyFont="1" applyBorder="1" applyAlignment="1">
      <alignment horizontal="center" vertical="center"/>
    </xf>
    <xf numFmtId="0" fontId="21" fillId="0" borderId="4" xfId="11" applyFont="1" applyFill="1" applyBorder="1" applyAlignment="1">
      <alignment horizontal="center" vertical="center"/>
    </xf>
    <xf numFmtId="0" fontId="1" fillId="0" borderId="4" xfId="11" applyFont="1" applyBorder="1" applyAlignment="1">
      <alignment horizontal="center" vertical="center" wrapText="1"/>
    </xf>
    <xf numFmtId="0" fontId="23" fillId="0" borderId="7" xfId="11" applyFont="1" applyBorder="1" applyAlignment="1">
      <alignment horizontal="center" vertical="center"/>
    </xf>
    <xf numFmtId="0" fontId="23" fillId="0" borderId="4" xfId="11" applyFont="1" applyBorder="1" applyAlignment="1">
      <alignment horizontal="center" vertical="center"/>
    </xf>
    <xf numFmtId="49" fontId="21" fillId="5" borderId="4" xfId="11" applyNumberFormat="1" applyFont="1" applyFill="1" applyBorder="1" applyAlignment="1">
      <alignment horizontal="center" vertical="center"/>
    </xf>
    <xf numFmtId="0" fontId="21" fillId="5" borderId="4" xfId="11" applyFont="1" applyFill="1" applyBorder="1" applyAlignment="1" applyProtection="1">
      <alignment horizontal="center"/>
    </xf>
    <xf numFmtId="0" fontId="21" fillId="0" borderId="4" xfId="11" applyFont="1" applyFill="1" applyBorder="1" applyAlignment="1">
      <alignment horizontal="center" vertical="center" wrapText="1"/>
    </xf>
    <xf numFmtId="49" fontId="23" fillId="5" borderId="4" xfId="11" applyNumberFormat="1" applyFont="1" applyFill="1" applyBorder="1" applyAlignment="1">
      <alignment horizontal="center" vertical="center"/>
    </xf>
    <xf numFmtId="49" fontId="1" fillId="5" borderId="4" xfId="11" applyNumberFormat="1" applyFont="1" applyFill="1" applyBorder="1" applyAlignment="1">
      <alignment horizontal="center" vertical="center"/>
    </xf>
    <xf numFmtId="0" fontId="21" fillId="0" borderId="4" xfId="11" applyNumberFormat="1" applyFont="1" applyFill="1" applyBorder="1" applyAlignment="1">
      <alignment horizontal="center" vertical="center"/>
    </xf>
    <xf numFmtId="49" fontId="1" fillId="0" borderId="21" xfId="11" applyNumberFormat="1" applyFont="1" applyBorder="1" applyAlignment="1">
      <alignment horizontal="center" vertical="center"/>
    </xf>
    <xf numFmtId="49" fontId="21" fillId="0" borderId="21" xfId="11" applyNumberFormat="1" applyFont="1" applyFill="1" applyBorder="1" applyAlignment="1">
      <alignment horizontal="center" vertical="center"/>
    </xf>
    <xf numFmtId="0" fontId="1" fillId="0" borderId="21" xfId="11" applyFont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49" fontId="1" fillId="0" borderId="8" xfId="11" applyNumberFormat="1" applyFont="1" applyBorder="1" applyAlignment="1">
      <alignment horizontal="center" vertical="center" wrapText="1"/>
    </xf>
    <xf numFmtId="2" fontId="1" fillId="0" borderId="23" xfId="11" applyNumberFormat="1" applyFont="1" applyBorder="1" applyAlignment="1">
      <alignment horizontal="center" vertical="center" wrapText="1"/>
    </xf>
    <xf numFmtId="2" fontId="1" fillId="0" borderId="25" xfId="11" applyNumberFormat="1" applyFont="1" applyBorder="1" applyAlignment="1">
      <alignment horizontal="center" vertical="center" wrapText="1"/>
    </xf>
    <xf numFmtId="49" fontId="1" fillId="0" borderId="7" xfId="11" applyNumberFormat="1" applyFont="1" applyBorder="1" applyAlignment="1">
      <alignment horizontal="center" vertical="center" wrapText="1"/>
    </xf>
    <xf numFmtId="2" fontId="1" fillId="0" borderId="4" xfId="11" applyNumberFormat="1" applyFont="1" applyBorder="1" applyAlignment="1">
      <alignment horizontal="center" vertical="center" wrapText="1"/>
    </xf>
    <xf numFmtId="49" fontId="1" fillId="0" borderId="72" xfId="11" applyNumberFormat="1" applyFont="1" applyBorder="1" applyAlignment="1">
      <alignment horizontal="center" vertical="center" wrapText="1"/>
    </xf>
    <xf numFmtId="2" fontId="1" fillId="0" borderId="26" xfId="11" applyNumberFormat="1" applyFont="1" applyBorder="1" applyAlignment="1">
      <alignment horizontal="center" vertical="center" wrapText="1"/>
    </xf>
    <xf numFmtId="2" fontId="1" fillId="0" borderId="59" xfId="11" applyNumberFormat="1" applyFont="1" applyBorder="1" applyAlignment="1">
      <alignment horizontal="center" vertical="center" wrapText="1"/>
    </xf>
    <xf numFmtId="0" fontId="2" fillId="2" borderId="31" xfId="1" applyBorder="1" applyAlignment="1">
      <alignment horizontal="center" vertical="center"/>
    </xf>
    <xf numFmtId="0" fontId="2" fillId="2" borderId="81" xfId="1" applyBorder="1" applyAlignment="1">
      <alignment horizontal="center" vertical="center"/>
    </xf>
    <xf numFmtId="0" fontId="2" fillId="2" borderId="10" xfId="1" applyBorder="1" applyAlignment="1">
      <alignment horizontal="center" vertical="center"/>
    </xf>
    <xf numFmtId="0" fontId="2" fillId="2" borderId="11" xfId="1" applyBorder="1" applyAlignment="1">
      <alignment horizontal="center" vertical="center"/>
    </xf>
    <xf numFmtId="0" fontId="2" fillId="2" borderId="35" xfId="1" applyBorder="1" applyAlignment="1">
      <alignment horizontal="center" vertical="center"/>
    </xf>
    <xf numFmtId="0" fontId="28" fillId="5" borderId="8" xfId="5" applyFont="1" applyFill="1" applyBorder="1" applyAlignment="1">
      <alignment horizontal="center" vertical="center"/>
    </xf>
    <xf numFmtId="0" fontId="28" fillId="5" borderId="23" xfId="5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7" fillId="5" borderId="23" xfId="0" applyFont="1" applyFill="1" applyBorder="1" applyAlignment="1">
      <alignment horizontal="center" vertical="center" wrapText="1"/>
    </xf>
    <xf numFmtId="0" fontId="2" fillId="2" borderId="66" xfId="1" applyBorder="1" applyAlignment="1">
      <alignment horizontal="center" vertical="center"/>
    </xf>
    <xf numFmtId="0" fontId="28" fillId="5" borderId="7" xfId="5" applyFont="1" applyFill="1" applyBorder="1" applyAlignment="1">
      <alignment horizontal="center" vertical="center"/>
    </xf>
    <xf numFmtId="0" fontId="28" fillId="5" borderId="4" xfId="5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 wrapText="1"/>
    </xf>
    <xf numFmtId="0" fontId="2" fillId="2" borderId="16" xfId="1" applyBorder="1" applyAlignment="1">
      <alignment horizontal="center" vertical="center"/>
    </xf>
    <xf numFmtId="49" fontId="28" fillId="5" borderId="4" xfId="5" applyNumberFormat="1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4" xfId="0" applyFont="1" applyFill="1" applyBorder="1" applyAlignment="1">
      <alignment horizontal="center" vertical="center"/>
    </xf>
    <xf numFmtId="49" fontId="18" fillId="5" borderId="4" xfId="0" applyNumberFormat="1" applyFont="1" applyFill="1" applyBorder="1" applyAlignment="1">
      <alignment horizontal="center" vertical="center"/>
    </xf>
    <xf numFmtId="0" fontId="18" fillId="5" borderId="4" xfId="0" applyFont="1" applyFill="1" applyBorder="1" applyAlignment="1" applyProtection="1">
      <alignment horizontal="center"/>
    </xf>
    <xf numFmtId="0" fontId="18" fillId="5" borderId="4" xfId="0" applyFont="1" applyFill="1" applyBorder="1" applyAlignment="1">
      <alignment horizontal="center" vertical="center" wrapText="1"/>
    </xf>
    <xf numFmtId="49" fontId="28" fillId="5" borderId="4" xfId="0" applyNumberFormat="1" applyFont="1" applyFill="1" applyBorder="1" applyAlignment="1">
      <alignment horizontal="center" vertical="center"/>
    </xf>
    <xf numFmtId="49" fontId="17" fillId="5" borderId="4" xfId="0" applyNumberFormat="1" applyFont="1" applyFill="1" applyBorder="1" applyAlignment="1">
      <alignment horizontal="center" vertical="center"/>
    </xf>
    <xf numFmtId="0" fontId="2" fillId="2" borderId="68" xfId="1" applyBorder="1" applyAlignment="1">
      <alignment horizontal="center" vertical="center"/>
    </xf>
    <xf numFmtId="0" fontId="28" fillId="5" borderId="49" xfId="0" applyFont="1" applyFill="1" applyBorder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49" fontId="17" fillId="5" borderId="21" xfId="0" applyNumberFormat="1" applyFont="1" applyFill="1" applyBorder="1" applyAlignment="1">
      <alignment horizontal="center" vertical="center"/>
    </xf>
    <xf numFmtId="49" fontId="18" fillId="5" borderId="21" xfId="0" applyNumberFormat="1" applyFont="1" applyFill="1" applyBorder="1" applyAlignment="1">
      <alignment horizontal="center" vertical="center"/>
    </xf>
    <xf numFmtId="0" fontId="17" fillId="5" borderId="21" xfId="0" applyFont="1" applyFill="1" applyBorder="1" applyAlignment="1">
      <alignment horizontal="center" vertical="center"/>
    </xf>
    <xf numFmtId="49" fontId="31" fillId="2" borderId="31" xfId="1" applyNumberFormat="1" applyFont="1" applyBorder="1" applyAlignment="1">
      <alignment horizontal="center" vertical="center" wrapText="1"/>
    </xf>
    <xf numFmtId="49" fontId="31" fillId="2" borderId="81" xfId="1" applyNumberFormat="1" applyFont="1" applyBorder="1" applyAlignment="1">
      <alignment horizontal="center" vertical="center" wrapText="1"/>
    </xf>
    <xf numFmtId="49" fontId="31" fillId="2" borderId="10" xfId="1" applyNumberFormat="1" applyFont="1" applyBorder="1" applyAlignment="1">
      <alignment horizontal="center" vertical="center" wrapText="1"/>
    </xf>
    <xf numFmtId="49" fontId="31" fillId="2" borderId="11" xfId="1" applyNumberFormat="1" applyFont="1" applyBorder="1" applyAlignment="1">
      <alignment horizontal="center" vertical="center" wrapText="1"/>
    </xf>
    <xf numFmtId="49" fontId="31" fillId="2" borderId="66" xfId="1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2" fontId="17" fillId="0" borderId="25" xfId="0" applyNumberFormat="1" applyFont="1" applyBorder="1" applyAlignment="1">
      <alignment horizontal="center" vertical="center" wrapText="1"/>
    </xf>
    <xf numFmtId="49" fontId="31" fillId="2" borderId="16" xfId="1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center" wrapText="1"/>
    </xf>
    <xf numFmtId="49" fontId="31" fillId="2" borderId="19" xfId="1" applyNumberFormat="1" applyFont="1" applyBorder="1" applyAlignment="1">
      <alignment horizontal="center" vertical="center" wrapText="1"/>
    </xf>
    <xf numFmtId="49" fontId="17" fillId="0" borderId="72" xfId="0" applyNumberFormat="1" applyFont="1" applyBorder="1" applyAlignment="1">
      <alignment horizontal="center" vertical="center" wrapText="1"/>
    </xf>
    <xf numFmtId="2" fontId="17" fillId="0" borderId="26" xfId="0" applyNumberFormat="1" applyFont="1" applyBorder="1" applyAlignment="1">
      <alignment horizontal="center" vertical="center" wrapText="1"/>
    </xf>
    <xf numFmtId="2" fontId="17" fillId="0" borderId="27" xfId="0" applyNumberFormat="1" applyFont="1" applyBorder="1" applyAlignment="1">
      <alignment horizontal="center" vertical="center" wrapText="1"/>
    </xf>
    <xf numFmtId="0" fontId="23" fillId="5" borderId="13" xfId="5" applyFont="1" applyFill="1" applyBorder="1" applyAlignment="1">
      <alignment horizontal="center" vertical="center"/>
    </xf>
    <xf numFmtId="0" fontId="23" fillId="5" borderId="14" xfId="5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23" fillId="5" borderId="17" xfId="5" applyFont="1" applyFill="1" applyBorder="1" applyAlignment="1">
      <alignment horizontal="center" vertical="center"/>
    </xf>
    <xf numFmtId="49" fontId="23" fillId="5" borderId="4" xfId="5" applyNumberFormat="1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3" fillId="5" borderId="4" xfId="5" applyFont="1" applyFill="1" applyBorder="1" applyAlignment="1">
      <alignment horizontal="center" vertical="center"/>
    </xf>
    <xf numFmtId="0" fontId="23" fillId="5" borderId="17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24" fillId="5" borderId="17" xfId="0" applyFont="1" applyFill="1" applyBorder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/>
    </xf>
    <xf numFmtId="0" fontId="1" fillId="5" borderId="4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20" xfId="0" applyFont="1" applyFill="1" applyBorder="1" applyAlignment="1">
      <alignment horizontal="center" vertical="center"/>
    </xf>
    <xf numFmtId="49" fontId="28" fillId="5" borderId="21" xfId="0" applyNumberFormat="1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2" fontId="4" fillId="3" borderId="31" xfId="3" applyNumberFormat="1" applyBorder="1" applyAlignment="1">
      <alignment horizontal="center" vertical="center"/>
    </xf>
    <xf numFmtId="0" fontId="28" fillId="5" borderId="50" xfId="0" applyFont="1" applyFill="1" applyBorder="1" applyAlignment="1">
      <alignment horizontal="center" vertical="center"/>
    </xf>
    <xf numFmtId="49" fontId="28" fillId="5" borderId="26" xfId="0" applyNumberFormat="1" applyFont="1" applyFill="1" applyBorder="1" applyAlignment="1">
      <alignment horizontal="center" vertical="center"/>
    </xf>
    <xf numFmtId="49" fontId="17" fillId="5" borderId="26" xfId="0" applyNumberFormat="1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49" fontId="1" fillId="5" borderId="27" xfId="0" applyNumberFormat="1" applyFont="1" applyFill="1" applyBorder="1" applyAlignment="1">
      <alignment horizontal="center" vertical="center"/>
    </xf>
    <xf numFmtId="0" fontId="23" fillId="5" borderId="77" xfId="5" applyFont="1" applyFill="1" applyBorder="1" applyAlignment="1">
      <alignment horizontal="center" vertical="center"/>
    </xf>
    <xf numFmtId="0" fontId="23" fillId="5" borderId="23" xfId="5" applyFont="1" applyFill="1" applyBorder="1" applyAlignment="1">
      <alignment horizontal="center" vertical="center"/>
    </xf>
    <xf numFmtId="0" fontId="21" fillId="5" borderId="23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49" fontId="0" fillId="5" borderId="4" xfId="0" applyNumberFormat="1" applyFont="1" applyFill="1" applyBorder="1" applyAlignment="1">
      <alignment horizontal="center" vertical="center"/>
    </xf>
    <xf numFmtId="0" fontId="19" fillId="0" borderId="17" xfId="9" applyBorder="1" applyAlignment="1" applyProtection="1">
      <alignment horizontal="center" vertical="center"/>
    </xf>
    <xf numFmtId="0" fontId="15" fillId="0" borderId="7" xfId="6" applyFont="1" applyFill="1" applyBorder="1" applyAlignment="1">
      <alignment horizontal="center" vertical="center" wrapText="1"/>
    </xf>
    <xf numFmtId="0" fontId="15" fillId="10" borderId="4" xfId="6" applyFont="1" applyFill="1" applyBorder="1" applyAlignment="1">
      <alignment horizontal="center" vertical="center" wrapText="1"/>
    </xf>
    <xf numFmtId="0" fontId="15" fillId="11" borderId="4" xfId="6" applyFont="1" applyFill="1" applyBorder="1" applyAlignment="1">
      <alignment horizontal="center"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0" fontId="4" fillId="3" borderId="28" xfId="3" applyBorder="1" applyAlignment="1">
      <alignment horizontal="center" vertical="center"/>
    </xf>
    <xf numFmtId="0" fontId="4" fillId="3" borderId="29" xfId="3" applyBorder="1" applyAlignment="1">
      <alignment horizontal="center" vertical="center"/>
    </xf>
    <xf numFmtId="0" fontId="4" fillId="3" borderId="30" xfId="3" applyBorder="1" applyAlignment="1">
      <alignment horizontal="center" vertical="center"/>
    </xf>
    <xf numFmtId="0" fontId="5" fillId="4" borderId="3" xfId="4" applyAlignment="1">
      <alignment horizontal="center" vertical="center"/>
    </xf>
    <xf numFmtId="0" fontId="3" fillId="3" borderId="28" xfId="2" applyBorder="1" applyAlignment="1">
      <alignment horizontal="center" vertical="center"/>
    </xf>
    <xf numFmtId="0" fontId="3" fillId="3" borderId="29" xfId="2" applyBorder="1" applyAlignment="1">
      <alignment horizontal="center" vertical="center"/>
    </xf>
    <xf numFmtId="0" fontId="3" fillId="3" borderId="30" xfId="2" applyBorder="1" applyAlignment="1">
      <alignment horizontal="center" vertical="center"/>
    </xf>
    <xf numFmtId="0" fontId="3" fillId="3" borderId="38" xfId="2" applyBorder="1" applyAlignment="1">
      <alignment horizontal="center" vertical="center"/>
    </xf>
    <xf numFmtId="0" fontId="3" fillId="3" borderId="39" xfId="2" applyBorder="1" applyAlignment="1">
      <alignment horizontal="center" vertical="center"/>
    </xf>
    <xf numFmtId="0" fontId="3" fillId="3" borderId="40" xfId="2" applyBorder="1" applyAlignment="1">
      <alignment horizontal="center" vertical="center"/>
    </xf>
    <xf numFmtId="49" fontId="3" fillId="3" borderId="38" xfId="2" applyNumberFormat="1" applyBorder="1" applyAlignment="1">
      <alignment horizontal="center" vertical="center"/>
    </xf>
    <xf numFmtId="49" fontId="3" fillId="3" borderId="39" xfId="2" applyNumberFormat="1" applyBorder="1" applyAlignment="1">
      <alignment horizontal="center" vertical="center"/>
    </xf>
    <xf numFmtId="49" fontId="3" fillId="3" borderId="41" xfId="2" applyNumberFormat="1" applyBorder="1" applyAlignment="1">
      <alignment horizontal="center" vertical="center"/>
    </xf>
    <xf numFmtId="0" fontId="21" fillId="0" borderId="42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6" fillId="13" borderId="44" xfId="0" applyFont="1" applyFill="1" applyBorder="1" applyAlignment="1">
      <alignment horizontal="center" vertical="center"/>
    </xf>
    <xf numFmtId="0" fontId="6" fillId="13" borderId="45" xfId="0" applyFont="1" applyFill="1" applyBorder="1" applyAlignment="1">
      <alignment horizontal="center" vertical="center"/>
    </xf>
    <xf numFmtId="0" fontId="6" fillId="13" borderId="47" xfId="0" applyFont="1" applyFill="1" applyBorder="1" applyAlignment="1">
      <alignment horizontal="center" vertical="center"/>
    </xf>
    <xf numFmtId="0" fontId="6" fillId="13" borderId="48" xfId="0" applyFont="1" applyFill="1" applyBorder="1" applyAlignment="1">
      <alignment horizontal="center" vertical="center"/>
    </xf>
    <xf numFmtId="0" fontId="6" fillId="13" borderId="49" xfId="0" applyFont="1" applyFill="1" applyBorder="1" applyAlignment="1">
      <alignment horizontal="center" vertical="center"/>
    </xf>
    <xf numFmtId="0" fontId="5" fillId="4" borderId="55" xfId="4" applyBorder="1" applyAlignment="1">
      <alignment horizontal="center" vertical="center"/>
    </xf>
    <xf numFmtId="0" fontId="5" fillId="4" borderId="56" xfId="4" applyBorder="1" applyAlignment="1">
      <alignment horizontal="center" vertical="center"/>
    </xf>
    <xf numFmtId="0" fontId="5" fillId="4" borderId="57" xfId="4" applyBorder="1" applyAlignment="1">
      <alignment horizontal="center" vertical="center"/>
    </xf>
    <xf numFmtId="0" fontId="0" fillId="13" borderId="44" xfId="0" applyFill="1" applyBorder="1" applyAlignment="1">
      <alignment horizontal="center" vertical="center"/>
    </xf>
    <xf numFmtId="0" fontId="0" fillId="13" borderId="45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29" fillId="15" borderId="61" xfId="0" applyFont="1" applyFill="1" applyBorder="1" applyAlignment="1">
      <alignment horizontal="center" vertical="center"/>
    </xf>
    <xf numFmtId="0" fontId="29" fillId="15" borderId="62" xfId="0" applyFont="1" applyFill="1" applyBorder="1" applyAlignment="1">
      <alignment horizontal="center" vertical="center"/>
    </xf>
    <xf numFmtId="0" fontId="29" fillId="15" borderId="63" xfId="0" applyFont="1" applyFill="1" applyBorder="1" applyAlignment="1">
      <alignment horizontal="center" vertical="center"/>
    </xf>
    <xf numFmtId="0" fontId="29" fillId="15" borderId="44" xfId="0" applyFont="1" applyFill="1" applyBorder="1" applyAlignment="1">
      <alignment horizontal="center" vertical="center"/>
    </xf>
    <xf numFmtId="0" fontId="29" fillId="15" borderId="45" xfId="0" applyFont="1" applyFill="1" applyBorder="1" applyAlignment="1">
      <alignment horizontal="center" vertical="center"/>
    </xf>
    <xf numFmtId="0" fontId="29" fillId="15" borderId="64" xfId="0" applyFont="1" applyFill="1" applyBorder="1" applyAlignment="1">
      <alignment horizontal="center" vertical="center"/>
    </xf>
    <xf numFmtId="0" fontId="30" fillId="15" borderId="51" xfId="0" applyFont="1" applyFill="1" applyBorder="1" applyAlignment="1">
      <alignment horizontal="center" vertical="center" textRotation="90"/>
    </xf>
    <xf numFmtId="0" fontId="30" fillId="15" borderId="65" xfId="0" applyFont="1" applyFill="1" applyBorder="1" applyAlignment="1">
      <alignment horizontal="center" vertical="center" textRotation="90"/>
    </xf>
    <xf numFmtId="0" fontId="30" fillId="15" borderId="67" xfId="0" applyFont="1" applyFill="1" applyBorder="1" applyAlignment="1">
      <alignment horizontal="center" vertical="center" textRotation="90"/>
    </xf>
    <xf numFmtId="0" fontId="20" fillId="15" borderId="28" xfId="1" applyFont="1" applyFill="1" applyBorder="1" applyAlignment="1">
      <alignment horizontal="center" vertical="center"/>
    </xf>
    <xf numFmtId="0" fontId="20" fillId="15" borderId="29" xfId="1" applyFont="1" applyFill="1" applyBorder="1" applyAlignment="1">
      <alignment horizontal="center" vertical="center"/>
    </xf>
    <xf numFmtId="0" fontId="20" fillId="15" borderId="30" xfId="1" applyFont="1" applyFill="1" applyBorder="1" applyAlignment="1">
      <alignment horizontal="center" vertical="center"/>
    </xf>
    <xf numFmtId="0" fontId="20" fillId="15" borderId="61" xfId="1" applyFont="1" applyFill="1" applyBorder="1" applyAlignment="1">
      <alignment horizontal="center" vertical="center"/>
    </xf>
    <xf numFmtId="0" fontId="20" fillId="15" borderId="62" xfId="1" applyFont="1" applyFill="1" applyBorder="1" applyAlignment="1">
      <alignment horizontal="center" vertical="center"/>
    </xf>
    <xf numFmtId="0" fontId="20" fillId="15" borderId="69" xfId="1" applyFont="1" applyFill="1" applyBorder="1" applyAlignment="1">
      <alignment horizontal="center" vertical="center"/>
    </xf>
    <xf numFmtId="0" fontId="3" fillId="3" borderId="38" xfId="2" applyBorder="1" applyAlignment="1">
      <alignment horizontal="center"/>
    </xf>
    <xf numFmtId="0" fontId="3" fillId="3" borderId="39" xfId="2" applyBorder="1" applyAlignment="1">
      <alignment horizontal="center"/>
    </xf>
    <xf numFmtId="0" fontId="3" fillId="3" borderId="41" xfId="2" applyBorder="1" applyAlignment="1">
      <alignment horizontal="center"/>
    </xf>
    <xf numFmtId="49" fontId="3" fillId="3" borderId="38" xfId="2" applyNumberFormat="1" applyBorder="1" applyAlignment="1">
      <alignment horizontal="center" vertical="center" wrapText="1"/>
    </xf>
    <xf numFmtId="49" fontId="3" fillId="3" borderId="39" xfId="2" applyNumberFormat="1" applyBorder="1" applyAlignment="1">
      <alignment horizontal="center" vertical="center" wrapText="1"/>
    </xf>
    <xf numFmtId="49" fontId="3" fillId="3" borderId="41" xfId="2" applyNumberFormat="1" applyBorder="1" applyAlignment="1">
      <alignment horizontal="center" vertical="center" wrapText="1"/>
    </xf>
    <xf numFmtId="0" fontId="4" fillId="3" borderId="28" xfId="3" applyBorder="1" applyAlignment="1">
      <alignment horizontal="center"/>
    </xf>
    <xf numFmtId="0" fontId="4" fillId="3" borderId="29" xfId="3" applyBorder="1" applyAlignment="1">
      <alignment horizontal="center"/>
    </xf>
    <xf numFmtId="0" fontId="4" fillId="3" borderId="30" xfId="3" applyBorder="1" applyAlignment="1">
      <alignment horizontal="center"/>
    </xf>
    <xf numFmtId="0" fontId="3" fillId="3" borderId="41" xfId="2" applyBorder="1" applyAlignment="1">
      <alignment horizontal="center" vertical="center"/>
    </xf>
    <xf numFmtId="0" fontId="3" fillId="3" borderId="28" xfId="2" applyBorder="1" applyAlignment="1">
      <alignment horizontal="center"/>
    </xf>
    <xf numFmtId="0" fontId="3" fillId="3" borderId="29" xfId="2" applyBorder="1" applyAlignment="1">
      <alignment horizontal="center"/>
    </xf>
    <xf numFmtId="0" fontId="3" fillId="3" borderId="30" xfId="2" applyBorder="1" applyAlignment="1">
      <alignment horizontal="center"/>
    </xf>
    <xf numFmtId="0" fontId="0" fillId="7" borderId="0" xfId="0" applyFill="1" applyAlignment="1">
      <alignment horizontal="center"/>
    </xf>
  </cellXfs>
  <cellStyles count="13">
    <cellStyle name="Calculation" xfId="3" builtinId="22"/>
    <cellStyle name="Check Cell" xfId="4" builtinId="23"/>
    <cellStyle name="Hyperlink" xfId="9" builtinId="8"/>
    <cellStyle name="Input" xfId="1" builtinId="20"/>
    <cellStyle name="Normal" xfId="0" builtinId="0"/>
    <cellStyle name="Normal 2" xfId="5"/>
    <cellStyle name="Normal 2 3" xfId="6"/>
    <cellStyle name="Normal 3" xfId="7"/>
    <cellStyle name="Normal 4" xfId="12"/>
    <cellStyle name="Normal 5" xfId="10"/>
    <cellStyle name="Normal 6" xfId="8"/>
    <cellStyle name="Normal 6 2" xfId="11"/>
    <cellStyle name="Output" xfId="2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#AMD30PN5!A1"/><Relationship Id="rId18" Type="http://schemas.openxmlformats.org/officeDocument/2006/relationships/hyperlink" Target="Technical%20Submittal%20Reduce/perkins/50/AMD65PN5_opt.pdf" TargetMode="External"/><Relationship Id="rId26" Type="http://schemas.openxmlformats.org/officeDocument/2006/relationships/hyperlink" Target="Technical%20Submittal%20Reduce/perkins/50/AMD150PN5_opt.pdf" TargetMode="External"/><Relationship Id="rId39" Type="http://schemas.openxmlformats.org/officeDocument/2006/relationships/hyperlink" Target="#AMD450PN5!A1"/><Relationship Id="rId21" Type="http://schemas.openxmlformats.org/officeDocument/2006/relationships/hyperlink" Target="#'AMD80''PN5'!A1"/><Relationship Id="rId34" Type="http://schemas.openxmlformats.org/officeDocument/2006/relationships/hyperlink" Target="#AMD250PN5!A1"/><Relationship Id="rId42" Type="http://schemas.openxmlformats.org/officeDocument/2006/relationships/hyperlink" Target="#AMD650PN5!A1"/><Relationship Id="rId47" Type="http://schemas.openxmlformats.org/officeDocument/2006/relationships/hyperlink" Target="#AMD1125PN5!A1"/><Relationship Id="rId50" Type="http://schemas.openxmlformats.org/officeDocument/2006/relationships/hyperlink" Target="#AMD1350PN5!A1"/><Relationship Id="rId55" Type="http://schemas.openxmlformats.org/officeDocument/2006/relationships/hyperlink" Target="#AMD2000PN5!A1"/><Relationship Id="rId7" Type="http://schemas.openxmlformats.org/officeDocument/2006/relationships/hyperlink" Target="#AMD13PN5!A1"/><Relationship Id="rId12" Type="http://schemas.openxmlformats.org/officeDocument/2006/relationships/hyperlink" Target="Technical%20Submittal%20Reduce/perkins/50/AMD30PN5_opt.pdf" TargetMode="External"/><Relationship Id="rId17" Type="http://schemas.openxmlformats.org/officeDocument/2006/relationships/hyperlink" Target="#AMD60PN5!A1"/><Relationship Id="rId25" Type="http://schemas.openxmlformats.org/officeDocument/2006/relationships/hyperlink" Target="#AMD135PN5!A1"/><Relationship Id="rId33" Type="http://schemas.openxmlformats.org/officeDocument/2006/relationships/hyperlink" Target="#AMD230PN5!A1"/><Relationship Id="rId38" Type="http://schemas.openxmlformats.org/officeDocument/2006/relationships/hyperlink" Target="#AMD400PN5!A1"/><Relationship Id="rId46" Type="http://schemas.openxmlformats.org/officeDocument/2006/relationships/hyperlink" Target="#AMD1000PN5!A1"/><Relationship Id="rId2" Type="http://schemas.openxmlformats.org/officeDocument/2006/relationships/hyperlink" Target="#'BOQ FOR AMD6PN5-OPEN Type '!A1"/><Relationship Id="rId16" Type="http://schemas.openxmlformats.org/officeDocument/2006/relationships/hyperlink" Target="Technical%20Submittal%20Reduce/perkins/50/AMD60PN5_opt.pdf" TargetMode="External"/><Relationship Id="rId20" Type="http://schemas.openxmlformats.org/officeDocument/2006/relationships/hyperlink" Target="#AMD80PN5!A1"/><Relationship Id="rId29" Type="http://schemas.openxmlformats.org/officeDocument/2006/relationships/hyperlink" Target="#AMD180PN5!A1"/><Relationship Id="rId41" Type="http://schemas.openxmlformats.org/officeDocument/2006/relationships/hyperlink" Target="#AMD600PN5!A1"/><Relationship Id="rId54" Type="http://schemas.openxmlformats.org/officeDocument/2006/relationships/hyperlink" Target="#'AMD1850''PN5'!A1"/><Relationship Id="rId1" Type="http://schemas.openxmlformats.org/officeDocument/2006/relationships/hyperlink" Target="Technical%20Submittal%20Reduce/perkins/50/AMD6PN5_opt.pdf" TargetMode="External"/><Relationship Id="rId6" Type="http://schemas.openxmlformats.org/officeDocument/2006/relationships/hyperlink" Target="Technical%20Submittal%20Reduce/perkins/50/AMD13PN5_opt.pdf" TargetMode="External"/><Relationship Id="rId11" Type="http://schemas.openxmlformats.org/officeDocument/2006/relationships/hyperlink" Target="#AMD20PN5!A1"/><Relationship Id="rId24" Type="http://schemas.openxmlformats.org/officeDocument/2006/relationships/hyperlink" Target="Technical%20Submittal%20Reduce/perkins/50/AMD135PN5_opt.pdf" TargetMode="External"/><Relationship Id="rId32" Type="http://schemas.openxmlformats.org/officeDocument/2006/relationships/hyperlink" Target="Technical%20Submittal%20Reduce/perkins/50/AMD230PN5_opt.pdf" TargetMode="External"/><Relationship Id="rId37" Type="http://schemas.openxmlformats.org/officeDocument/2006/relationships/hyperlink" Target="#AMD350PN5!A1"/><Relationship Id="rId40" Type="http://schemas.openxmlformats.org/officeDocument/2006/relationships/hyperlink" Target="#AMD500PN5!A1"/><Relationship Id="rId45" Type="http://schemas.openxmlformats.org/officeDocument/2006/relationships/hyperlink" Target="#AMD900PN5!A1"/><Relationship Id="rId53" Type="http://schemas.openxmlformats.org/officeDocument/2006/relationships/hyperlink" Target="#AMD1850PN5!A1"/><Relationship Id="rId5" Type="http://schemas.openxmlformats.org/officeDocument/2006/relationships/hyperlink" Target="#AMD9PN5!A1"/><Relationship Id="rId15" Type="http://schemas.openxmlformats.org/officeDocument/2006/relationships/hyperlink" Target="#AMD45PN5!A1"/><Relationship Id="rId23" Type="http://schemas.openxmlformats.org/officeDocument/2006/relationships/hyperlink" Target="#AMD100PN5!A1"/><Relationship Id="rId28" Type="http://schemas.openxmlformats.org/officeDocument/2006/relationships/hyperlink" Target="Technical%20Submittal%20Reduce/perkins/50/AMD180PN5_opt.pdf" TargetMode="External"/><Relationship Id="rId36" Type="http://schemas.openxmlformats.org/officeDocument/2006/relationships/hyperlink" Target="#AMD300PN5!A1"/><Relationship Id="rId49" Type="http://schemas.openxmlformats.org/officeDocument/2006/relationships/hyperlink" Target="#'AMD1350''PN5'!A1"/><Relationship Id="rId57" Type="http://schemas.openxmlformats.org/officeDocument/2006/relationships/hyperlink" Target="#AMD2250PN5!A1"/><Relationship Id="rId10" Type="http://schemas.openxmlformats.org/officeDocument/2006/relationships/hyperlink" Target="Technical%20Submittal%20Reduce/perkins/50/AMD20PN5_opt.pdf" TargetMode="External"/><Relationship Id="rId19" Type="http://schemas.openxmlformats.org/officeDocument/2006/relationships/hyperlink" Target="#AMD65PN5!A1"/><Relationship Id="rId31" Type="http://schemas.openxmlformats.org/officeDocument/2006/relationships/hyperlink" Target="#AMD200.PN5!A1"/><Relationship Id="rId44" Type="http://schemas.openxmlformats.org/officeDocument/2006/relationships/hyperlink" Target="#AMD800PN5!A1"/><Relationship Id="rId52" Type="http://schemas.openxmlformats.org/officeDocument/2006/relationships/hyperlink" Target="#AMD1700PN5!A1"/><Relationship Id="rId4" Type="http://schemas.openxmlformats.org/officeDocument/2006/relationships/hyperlink" Target="Technical%20Submittal%20Reduce/perkins/50/AMD9PN5_opt.pdf" TargetMode="External"/><Relationship Id="rId9" Type="http://schemas.openxmlformats.org/officeDocument/2006/relationships/hyperlink" Target="#AMD15PN5!A1"/><Relationship Id="rId14" Type="http://schemas.openxmlformats.org/officeDocument/2006/relationships/hyperlink" Target="Technical%20Submittal%20Reduce/perkins/50/AMD45PN5_opt.pdf" TargetMode="External"/><Relationship Id="rId22" Type="http://schemas.openxmlformats.org/officeDocument/2006/relationships/hyperlink" Target="Technical%20Submittal%20Reduce/perkins/50/AMD100PN5_opt.pdf" TargetMode="External"/><Relationship Id="rId27" Type="http://schemas.openxmlformats.org/officeDocument/2006/relationships/hyperlink" Target="#AMD150PN5!A1"/><Relationship Id="rId30" Type="http://schemas.openxmlformats.org/officeDocument/2006/relationships/hyperlink" Target="#AMD200PN5!A1"/><Relationship Id="rId35" Type="http://schemas.openxmlformats.org/officeDocument/2006/relationships/hyperlink" Target="#AMD275PN5!A1"/><Relationship Id="rId43" Type="http://schemas.openxmlformats.org/officeDocument/2006/relationships/hyperlink" Target="#AMD750PN5!A1"/><Relationship Id="rId48" Type="http://schemas.openxmlformats.org/officeDocument/2006/relationships/hyperlink" Target="#AMD1250PN5!A1"/><Relationship Id="rId56" Type="http://schemas.openxmlformats.org/officeDocument/2006/relationships/hyperlink" Target="#'AMD2000''PN5'!A1"/><Relationship Id="rId8" Type="http://schemas.openxmlformats.org/officeDocument/2006/relationships/hyperlink" Target="Technical%20Submittal%20Reduce/perkins/50/AMD15PN5_opt.pdf" TargetMode="External"/><Relationship Id="rId51" Type="http://schemas.openxmlformats.org/officeDocument/2006/relationships/hyperlink" Target="#AMD1500PN5!A1"/><Relationship Id="rId3" Type="http://schemas.openxmlformats.org/officeDocument/2006/relationships/hyperlink" Target="#AMD6PN5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heet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</xdr:row>
      <xdr:rowOff>123825</xdr:rowOff>
    </xdr:from>
    <xdr:to>
      <xdr:col>4</xdr:col>
      <xdr:colOff>152400</xdr:colOff>
      <xdr:row>9</xdr:row>
      <xdr:rowOff>9525</xdr:rowOff>
    </xdr:to>
    <xdr:sp macro="" textlink="">
      <xdr:nvSpPr>
        <xdr:cNvPr id="2" name="Rounded Rectangle 1"/>
        <xdr:cNvSpPr/>
      </xdr:nvSpPr>
      <xdr:spPr>
        <a:xfrm>
          <a:off x="219075" y="695325"/>
          <a:ext cx="2371725" cy="10287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PERKINS </a:t>
          </a:r>
        </a:p>
        <a:p>
          <a:pPr algn="ctr"/>
          <a:r>
            <a:rPr lang="en-US" sz="2000" b="1" i="0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OP</a:t>
          </a:r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EN TYPE 50Hz</a:t>
          </a:r>
        </a:p>
      </xdr:txBody>
    </xdr:sp>
    <xdr:clientData/>
  </xdr:twoCellAnchor>
  <xdr:twoCellAnchor>
    <xdr:from>
      <xdr:col>0</xdr:col>
      <xdr:colOff>209550</xdr:colOff>
      <xdr:row>15</xdr:row>
      <xdr:rowOff>152400</xdr:rowOff>
    </xdr:from>
    <xdr:to>
      <xdr:col>4</xdr:col>
      <xdr:colOff>142875</xdr:colOff>
      <xdr:row>21</xdr:row>
      <xdr:rowOff>38100</xdr:rowOff>
    </xdr:to>
    <xdr:sp macro="" textlink="">
      <xdr:nvSpPr>
        <xdr:cNvPr id="3" name="Rounded Rectangle 2"/>
        <xdr:cNvSpPr/>
      </xdr:nvSpPr>
      <xdr:spPr>
        <a:xfrm>
          <a:off x="209550" y="3009900"/>
          <a:ext cx="2371725" cy="10287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PERKINS </a:t>
          </a:r>
        </a:p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CLOSE TYPE 50Hz</a:t>
          </a:r>
        </a:p>
      </xdr:txBody>
    </xdr:sp>
    <xdr:clientData/>
  </xdr:twoCellAnchor>
  <xdr:twoCellAnchor>
    <xdr:from>
      <xdr:col>10</xdr:col>
      <xdr:colOff>304800</xdr:colOff>
      <xdr:row>4</xdr:row>
      <xdr:rowOff>9525</xdr:rowOff>
    </xdr:from>
    <xdr:to>
      <xdr:col>14</xdr:col>
      <xdr:colOff>238125</xdr:colOff>
      <xdr:row>9</xdr:row>
      <xdr:rowOff>85725</xdr:rowOff>
    </xdr:to>
    <xdr:sp macro="" textlink="">
      <xdr:nvSpPr>
        <xdr:cNvPr id="4" name="Rounded Rectangle 3"/>
        <xdr:cNvSpPr/>
      </xdr:nvSpPr>
      <xdr:spPr>
        <a:xfrm>
          <a:off x="6400800" y="771525"/>
          <a:ext cx="2371725" cy="10287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CUMMINS</a:t>
          </a:r>
        </a:p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OPEN TYPE 50Hz</a:t>
          </a:r>
        </a:p>
      </xdr:txBody>
    </xdr:sp>
    <xdr:clientData/>
  </xdr:twoCellAnchor>
  <xdr:twoCellAnchor>
    <xdr:from>
      <xdr:col>10</xdr:col>
      <xdr:colOff>295275</xdr:colOff>
      <xdr:row>16</xdr:row>
      <xdr:rowOff>38100</xdr:rowOff>
    </xdr:from>
    <xdr:to>
      <xdr:col>14</xdr:col>
      <xdr:colOff>228600</xdr:colOff>
      <xdr:row>21</xdr:row>
      <xdr:rowOff>114300</xdr:rowOff>
    </xdr:to>
    <xdr:sp macro="" textlink="">
      <xdr:nvSpPr>
        <xdr:cNvPr id="5" name="Rounded Rectangle 4"/>
        <xdr:cNvSpPr/>
      </xdr:nvSpPr>
      <xdr:spPr>
        <a:xfrm>
          <a:off x="6391275" y="3086100"/>
          <a:ext cx="2371725" cy="10287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CUMMINS</a:t>
          </a:r>
        </a:p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CLOSE TYPE 50Hz</a:t>
          </a:r>
        </a:p>
      </xdr:txBody>
    </xdr:sp>
    <xdr:clientData/>
  </xdr:twoCellAnchor>
  <xdr:twoCellAnchor>
    <xdr:from>
      <xdr:col>5</xdr:col>
      <xdr:colOff>295275</xdr:colOff>
      <xdr:row>3</xdr:row>
      <xdr:rowOff>171450</xdr:rowOff>
    </xdr:from>
    <xdr:to>
      <xdr:col>9</xdr:col>
      <xdr:colOff>228600</xdr:colOff>
      <xdr:row>9</xdr:row>
      <xdr:rowOff>57150</xdr:rowOff>
    </xdr:to>
    <xdr:sp macro="" textlink="">
      <xdr:nvSpPr>
        <xdr:cNvPr id="6" name="Rounded Rectangle 5"/>
        <xdr:cNvSpPr/>
      </xdr:nvSpPr>
      <xdr:spPr>
        <a:xfrm>
          <a:off x="3343275" y="742950"/>
          <a:ext cx="2371725" cy="10287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PERKINS </a:t>
          </a:r>
        </a:p>
        <a:p>
          <a:pPr algn="ctr"/>
          <a:r>
            <a:rPr lang="en-US" sz="2000" b="1" i="0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OP</a:t>
          </a:r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EN TYPE 60Hz</a:t>
          </a:r>
        </a:p>
      </xdr:txBody>
    </xdr:sp>
    <xdr:clientData/>
  </xdr:twoCellAnchor>
  <xdr:twoCellAnchor>
    <xdr:from>
      <xdr:col>5</xdr:col>
      <xdr:colOff>285750</xdr:colOff>
      <xdr:row>16</xdr:row>
      <xdr:rowOff>9525</xdr:rowOff>
    </xdr:from>
    <xdr:to>
      <xdr:col>9</xdr:col>
      <xdr:colOff>219075</xdr:colOff>
      <xdr:row>21</xdr:row>
      <xdr:rowOff>85725</xdr:rowOff>
    </xdr:to>
    <xdr:sp macro="" textlink="">
      <xdr:nvSpPr>
        <xdr:cNvPr id="7" name="Rounded Rectangle 6"/>
        <xdr:cNvSpPr/>
      </xdr:nvSpPr>
      <xdr:spPr>
        <a:xfrm>
          <a:off x="3333750" y="3057525"/>
          <a:ext cx="2371725" cy="102870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PERKINS </a:t>
          </a:r>
        </a:p>
        <a:p>
          <a:pPr algn="ctr"/>
          <a:r>
            <a:rPr lang="en-US" sz="2000" b="1" cap="none" spc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CLOSE TYPE</a:t>
          </a:r>
          <a:r>
            <a:rPr lang="en-US" sz="2000" b="1" cap="none" spc="0" baseline="0">
              <a:ln w="11430"/>
              <a:solidFill>
                <a:schemeClr val="tx2">
                  <a:lumMod val="60000"/>
                  <a:lumOff val="40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60Hz</a:t>
          </a:r>
          <a:endParaRPr lang="en-US" sz="2000" b="1" cap="none" spc="0">
            <a:ln w="11430"/>
            <a:solidFill>
              <a:schemeClr val="tx2">
                <a:lumMod val="60000"/>
                <a:lumOff val="40000"/>
              </a:schemeClr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>
    <xdr:from>
      <xdr:col>15</xdr:col>
      <xdr:colOff>381000</xdr:colOff>
      <xdr:row>4</xdr:row>
      <xdr:rowOff>57150</xdr:rowOff>
    </xdr:from>
    <xdr:to>
      <xdr:col>19</xdr:col>
      <xdr:colOff>314325</xdr:colOff>
      <xdr:row>9</xdr:row>
      <xdr:rowOff>133350</xdr:rowOff>
    </xdr:to>
    <xdr:sp macro="" textlink="">
      <xdr:nvSpPr>
        <xdr:cNvPr id="8" name="Rounded Rectangle 7"/>
        <xdr:cNvSpPr/>
      </xdr:nvSpPr>
      <xdr:spPr>
        <a:xfrm>
          <a:off x="9525000" y="819150"/>
          <a:ext cx="2371725" cy="10287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CUMMINS</a:t>
          </a:r>
        </a:p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OPEN TYPE 60Hz</a:t>
          </a:r>
        </a:p>
      </xdr:txBody>
    </xdr:sp>
    <xdr:clientData/>
  </xdr:twoCellAnchor>
  <xdr:twoCellAnchor>
    <xdr:from>
      <xdr:col>15</xdr:col>
      <xdr:colOff>371475</xdr:colOff>
      <xdr:row>16</xdr:row>
      <xdr:rowOff>85725</xdr:rowOff>
    </xdr:from>
    <xdr:to>
      <xdr:col>19</xdr:col>
      <xdr:colOff>304800</xdr:colOff>
      <xdr:row>21</xdr:row>
      <xdr:rowOff>161925</xdr:rowOff>
    </xdr:to>
    <xdr:sp macro="" textlink="">
      <xdr:nvSpPr>
        <xdr:cNvPr id="9" name="Rounded Rectangle 8"/>
        <xdr:cNvSpPr/>
      </xdr:nvSpPr>
      <xdr:spPr>
        <a:xfrm>
          <a:off x="9515475" y="3133725"/>
          <a:ext cx="2371725" cy="102870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CUMMINS</a:t>
          </a:r>
        </a:p>
        <a:p>
          <a:pPr algn="ctr"/>
          <a:r>
            <a:rPr lang="en-US" sz="20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CLOSE TYPE 60Hz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4" name="Left Arrow 3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3" name="Left Arrow 2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4" name="Left Arrow 3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5" name="Left Arrow 4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6" name="Left Arrow 5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908</xdr:rowOff>
    </xdr:from>
    <xdr:to>
      <xdr:col>3</xdr:col>
      <xdr:colOff>297037</xdr:colOff>
      <xdr:row>10</xdr:row>
      <xdr:rowOff>18140</xdr:rowOff>
    </xdr:to>
    <xdr:grpSp>
      <xdr:nvGrpSpPr>
        <xdr:cNvPr id="3" name="Group 2"/>
        <xdr:cNvGrpSpPr/>
      </xdr:nvGrpSpPr>
      <xdr:grpSpPr>
        <a:xfrm>
          <a:off x="0" y="373441"/>
          <a:ext cx="2176637" cy="1507366"/>
          <a:chOff x="94368" y="908"/>
          <a:chExt cx="2125837" cy="1541232"/>
        </a:xfrm>
      </xdr:grpSpPr>
      <xdr:sp macro="" textlink="">
        <xdr:nvSpPr>
          <xdr:cNvPr id="4" name="Freeform 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" name="Freeform 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" name="Freeform 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7" name="Freeform 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8" name="Freeform 7">
            <a:hlinkClick xmlns:r="http://schemas.openxmlformats.org/officeDocument/2006/relationships" r:id="rId1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AMD6PN5</a:t>
            </a:r>
          </a:p>
        </xdr:txBody>
      </xdr:sp>
      <xdr:sp macro="" textlink="">
        <xdr:nvSpPr>
          <xdr:cNvPr id="9" name="Freeform 8">
            <a:hlinkClick xmlns:r="http://schemas.openxmlformats.org/officeDocument/2006/relationships" r:id="rId2"/>
          </xdr:cNvPr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0" name="Freeform 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1" name="Freeform 1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2" name="Freeform 11">
            <a:hlinkClick xmlns:r="http://schemas.openxmlformats.org/officeDocument/2006/relationships" r:id="rId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2</xdr:row>
      <xdr:rowOff>0</xdr:rowOff>
    </xdr:from>
    <xdr:to>
      <xdr:col>7</xdr:col>
      <xdr:colOff>87487</xdr:colOff>
      <xdr:row>10</xdr:row>
      <xdr:rowOff>17232</xdr:rowOff>
    </xdr:to>
    <xdr:grpSp>
      <xdr:nvGrpSpPr>
        <xdr:cNvPr id="13" name="Group 12"/>
        <xdr:cNvGrpSpPr/>
      </xdr:nvGrpSpPr>
      <xdr:grpSpPr>
        <a:xfrm>
          <a:off x="2279650" y="372533"/>
          <a:ext cx="2193570" cy="1507366"/>
          <a:chOff x="94368" y="908"/>
          <a:chExt cx="2125837" cy="1541232"/>
        </a:xfrm>
      </xdr:grpSpPr>
      <xdr:sp macro="" textlink="">
        <xdr:nvSpPr>
          <xdr:cNvPr id="14" name="Freeform 1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5" name="Freeform 1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6" name="Freeform 1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7" name="Freeform 1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" name="Freeform 17">
            <a:hlinkClick xmlns:r="http://schemas.openxmlformats.org/officeDocument/2006/relationships" r:id="rId4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AMD9PN5</a:t>
            </a:r>
          </a:p>
        </xdr:txBody>
      </xdr:sp>
      <xdr:sp macro="" textlink="">
        <xdr:nvSpPr>
          <xdr:cNvPr id="19" name="Freeform 1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0" name="Freeform 1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1" name="Freeform 2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2" name="Freeform 21">
            <a:hlinkClick xmlns:r="http://schemas.openxmlformats.org/officeDocument/2006/relationships" r:id="rId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2</xdr:row>
      <xdr:rowOff>908</xdr:rowOff>
    </xdr:from>
    <xdr:to>
      <xdr:col>10</xdr:col>
      <xdr:colOff>487537</xdr:colOff>
      <xdr:row>10</xdr:row>
      <xdr:rowOff>18140</xdr:rowOff>
    </xdr:to>
    <xdr:grpSp>
      <xdr:nvGrpSpPr>
        <xdr:cNvPr id="23" name="Group 22"/>
        <xdr:cNvGrpSpPr/>
      </xdr:nvGrpSpPr>
      <xdr:grpSpPr>
        <a:xfrm>
          <a:off x="4576233" y="373441"/>
          <a:ext cx="2176637" cy="1507366"/>
          <a:chOff x="94368" y="908"/>
          <a:chExt cx="2125837" cy="1541232"/>
        </a:xfrm>
      </xdr:grpSpPr>
      <xdr:sp macro="" textlink="">
        <xdr:nvSpPr>
          <xdr:cNvPr id="24" name="Freeform 2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" name="Freeform 2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6" name="Freeform 2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" name="Freeform 2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" name="Freeform 27">
            <a:hlinkClick xmlns:r="http://schemas.openxmlformats.org/officeDocument/2006/relationships" r:id="rId6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AMD13PN5</a:t>
            </a:r>
          </a:p>
        </xdr:txBody>
      </xdr:sp>
      <xdr:sp macro="" textlink="">
        <xdr:nvSpPr>
          <xdr:cNvPr id="29" name="Freeform 2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0" name="Freeform 2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1" name="Freeform 3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2" name="Freeform 31">
            <a:hlinkClick xmlns:r="http://schemas.openxmlformats.org/officeDocument/2006/relationships" r:id="rId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2</xdr:row>
      <xdr:rowOff>0</xdr:rowOff>
    </xdr:from>
    <xdr:to>
      <xdr:col>14</xdr:col>
      <xdr:colOff>277987</xdr:colOff>
      <xdr:row>10</xdr:row>
      <xdr:rowOff>17232</xdr:rowOff>
    </xdr:to>
    <xdr:grpSp>
      <xdr:nvGrpSpPr>
        <xdr:cNvPr id="33" name="Group 32"/>
        <xdr:cNvGrpSpPr/>
      </xdr:nvGrpSpPr>
      <xdr:grpSpPr>
        <a:xfrm>
          <a:off x="6860117" y="372533"/>
          <a:ext cx="2189337" cy="1507366"/>
          <a:chOff x="94368" y="908"/>
          <a:chExt cx="2125837" cy="1541232"/>
        </a:xfrm>
      </xdr:grpSpPr>
      <xdr:sp macro="" textlink="">
        <xdr:nvSpPr>
          <xdr:cNvPr id="34" name="Freeform 3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5" name="Freeform 3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6" name="Freeform 3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7" name="Freeform 3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8" name="Freeform 37">
            <a:hlinkClick xmlns:r="http://schemas.openxmlformats.org/officeDocument/2006/relationships" r:id="rId8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AMD15PN5</a:t>
            </a:r>
          </a:p>
        </xdr:txBody>
      </xdr:sp>
      <xdr:sp macro="" textlink="">
        <xdr:nvSpPr>
          <xdr:cNvPr id="39" name="Freeform 3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40" name="Freeform 3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41" name="Freeform 4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42" name="Freeform 41">
            <a:hlinkClick xmlns:r="http://schemas.openxmlformats.org/officeDocument/2006/relationships" r:id="rId9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2</xdr:row>
      <xdr:rowOff>0</xdr:rowOff>
    </xdr:from>
    <xdr:to>
      <xdr:col>18</xdr:col>
      <xdr:colOff>68437</xdr:colOff>
      <xdr:row>10</xdr:row>
      <xdr:rowOff>17232</xdr:rowOff>
    </xdr:to>
    <xdr:grpSp>
      <xdr:nvGrpSpPr>
        <xdr:cNvPr id="43" name="Group 42"/>
        <xdr:cNvGrpSpPr/>
      </xdr:nvGrpSpPr>
      <xdr:grpSpPr>
        <a:xfrm>
          <a:off x="9152467" y="372533"/>
          <a:ext cx="2193570" cy="1507366"/>
          <a:chOff x="94368" y="908"/>
          <a:chExt cx="2125837" cy="1541232"/>
        </a:xfrm>
      </xdr:grpSpPr>
      <xdr:sp macro="" textlink="">
        <xdr:nvSpPr>
          <xdr:cNvPr id="44" name="Freeform 4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5" name="Freeform 4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6" name="Freeform 4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7" name="Freeform 4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8" name="Freeform 47">
            <a:hlinkClick xmlns:r="http://schemas.openxmlformats.org/officeDocument/2006/relationships" r:id="rId10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AMD20PN5</a:t>
            </a:r>
          </a:p>
        </xdr:txBody>
      </xdr:sp>
      <xdr:sp macro="" textlink="">
        <xdr:nvSpPr>
          <xdr:cNvPr id="49" name="Freeform 4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50" name="Freeform 4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51" name="Freeform 5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52" name="Freeform 51">
            <a:hlinkClick xmlns:r="http://schemas.openxmlformats.org/officeDocument/2006/relationships" r:id="rId11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2</xdr:row>
      <xdr:rowOff>0</xdr:rowOff>
    </xdr:from>
    <xdr:to>
      <xdr:col>21</xdr:col>
      <xdr:colOff>520345</xdr:colOff>
      <xdr:row>10</xdr:row>
      <xdr:rowOff>17232</xdr:rowOff>
    </xdr:to>
    <xdr:grpSp>
      <xdr:nvGrpSpPr>
        <xdr:cNvPr id="53" name="Group 52"/>
        <xdr:cNvGrpSpPr/>
      </xdr:nvGrpSpPr>
      <xdr:grpSpPr>
        <a:xfrm>
          <a:off x="11496675" y="372533"/>
          <a:ext cx="2180870" cy="1507366"/>
          <a:chOff x="94368" y="908"/>
          <a:chExt cx="2125837" cy="1541232"/>
        </a:xfrm>
      </xdr:grpSpPr>
      <xdr:sp macro="" textlink="">
        <xdr:nvSpPr>
          <xdr:cNvPr id="54" name="Freeform 5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5" name="Freeform 5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6" name="Freeform 5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7" name="Freeform 5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8" name="Freeform 57">
            <a:hlinkClick xmlns:r="http://schemas.openxmlformats.org/officeDocument/2006/relationships" r:id="rId12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AMD30PN5</a:t>
            </a:r>
          </a:p>
        </xdr:txBody>
      </xdr:sp>
      <xdr:sp macro="" textlink="">
        <xdr:nvSpPr>
          <xdr:cNvPr id="59" name="Freeform 5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60" name="Freeform 5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61" name="Freeform 6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62" name="Freeform 61">
            <a:hlinkClick xmlns:r="http://schemas.openxmlformats.org/officeDocument/2006/relationships" r:id="rId1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11</xdr:row>
      <xdr:rowOff>47475</xdr:rowOff>
    </xdr:from>
    <xdr:to>
      <xdr:col>3</xdr:col>
      <xdr:colOff>297037</xdr:colOff>
      <xdr:row>19</xdr:row>
      <xdr:rowOff>64707</xdr:rowOff>
    </xdr:to>
    <xdr:grpSp>
      <xdr:nvGrpSpPr>
        <xdr:cNvPr id="63" name="Group 62"/>
        <xdr:cNvGrpSpPr/>
      </xdr:nvGrpSpPr>
      <xdr:grpSpPr>
        <a:xfrm>
          <a:off x="0" y="2096408"/>
          <a:ext cx="2176637" cy="1507366"/>
          <a:chOff x="94368" y="908"/>
          <a:chExt cx="2125837" cy="1541232"/>
        </a:xfrm>
      </xdr:grpSpPr>
      <xdr:sp macro="" textlink="">
        <xdr:nvSpPr>
          <xdr:cNvPr id="64" name="Freeform 6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5" name="Freeform 6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6" name="Freeform 6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7" name="Freeform 6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8" name="Freeform 67">
            <a:hlinkClick xmlns:r="http://schemas.openxmlformats.org/officeDocument/2006/relationships" r:id="rId14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AMD45PN5</a:t>
            </a:r>
          </a:p>
        </xdr:txBody>
      </xdr:sp>
      <xdr:sp macro="" textlink="">
        <xdr:nvSpPr>
          <xdr:cNvPr id="69" name="Freeform 6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70" name="Freeform 6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71" name="Freeform 7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72" name="Freeform 71">
            <a:hlinkClick xmlns:r="http://schemas.openxmlformats.org/officeDocument/2006/relationships" r:id="rId1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11</xdr:row>
      <xdr:rowOff>46567</xdr:rowOff>
    </xdr:from>
    <xdr:to>
      <xdr:col>7</xdr:col>
      <xdr:colOff>87487</xdr:colOff>
      <xdr:row>19</xdr:row>
      <xdr:rowOff>63799</xdr:rowOff>
    </xdr:to>
    <xdr:grpSp>
      <xdr:nvGrpSpPr>
        <xdr:cNvPr id="73" name="Group 72"/>
        <xdr:cNvGrpSpPr/>
      </xdr:nvGrpSpPr>
      <xdr:grpSpPr>
        <a:xfrm>
          <a:off x="2279650" y="2095500"/>
          <a:ext cx="2193570" cy="1507366"/>
          <a:chOff x="94368" y="908"/>
          <a:chExt cx="2125837" cy="1541232"/>
        </a:xfrm>
      </xdr:grpSpPr>
      <xdr:sp macro="" textlink="">
        <xdr:nvSpPr>
          <xdr:cNvPr id="74" name="Freeform 7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75" name="Freeform 7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76" name="Freeform 7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77" name="Freeform 7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78" name="Freeform 77">
            <a:hlinkClick xmlns:r="http://schemas.openxmlformats.org/officeDocument/2006/relationships" r:id="rId16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AMD60PN5</a:t>
            </a:r>
          </a:p>
        </xdr:txBody>
      </xdr:sp>
      <xdr:sp macro="" textlink="">
        <xdr:nvSpPr>
          <xdr:cNvPr id="79" name="Freeform 7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80" name="Freeform 7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81" name="Freeform 8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82" name="Freeform 81">
            <a:hlinkClick xmlns:r="http://schemas.openxmlformats.org/officeDocument/2006/relationships" r:id="rId1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11</xdr:row>
      <xdr:rowOff>47475</xdr:rowOff>
    </xdr:from>
    <xdr:to>
      <xdr:col>10</xdr:col>
      <xdr:colOff>487537</xdr:colOff>
      <xdr:row>19</xdr:row>
      <xdr:rowOff>64707</xdr:rowOff>
    </xdr:to>
    <xdr:grpSp>
      <xdr:nvGrpSpPr>
        <xdr:cNvPr id="83" name="Group 82"/>
        <xdr:cNvGrpSpPr/>
      </xdr:nvGrpSpPr>
      <xdr:grpSpPr>
        <a:xfrm>
          <a:off x="4576233" y="2096408"/>
          <a:ext cx="2176637" cy="1507366"/>
          <a:chOff x="94368" y="908"/>
          <a:chExt cx="2125837" cy="1541232"/>
        </a:xfrm>
      </xdr:grpSpPr>
      <xdr:sp macro="" textlink="">
        <xdr:nvSpPr>
          <xdr:cNvPr id="84" name="Freeform 8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85" name="Freeform 8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86" name="Freeform 8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87" name="Freeform 8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88" name="Freeform 87">
            <a:hlinkClick xmlns:r="http://schemas.openxmlformats.org/officeDocument/2006/relationships" r:id="rId18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AMD65PN5</a:t>
            </a:r>
          </a:p>
        </xdr:txBody>
      </xdr:sp>
      <xdr:sp macro="" textlink="">
        <xdr:nvSpPr>
          <xdr:cNvPr id="89" name="Freeform 8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90" name="Freeform 8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91" name="Freeform 9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92" name="Freeform 91">
            <a:hlinkClick xmlns:r="http://schemas.openxmlformats.org/officeDocument/2006/relationships" r:id="rId19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11</xdr:row>
      <xdr:rowOff>46567</xdr:rowOff>
    </xdr:from>
    <xdr:to>
      <xdr:col>14</xdr:col>
      <xdr:colOff>277987</xdr:colOff>
      <xdr:row>19</xdr:row>
      <xdr:rowOff>63799</xdr:rowOff>
    </xdr:to>
    <xdr:grpSp>
      <xdr:nvGrpSpPr>
        <xdr:cNvPr id="93" name="Group 92"/>
        <xdr:cNvGrpSpPr/>
      </xdr:nvGrpSpPr>
      <xdr:grpSpPr>
        <a:xfrm>
          <a:off x="6860117" y="2095500"/>
          <a:ext cx="2189337" cy="1507366"/>
          <a:chOff x="94368" y="908"/>
          <a:chExt cx="2125837" cy="1541232"/>
        </a:xfrm>
      </xdr:grpSpPr>
      <xdr:sp macro="" textlink="">
        <xdr:nvSpPr>
          <xdr:cNvPr id="94" name="Freeform 9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95" name="Freeform 9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96" name="Freeform 9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97" name="Freeform 9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98" name="Freeform 9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AMD80PN5</a:t>
            </a:r>
          </a:p>
        </xdr:txBody>
      </xdr:sp>
      <xdr:sp macro="" textlink="">
        <xdr:nvSpPr>
          <xdr:cNvPr id="99" name="Freeform 9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00" name="Freeform 9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01" name="Freeform 10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02" name="Freeform 101">
            <a:hlinkClick xmlns:r="http://schemas.openxmlformats.org/officeDocument/2006/relationships" r:id="rId20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11</xdr:row>
      <xdr:rowOff>46567</xdr:rowOff>
    </xdr:from>
    <xdr:to>
      <xdr:col>18</xdr:col>
      <xdr:colOff>68437</xdr:colOff>
      <xdr:row>19</xdr:row>
      <xdr:rowOff>63799</xdr:rowOff>
    </xdr:to>
    <xdr:grpSp>
      <xdr:nvGrpSpPr>
        <xdr:cNvPr id="103" name="Group 102"/>
        <xdr:cNvGrpSpPr/>
      </xdr:nvGrpSpPr>
      <xdr:grpSpPr>
        <a:xfrm>
          <a:off x="9152467" y="2095500"/>
          <a:ext cx="2193570" cy="1507366"/>
          <a:chOff x="94368" y="908"/>
          <a:chExt cx="2125837" cy="1541232"/>
        </a:xfrm>
      </xdr:grpSpPr>
      <xdr:sp macro="" textlink="">
        <xdr:nvSpPr>
          <xdr:cNvPr id="104" name="Freeform 10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05" name="Freeform 10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06" name="Freeform 10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07" name="Freeform 10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08" name="Freeform 10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>
                <a:solidFill>
                  <a:srgbClr val="FF0000"/>
                </a:solidFill>
              </a:rPr>
              <a:t>AMD80'PN5</a:t>
            </a:r>
          </a:p>
        </xdr:txBody>
      </xdr:sp>
      <xdr:sp macro="" textlink="">
        <xdr:nvSpPr>
          <xdr:cNvPr id="109" name="Freeform 10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10" name="Freeform 10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11" name="Freeform 11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12" name="Freeform 111">
            <a:hlinkClick xmlns:r="http://schemas.openxmlformats.org/officeDocument/2006/relationships" r:id="rId21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11</xdr:row>
      <xdr:rowOff>46567</xdr:rowOff>
    </xdr:from>
    <xdr:to>
      <xdr:col>21</xdr:col>
      <xdr:colOff>520345</xdr:colOff>
      <xdr:row>19</xdr:row>
      <xdr:rowOff>63799</xdr:rowOff>
    </xdr:to>
    <xdr:grpSp>
      <xdr:nvGrpSpPr>
        <xdr:cNvPr id="113" name="Group 112"/>
        <xdr:cNvGrpSpPr/>
      </xdr:nvGrpSpPr>
      <xdr:grpSpPr>
        <a:xfrm>
          <a:off x="11496675" y="2095500"/>
          <a:ext cx="2180870" cy="1507366"/>
          <a:chOff x="94368" y="908"/>
          <a:chExt cx="2125837" cy="1541232"/>
        </a:xfrm>
      </xdr:grpSpPr>
      <xdr:sp macro="" textlink="">
        <xdr:nvSpPr>
          <xdr:cNvPr id="114" name="Freeform 11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15" name="Freeform 11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16" name="Freeform 11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17" name="Freeform 11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18" name="Freeform 117">
            <a:hlinkClick xmlns:r="http://schemas.openxmlformats.org/officeDocument/2006/relationships" r:id="rId22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AMD100PN5</a:t>
            </a:r>
          </a:p>
        </xdr:txBody>
      </xdr:sp>
      <xdr:sp macro="" textlink="">
        <xdr:nvSpPr>
          <xdr:cNvPr id="119" name="Freeform 11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20" name="Freeform 11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21" name="Freeform 12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22" name="Freeform 121">
            <a:hlinkClick xmlns:r="http://schemas.openxmlformats.org/officeDocument/2006/relationships" r:id="rId2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20</xdr:row>
      <xdr:rowOff>110975</xdr:rowOff>
    </xdr:from>
    <xdr:to>
      <xdr:col>3</xdr:col>
      <xdr:colOff>297037</xdr:colOff>
      <xdr:row>28</xdr:row>
      <xdr:rowOff>128207</xdr:rowOff>
    </xdr:to>
    <xdr:grpSp>
      <xdr:nvGrpSpPr>
        <xdr:cNvPr id="123" name="Group 122"/>
        <xdr:cNvGrpSpPr/>
      </xdr:nvGrpSpPr>
      <xdr:grpSpPr>
        <a:xfrm>
          <a:off x="0" y="3836308"/>
          <a:ext cx="2176637" cy="1507366"/>
          <a:chOff x="94368" y="908"/>
          <a:chExt cx="2125837" cy="1541232"/>
        </a:xfrm>
      </xdr:grpSpPr>
      <xdr:sp macro="" textlink="">
        <xdr:nvSpPr>
          <xdr:cNvPr id="124" name="Freeform 12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25" name="Freeform 12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26" name="Freeform 12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27" name="Freeform 12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28" name="Freeform 127">
            <a:hlinkClick xmlns:r="http://schemas.openxmlformats.org/officeDocument/2006/relationships" r:id="rId24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AMD135PN5</a:t>
            </a:r>
          </a:p>
        </xdr:txBody>
      </xdr:sp>
      <xdr:sp macro="" textlink="">
        <xdr:nvSpPr>
          <xdr:cNvPr id="129" name="Freeform 12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30" name="Freeform 12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31" name="Freeform 13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32" name="Freeform 131">
            <a:hlinkClick xmlns:r="http://schemas.openxmlformats.org/officeDocument/2006/relationships" r:id="rId2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20</xdr:row>
      <xdr:rowOff>110067</xdr:rowOff>
    </xdr:from>
    <xdr:to>
      <xdr:col>7</xdr:col>
      <xdr:colOff>87487</xdr:colOff>
      <xdr:row>28</xdr:row>
      <xdr:rowOff>127299</xdr:rowOff>
    </xdr:to>
    <xdr:grpSp>
      <xdr:nvGrpSpPr>
        <xdr:cNvPr id="133" name="Group 132"/>
        <xdr:cNvGrpSpPr/>
      </xdr:nvGrpSpPr>
      <xdr:grpSpPr>
        <a:xfrm>
          <a:off x="2279650" y="3835400"/>
          <a:ext cx="2193570" cy="1507366"/>
          <a:chOff x="94368" y="908"/>
          <a:chExt cx="2125837" cy="1541232"/>
        </a:xfrm>
      </xdr:grpSpPr>
      <xdr:sp macro="" textlink="">
        <xdr:nvSpPr>
          <xdr:cNvPr id="134" name="Freeform 13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35" name="Freeform 13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36" name="Freeform 13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37" name="Freeform 13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38" name="Freeform 137">
            <a:hlinkClick xmlns:r="http://schemas.openxmlformats.org/officeDocument/2006/relationships" r:id="rId26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AMD150PN5</a:t>
            </a:r>
          </a:p>
        </xdr:txBody>
      </xdr:sp>
      <xdr:sp macro="" textlink="">
        <xdr:nvSpPr>
          <xdr:cNvPr id="139" name="Freeform 13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40" name="Freeform 13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41" name="Freeform 14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42" name="Freeform 141">
            <a:hlinkClick xmlns:r="http://schemas.openxmlformats.org/officeDocument/2006/relationships" r:id="rId2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20</xdr:row>
      <xdr:rowOff>110975</xdr:rowOff>
    </xdr:from>
    <xdr:to>
      <xdr:col>10</xdr:col>
      <xdr:colOff>487537</xdr:colOff>
      <xdr:row>28</xdr:row>
      <xdr:rowOff>128207</xdr:rowOff>
    </xdr:to>
    <xdr:grpSp>
      <xdr:nvGrpSpPr>
        <xdr:cNvPr id="143" name="Group 142"/>
        <xdr:cNvGrpSpPr/>
      </xdr:nvGrpSpPr>
      <xdr:grpSpPr>
        <a:xfrm>
          <a:off x="4576233" y="3836308"/>
          <a:ext cx="2176637" cy="1507366"/>
          <a:chOff x="94368" y="908"/>
          <a:chExt cx="2125837" cy="1541232"/>
        </a:xfrm>
      </xdr:grpSpPr>
      <xdr:sp macro="" textlink="">
        <xdr:nvSpPr>
          <xdr:cNvPr id="144" name="Freeform 14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45" name="Freeform 14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46" name="Freeform 14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47" name="Freeform 14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48" name="Freeform 147">
            <a:hlinkClick xmlns:r="http://schemas.openxmlformats.org/officeDocument/2006/relationships" r:id="rId28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AMD180PN5</a:t>
            </a:r>
          </a:p>
        </xdr:txBody>
      </xdr:sp>
      <xdr:sp macro="" textlink="">
        <xdr:nvSpPr>
          <xdr:cNvPr id="149" name="Freeform 14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50" name="Freeform 14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51" name="Freeform 15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52" name="Freeform 151">
            <a:hlinkClick xmlns:r="http://schemas.openxmlformats.org/officeDocument/2006/relationships" r:id="rId29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20</xdr:row>
      <xdr:rowOff>110067</xdr:rowOff>
    </xdr:from>
    <xdr:to>
      <xdr:col>14</xdr:col>
      <xdr:colOff>277987</xdr:colOff>
      <xdr:row>28</xdr:row>
      <xdr:rowOff>127299</xdr:rowOff>
    </xdr:to>
    <xdr:grpSp>
      <xdr:nvGrpSpPr>
        <xdr:cNvPr id="153" name="Group 152"/>
        <xdr:cNvGrpSpPr/>
      </xdr:nvGrpSpPr>
      <xdr:grpSpPr>
        <a:xfrm>
          <a:off x="6860117" y="3835400"/>
          <a:ext cx="2189337" cy="1507366"/>
          <a:chOff x="94368" y="908"/>
          <a:chExt cx="2125837" cy="1541232"/>
        </a:xfrm>
      </xdr:grpSpPr>
      <xdr:sp macro="" textlink="">
        <xdr:nvSpPr>
          <xdr:cNvPr id="154" name="Freeform 15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55" name="Freeform 15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56" name="Freeform 15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57" name="Freeform 15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58" name="Freeform 15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AMD200PN5</a:t>
            </a:r>
          </a:p>
        </xdr:txBody>
      </xdr:sp>
      <xdr:sp macro="" textlink="">
        <xdr:nvSpPr>
          <xdr:cNvPr id="159" name="Freeform 15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60" name="Freeform 15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61" name="Freeform 16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62" name="Freeform 161">
            <a:hlinkClick xmlns:r="http://schemas.openxmlformats.org/officeDocument/2006/relationships" r:id="rId30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20</xdr:row>
      <xdr:rowOff>110067</xdr:rowOff>
    </xdr:from>
    <xdr:to>
      <xdr:col>18</xdr:col>
      <xdr:colOff>68437</xdr:colOff>
      <xdr:row>28</xdr:row>
      <xdr:rowOff>127299</xdr:rowOff>
    </xdr:to>
    <xdr:grpSp>
      <xdr:nvGrpSpPr>
        <xdr:cNvPr id="163" name="Group 162"/>
        <xdr:cNvGrpSpPr/>
      </xdr:nvGrpSpPr>
      <xdr:grpSpPr>
        <a:xfrm>
          <a:off x="9152467" y="3835400"/>
          <a:ext cx="2193570" cy="1507366"/>
          <a:chOff x="94368" y="908"/>
          <a:chExt cx="2125837" cy="1541232"/>
        </a:xfrm>
      </xdr:grpSpPr>
      <xdr:sp macro="" textlink="">
        <xdr:nvSpPr>
          <xdr:cNvPr id="164" name="Freeform 16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65" name="Freeform 16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66" name="Freeform 16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67" name="Freeform 16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68" name="Freeform 16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>
                <a:solidFill>
                  <a:srgbClr val="FF0000"/>
                </a:solidFill>
                <a:latin typeface="+mn-lt"/>
                <a:ea typeface="+mn-ea"/>
                <a:cs typeface="+mn-cs"/>
              </a:rPr>
              <a:t>AMD200PN5</a:t>
            </a:r>
          </a:p>
        </xdr:txBody>
      </xdr:sp>
      <xdr:sp macro="" textlink="">
        <xdr:nvSpPr>
          <xdr:cNvPr id="169" name="Freeform 16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70" name="Freeform 16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71" name="Freeform 17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72" name="Freeform 171">
            <a:hlinkClick xmlns:r="http://schemas.openxmlformats.org/officeDocument/2006/relationships" r:id="rId31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20</xdr:row>
      <xdr:rowOff>110067</xdr:rowOff>
    </xdr:from>
    <xdr:to>
      <xdr:col>21</xdr:col>
      <xdr:colOff>520345</xdr:colOff>
      <xdr:row>28</xdr:row>
      <xdr:rowOff>127299</xdr:rowOff>
    </xdr:to>
    <xdr:grpSp>
      <xdr:nvGrpSpPr>
        <xdr:cNvPr id="173" name="Group 172"/>
        <xdr:cNvGrpSpPr/>
      </xdr:nvGrpSpPr>
      <xdr:grpSpPr>
        <a:xfrm>
          <a:off x="11496675" y="3835400"/>
          <a:ext cx="2180870" cy="1507366"/>
          <a:chOff x="94368" y="908"/>
          <a:chExt cx="2125837" cy="1541232"/>
        </a:xfrm>
      </xdr:grpSpPr>
      <xdr:sp macro="" textlink="">
        <xdr:nvSpPr>
          <xdr:cNvPr id="174" name="Freeform 17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75" name="Freeform 17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76" name="Freeform 17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77" name="Freeform 17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78" name="Freeform 177">
            <a:hlinkClick xmlns:r="http://schemas.openxmlformats.org/officeDocument/2006/relationships" r:id="rId32"/>
          </xdr:cNvPr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AMD230PN5</a:t>
            </a:r>
          </a:p>
        </xdr:txBody>
      </xdr:sp>
      <xdr:sp macro="" textlink="">
        <xdr:nvSpPr>
          <xdr:cNvPr id="179" name="Freeform 17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80" name="Freeform 17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81" name="Freeform 18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82" name="Freeform 181">
            <a:hlinkClick xmlns:r="http://schemas.openxmlformats.org/officeDocument/2006/relationships" r:id="rId3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29</xdr:row>
      <xdr:rowOff>157542</xdr:rowOff>
    </xdr:from>
    <xdr:to>
      <xdr:col>3</xdr:col>
      <xdr:colOff>297037</xdr:colOff>
      <xdr:row>37</xdr:row>
      <xdr:rowOff>174774</xdr:rowOff>
    </xdr:to>
    <xdr:grpSp>
      <xdr:nvGrpSpPr>
        <xdr:cNvPr id="183" name="Group 182"/>
        <xdr:cNvGrpSpPr/>
      </xdr:nvGrpSpPr>
      <xdr:grpSpPr>
        <a:xfrm>
          <a:off x="0" y="5559275"/>
          <a:ext cx="2176637" cy="1507366"/>
          <a:chOff x="94368" y="908"/>
          <a:chExt cx="2125837" cy="1541232"/>
        </a:xfrm>
      </xdr:grpSpPr>
      <xdr:sp macro="" textlink="">
        <xdr:nvSpPr>
          <xdr:cNvPr id="184" name="Freeform 18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5" name="Freeform 18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6" name="Freeform 18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7" name="Freeform 18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8" name="Freeform 18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AMD250PN5</a:t>
            </a:r>
          </a:p>
        </xdr:txBody>
      </xdr:sp>
      <xdr:sp macro="" textlink="">
        <xdr:nvSpPr>
          <xdr:cNvPr id="189" name="Freeform 18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190" name="Freeform 18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191" name="Freeform 19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192" name="Freeform 191">
            <a:hlinkClick xmlns:r="http://schemas.openxmlformats.org/officeDocument/2006/relationships" r:id="rId34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29</xdr:row>
      <xdr:rowOff>156634</xdr:rowOff>
    </xdr:from>
    <xdr:to>
      <xdr:col>7</xdr:col>
      <xdr:colOff>87487</xdr:colOff>
      <xdr:row>37</xdr:row>
      <xdr:rowOff>173866</xdr:rowOff>
    </xdr:to>
    <xdr:grpSp>
      <xdr:nvGrpSpPr>
        <xdr:cNvPr id="193" name="Group 192"/>
        <xdr:cNvGrpSpPr/>
      </xdr:nvGrpSpPr>
      <xdr:grpSpPr>
        <a:xfrm>
          <a:off x="2279650" y="5558367"/>
          <a:ext cx="2193570" cy="1507366"/>
          <a:chOff x="94368" y="908"/>
          <a:chExt cx="2125837" cy="1541232"/>
        </a:xfrm>
      </xdr:grpSpPr>
      <xdr:sp macro="" textlink="">
        <xdr:nvSpPr>
          <xdr:cNvPr id="194" name="Freeform 19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95" name="Freeform 19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96" name="Freeform 19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97" name="Freeform 19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98" name="Freeform 19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AMD275PN5</a:t>
            </a:r>
          </a:p>
        </xdr:txBody>
      </xdr:sp>
      <xdr:sp macro="" textlink="">
        <xdr:nvSpPr>
          <xdr:cNvPr id="199" name="Freeform 19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00" name="Freeform 19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01" name="Freeform 20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02" name="Freeform 201">
            <a:hlinkClick xmlns:r="http://schemas.openxmlformats.org/officeDocument/2006/relationships" r:id="rId3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29</xdr:row>
      <xdr:rowOff>157542</xdr:rowOff>
    </xdr:from>
    <xdr:to>
      <xdr:col>10</xdr:col>
      <xdr:colOff>487537</xdr:colOff>
      <xdr:row>37</xdr:row>
      <xdr:rowOff>174774</xdr:rowOff>
    </xdr:to>
    <xdr:grpSp>
      <xdr:nvGrpSpPr>
        <xdr:cNvPr id="203" name="Group 202"/>
        <xdr:cNvGrpSpPr/>
      </xdr:nvGrpSpPr>
      <xdr:grpSpPr>
        <a:xfrm>
          <a:off x="4576233" y="5559275"/>
          <a:ext cx="2176637" cy="1507366"/>
          <a:chOff x="94368" y="908"/>
          <a:chExt cx="2125837" cy="1541232"/>
        </a:xfrm>
      </xdr:grpSpPr>
      <xdr:sp macro="" textlink="">
        <xdr:nvSpPr>
          <xdr:cNvPr id="204" name="Freeform 20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05" name="Freeform 20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06" name="Freeform 20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07" name="Freeform 20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08" name="Freeform 20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AMD300PN5</a:t>
            </a:r>
          </a:p>
        </xdr:txBody>
      </xdr:sp>
      <xdr:sp macro="" textlink="">
        <xdr:nvSpPr>
          <xdr:cNvPr id="209" name="Freeform 20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10" name="Freeform 20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11" name="Freeform 21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12" name="Freeform 211">
            <a:hlinkClick xmlns:r="http://schemas.openxmlformats.org/officeDocument/2006/relationships" r:id="rId36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29</xdr:row>
      <xdr:rowOff>156634</xdr:rowOff>
    </xdr:from>
    <xdr:to>
      <xdr:col>14</xdr:col>
      <xdr:colOff>277987</xdr:colOff>
      <xdr:row>37</xdr:row>
      <xdr:rowOff>173866</xdr:rowOff>
    </xdr:to>
    <xdr:grpSp>
      <xdr:nvGrpSpPr>
        <xdr:cNvPr id="213" name="Group 212"/>
        <xdr:cNvGrpSpPr/>
      </xdr:nvGrpSpPr>
      <xdr:grpSpPr>
        <a:xfrm>
          <a:off x="6860117" y="5558367"/>
          <a:ext cx="2189337" cy="1507366"/>
          <a:chOff x="94368" y="908"/>
          <a:chExt cx="2125837" cy="1541232"/>
        </a:xfrm>
      </xdr:grpSpPr>
      <xdr:sp macro="" textlink="">
        <xdr:nvSpPr>
          <xdr:cNvPr id="214" name="Freeform 21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15" name="Freeform 21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16" name="Freeform 21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17" name="Freeform 21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18" name="Freeform 21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AMD350PN5</a:t>
            </a:r>
          </a:p>
        </xdr:txBody>
      </xdr:sp>
      <xdr:sp macro="" textlink="">
        <xdr:nvSpPr>
          <xdr:cNvPr id="219" name="Freeform 21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20" name="Freeform 21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21" name="Freeform 22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22" name="Freeform 221">
            <a:hlinkClick xmlns:r="http://schemas.openxmlformats.org/officeDocument/2006/relationships" r:id="rId3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29</xdr:row>
      <xdr:rowOff>156634</xdr:rowOff>
    </xdr:from>
    <xdr:to>
      <xdr:col>18</xdr:col>
      <xdr:colOff>68437</xdr:colOff>
      <xdr:row>37</xdr:row>
      <xdr:rowOff>173866</xdr:rowOff>
    </xdr:to>
    <xdr:grpSp>
      <xdr:nvGrpSpPr>
        <xdr:cNvPr id="223" name="Group 222"/>
        <xdr:cNvGrpSpPr/>
      </xdr:nvGrpSpPr>
      <xdr:grpSpPr>
        <a:xfrm>
          <a:off x="9152467" y="5558367"/>
          <a:ext cx="2193570" cy="1507366"/>
          <a:chOff x="94368" y="908"/>
          <a:chExt cx="2125837" cy="1541232"/>
        </a:xfrm>
      </xdr:grpSpPr>
      <xdr:sp macro="" textlink="">
        <xdr:nvSpPr>
          <xdr:cNvPr id="224" name="Freeform 22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25" name="Freeform 22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26" name="Freeform 22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27" name="Freeform 22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28" name="Freeform 22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AMD400PN5</a:t>
            </a:r>
          </a:p>
        </xdr:txBody>
      </xdr:sp>
      <xdr:sp macro="" textlink="">
        <xdr:nvSpPr>
          <xdr:cNvPr id="229" name="Freeform 22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30" name="Freeform 22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31" name="Freeform 23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32" name="Freeform 231">
            <a:hlinkClick xmlns:r="http://schemas.openxmlformats.org/officeDocument/2006/relationships" r:id="rId38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29</xdr:row>
      <xdr:rowOff>156634</xdr:rowOff>
    </xdr:from>
    <xdr:to>
      <xdr:col>21</xdr:col>
      <xdr:colOff>520345</xdr:colOff>
      <xdr:row>37</xdr:row>
      <xdr:rowOff>173866</xdr:rowOff>
    </xdr:to>
    <xdr:grpSp>
      <xdr:nvGrpSpPr>
        <xdr:cNvPr id="233" name="Group 232"/>
        <xdr:cNvGrpSpPr/>
      </xdr:nvGrpSpPr>
      <xdr:grpSpPr>
        <a:xfrm>
          <a:off x="11496675" y="5558367"/>
          <a:ext cx="2180870" cy="1507366"/>
          <a:chOff x="94368" y="908"/>
          <a:chExt cx="2125837" cy="1541232"/>
        </a:xfrm>
      </xdr:grpSpPr>
      <xdr:sp macro="" textlink="">
        <xdr:nvSpPr>
          <xdr:cNvPr id="234" name="Freeform 23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35" name="Freeform 23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36" name="Freeform 23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37" name="Freeform 23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38" name="Freeform 23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AMD450PN5</a:t>
            </a:r>
          </a:p>
        </xdr:txBody>
      </xdr:sp>
      <xdr:sp macro="" textlink="">
        <xdr:nvSpPr>
          <xdr:cNvPr id="239" name="Freeform 23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40" name="Freeform 23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41" name="Freeform 24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42" name="Freeform 241">
            <a:hlinkClick xmlns:r="http://schemas.openxmlformats.org/officeDocument/2006/relationships" r:id="rId39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39</xdr:row>
      <xdr:rowOff>13609</xdr:rowOff>
    </xdr:from>
    <xdr:to>
      <xdr:col>3</xdr:col>
      <xdr:colOff>297037</xdr:colOff>
      <xdr:row>47</xdr:row>
      <xdr:rowOff>30841</xdr:rowOff>
    </xdr:to>
    <xdr:grpSp>
      <xdr:nvGrpSpPr>
        <xdr:cNvPr id="243" name="Group 242"/>
        <xdr:cNvGrpSpPr/>
      </xdr:nvGrpSpPr>
      <xdr:grpSpPr>
        <a:xfrm>
          <a:off x="0" y="7278009"/>
          <a:ext cx="2176637" cy="1507365"/>
          <a:chOff x="94368" y="908"/>
          <a:chExt cx="2125837" cy="1541232"/>
        </a:xfrm>
      </xdr:grpSpPr>
      <xdr:sp macro="" textlink="">
        <xdr:nvSpPr>
          <xdr:cNvPr id="244" name="Freeform 24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45" name="Freeform 24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46" name="Freeform 24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47" name="Freeform 24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48" name="Freeform 24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AMD500PN5</a:t>
            </a:r>
          </a:p>
        </xdr:txBody>
      </xdr:sp>
      <xdr:sp macro="" textlink="">
        <xdr:nvSpPr>
          <xdr:cNvPr id="249" name="Freeform 24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50" name="Freeform 24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51" name="Freeform 25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52" name="Freeform 251">
            <a:hlinkClick xmlns:r="http://schemas.openxmlformats.org/officeDocument/2006/relationships" r:id="rId40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39</xdr:row>
      <xdr:rowOff>12701</xdr:rowOff>
    </xdr:from>
    <xdr:to>
      <xdr:col>7</xdr:col>
      <xdr:colOff>87487</xdr:colOff>
      <xdr:row>47</xdr:row>
      <xdr:rowOff>29933</xdr:rowOff>
    </xdr:to>
    <xdr:grpSp>
      <xdr:nvGrpSpPr>
        <xdr:cNvPr id="253" name="Group 252"/>
        <xdr:cNvGrpSpPr/>
      </xdr:nvGrpSpPr>
      <xdr:grpSpPr>
        <a:xfrm>
          <a:off x="2279650" y="7277101"/>
          <a:ext cx="2193570" cy="1507365"/>
          <a:chOff x="94368" y="908"/>
          <a:chExt cx="2125837" cy="1541232"/>
        </a:xfrm>
      </xdr:grpSpPr>
      <xdr:sp macro="" textlink="">
        <xdr:nvSpPr>
          <xdr:cNvPr id="254" name="Freeform 25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5" name="Freeform 25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6" name="Freeform 25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7" name="Freeform 25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8" name="Freeform 25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AMD600PN5</a:t>
            </a:r>
          </a:p>
        </xdr:txBody>
      </xdr:sp>
      <xdr:sp macro="" textlink="">
        <xdr:nvSpPr>
          <xdr:cNvPr id="259" name="Freeform 25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60" name="Freeform 25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61" name="Freeform 26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62" name="Freeform 261">
            <a:hlinkClick xmlns:r="http://schemas.openxmlformats.org/officeDocument/2006/relationships" r:id="rId41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39</xdr:row>
      <xdr:rowOff>13609</xdr:rowOff>
    </xdr:from>
    <xdr:to>
      <xdr:col>10</xdr:col>
      <xdr:colOff>487537</xdr:colOff>
      <xdr:row>47</xdr:row>
      <xdr:rowOff>30841</xdr:rowOff>
    </xdr:to>
    <xdr:grpSp>
      <xdr:nvGrpSpPr>
        <xdr:cNvPr id="263" name="Group 262"/>
        <xdr:cNvGrpSpPr/>
      </xdr:nvGrpSpPr>
      <xdr:grpSpPr>
        <a:xfrm>
          <a:off x="4576233" y="7278009"/>
          <a:ext cx="2176637" cy="1507365"/>
          <a:chOff x="94368" y="908"/>
          <a:chExt cx="2125837" cy="1541232"/>
        </a:xfrm>
      </xdr:grpSpPr>
      <xdr:sp macro="" textlink="">
        <xdr:nvSpPr>
          <xdr:cNvPr id="264" name="Freeform 26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65" name="Freeform 26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66" name="Freeform 26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67" name="Freeform 26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68" name="Freeform 26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AMD650PN5</a:t>
            </a:r>
          </a:p>
        </xdr:txBody>
      </xdr:sp>
      <xdr:sp macro="" textlink="">
        <xdr:nvSpPr>
          <xdr:cNvPr id="269" name="Freeform 26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70" name="Freeform 26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71" name="Freeform 27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72" name="Freeform 271">
            <a:hlinkClick xmlns:r="http://schemas.openxmlformats.org/officeDocument/2006/relationships" r:id="rId42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39</xdr:row>
      <xdr:rowOff>12701</xdr:rowOff>
    </xdr:from>
    <xdr:to>
      <xdr:col>14</xdr:col>
      <xdr:colOff>277987</xdr:colOff>
      <xdr:row>47</xdr:row>
      <xdr:rowOff>29933</xdr:rowOff>
    </xdr:to>
    <xdr:grpSp>
      <xdr:nvGrpSpPr>
        <xdr:cNvPr id="273" name="Group 272"/>
        <xdr:cNvGrpSpPr/>
      </xdr:nvGrpSpPr>
      <xdr:grpSpPr>
        <a:xfrm>
          <a:off x="6860117" y="7277101"/>
          <a:ext cx="2189337" cy="1507365"/>
          <a:chOff x="94368" y="908"/>
          <a:chExt cx="2125837" cy="1541232"/>
        </a:xfrm>
      </xdr:grpSpPr>
      <xdr:sp macro="" textlink="">
        <xdr:nvSpPr>
          <xdr:cNvPr id="274" name="Freeform 27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5" name="Freeform 27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6" name="Freeform 27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7" name="Freeform 27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8" name="Freeform 27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AMD750PN5</a:t>
            </a:r>
          </a:p>
        </xdr:txBody>
      </xdr:sp>
      <xdr:sp macro="" textlink="">
        <xdr:nvSpPr>
          <xdr:cNvPr id="279" name="Freeform 27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80" name="Freeform 27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81" name="Freeform 28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82" name="Freeform 281">
            <a:hlinkClick xmlns:r="http://schemas.openxmlformats.org/officeDocument/2006/relationships" r:id="rId4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39</xdr:row>
      <xdr:rowOff>12701</xdr:rowOff>
    </xdr:from>
    <xdr:to>
      <xdr:col>18</xdr:col>
      <xdr:colOff>68437</xdr:colOff>
      <xdr:row>47</xdr:row>
      <xdr:rowOff>29933</xdr:rowOff>
    </xdr:to>
    <xdr:grpSp>
      <xdr:nvGrpSpPr>
        <xdr:cNvPr id="283" name="Group 282"/>
        <xdr:cNvGrpSpPr/>
      </xdr:nvGrpSpPr>
      <xdr:grpSpPr>
        <a:xfrm>
          <a:off x="9152467" y="7277101"/>
          <a:ext cx="2193570" cy="1507365"/>
          <a:chOff x="94368" y="908"/>
          <a:chExt cx="2125837" cy="1541232"/>
        </a:xfrm>
      </xdr:grpSpPr>
      <xdr:sp macro="" textlink="">
        <xdr:nvSpPr>
          <xdr:cNvPr id="284" name="Freeform 28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5" name="Freeform 28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6" name="Freeform 28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7" name="Freeform 28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88" name="Freeform 28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AMD800PN5</a:t>
            </a:r>
          </a:p>
        </xdr:txBody>
      </xdr:sp>
      <xdr:sp macro="" textlink="">
        <xdr:nvSpPr>
          <xdr:cNvPr id="289" name="Freeform 28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290" name="Freeform 28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291" name="Freeform 29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292" name="Freeform 291">
            <a:hlinkClick xmlns:r="http://schemas.openxmlformats.org/officeDocument/2006/relationships" r:id="rId44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39</xdr:row>
      <xdr:rowOff>12701</xdr:rowOff>
    </xdr:from>
    <xdr:to>
      <xdr:col>21</xdr:col>
      <xdr:colOff>520345</xdr:colOff>
      <xdr:row>47</xdr:row>
      <xdr:rowOff>29933</xdr:rowOff>
    </xdr:to>
    <xdr:grpSp>
      <xdr:nvGrpSpPr>
        <xdr:cNvPr id="293" name="Group 292"/>
        <xdr:cNvGrpSpPr/>
      </xdr:nvGrpSpPr>
      <xdr:grpSpPr>
        <a:xfrm>
          <a:off x="11496675" y="7277101"/>
          <a:ext cx="2180870" cy="1507365"/>
          <a:chOff x="94368" y="908"/>
          <a:chExt cx="2125837" cy="1541232"/>
        </a:xfrm>
      </xdr:grpSpPr>
      <xdr:sp macro="" textlink="">
        <xdr:nvSpPr>
          <xdr:cNvPr id="294" name="Freeform 29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95" name="Freeform 29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96" name="Freeform 29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97" name="Freeform 29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98" name="Freeform 29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AMD900PN5</a:t>
            </a:r>
          </a:p>
        </xdr:txBody>
      </xdr:sp>
      <xdr:sp macro="" textlink="">
        <xdr:nvSpPr>
          <xdr:cNvPr id="299" name="Freeform 29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00" name="Freeform 29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01" name="Freeform 30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02" name="Freeform 301">
            <a:hlinkClick xmlns:r="http://schemas.openxmlformats.org/officeDocument/2006/relationships" r:id="rId4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48</xdr:row>
      <xdr:rowOff>113093</xdr:rowOff>
    </xdr:from>
    <xdr:to>
      <xdr:col>3</xdr:col>
      <xdr:colOff>297037</xdr:colOff>
      <xdr:row>56</xdr:row>
      <xdr:rowOff>130325</xdr:rowOff>
    </xdr:to>
    <xdr:grpSp>
      <xdr:nvGrpSpPr>
        <xdr:cNvPr id="303" name="Group 302"/>
        <xdr:cNvGrpSpPr/>
      </xdr:nvGrpSpPr>
      <xdr:grpSpPr>
        <a:xfrm>
          <a:off x="0" y="9053893"/>
          <a:ext cx="2176637" cy="1507365"/>
          <a:chOff x="94368" y="908"/>
          <a:chExt cx="2125837" cy="1541232"/>
        </a:xfrm>
      </xdr:grpSpPr>
      <xdr:sp macro="" textlink="">
        <xdr:nvSpPr>
          <xdr:cNvPr id="304" name="Freeform 30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05" name="Freeform 30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06" name="Freeform 30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07" name="Freeform 30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08" name="Freeform 30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b="0" kern="1200"/>
              <a:t>AMD1000PN5</a:t>
            </a:r>
          </a:p>
        </xdr:txBody>
      </xdr:sp>
      <xdr:sp macro="" textlink="">
        <xdr:nvSpPr>
          <xdr:cNvPr id="309" name="Freeform 30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10" name="Freeform 30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11" name="Freeform 31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12" name="Freeform 311">
            <a:hlinkClick xmlns:r="http://schemas.openxmlformats.org/officeDocument/2006/relationships" r:id="rId46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48</xdr:row>
      <xdr:rowOff>112185</xdr:rowOff>
    </xdr:from>
    <xdr:to>
      <xdr:col>7</xdr:col>
      <xdr:colOff>87487</xdr:colOff>
      <xdr:row>56</xdr:row>
      <xdr:rowOff>129417</xdr:rowOff>
    </xdr:to>
    <xdr:grpSp>
      <xdr:nvGrpSpPr>
        <xdr:cNvPr id="313" name="Group 312"/>
        <xdr:cNvGrpSpPr/>
      </xdr:nvGrpSpPr>
      <xdr:grpSpPr>
        <a:xfrm>
          <a:off x="2279650" y="9052985"/>
          <a:ext cx="2193570" cy="1507365"/>
          <a:chOff x="94368" y="908"/>
          <a:chExt cx="2125837" cy="1541232"/>
        </a:xfrm>
      </xdr:grpSpPr>
      <xdr:sp macro="" textlink="">
        <xdr:nvSpPr>
          <xdr:cNvPr id="314" name="Freeform 31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15" name="Freeform 31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16" name="Freeform 31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17" name="Freeform 31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18" name="Freeform 31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AMD1125PN5</a:t>
            </a:r>
          </a:p>
        </xdr:txBody>
      </xdr:sp>
      <xdr:sp macro="" textlink="">
        <xdr:nvSpPr>
          <xdr:cNvPr id="319" name="Freeform 31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20" name="Freeform 31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21" name="Freeform 32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22" name="Freeform 321">
            <a:hlinkClick xmlns:r="http://schemas.openxmlformats.org/officeDocument/2006/relationships" r:id="rId4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48</xdr:row>
      <xdr:rowOff>113093</xdr:rowOff>
    </xdr:from>
    <xdr:to>
      <xdr:col>10</xdr:col>
      <xdr:colOff>487537</xdr:colOff>
      <xdr:row>56</xdr:row>
      <xdr:rowOff>130325</xdr:rowOff>
    </xdr:to>
    <xdr:grpSp>
      <xdr:nvGrpSpPr>
        <xdr:cNvPr id="323" name="Group 322"/>
        <xdr:cNvGrpSpPr/>
      </xdr:nvGrpSpPr>
      <xdr:grpSpPr>
        <a:xfrm>
          <a:off x="4576233" y="9053893"/>
          <a:ext cx="2176637" cy="1507365"/>
          <a:chOff x="94368" y="908"/>
          <a:chExt cx="2125837" cy="1541232"/>
        </a:xfrm>
      </xdr:grpSpPr>
      <xdr:sp macro="" textlink="">
        <xdr:nvSpPr>
          <xdr:cNvPr id="324" name="Freeform 32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25" name="Freeform 32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26" name="Freeform 32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27" name="Freeform 32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28" name="Freeform 32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AMD1250PN5</a:t>
            </a:r>
          </a:p>
        </xdr:txBody>
      </xdr:sp>
      <xdr:sp macro="" textlink="">
        <xdr:nvSpPr>
          <xdr:cNvPr id="329" name="Freeform 32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30" name="Freeform 32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31" name="Freeform 33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32" name="Freeform 331">
            <a:hlinkClick xmlns:r="http://schemas.openxmlformats.org/officeDocument/2006/relationships" r:id="rId48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48</xdr:row>
      <xdr:rowOff>112185</xdr:rowOff>
    </xdr:from>
    <xdr:to>
      <xdr:col>14</xdr:col>
      <xdr:colOff>277987</xdr:colOff>
      <xdr:row>56</xdr:row>
      <xdr:rowOff>129417</xdr:rowOff>
    </xdr:to>
    <xdr:grpSp>
      <xdr:nvGrpSpPr>
        <xdr:cNvPr id="333" name="Group 332"/>
        <xdr:cNvGrpSpPr/>
      </xdr:nvGrpSpPr>
      <xdr:grpSpPr>
        <a:xfrm>
          <a:off x="6860117" y="9052985"/>
          <a:ext cx="2189337" cy="1507365"/>
          <a:chOff x="94368" y="908"/>
          <a:chExt cx="2125837" cy="1541232"/>
        </a:xfrm>
      </xdr:grpSpPr>
      <xdr:sp macro="" textlink="">
        <xdr:nvSpPr>
          <xdr:cNvPr id="334" name="Freeform 33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35" name="Freeform 33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36" name="Freeform 33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37" name="Freeform 33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38" name="Freeform 33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200" kern="1200"/>
              <a:t>AMD1350'PN5</a:t>
            </a:r>
            <a:endParaRPr lang="en-US" sz="1300" kern="1200"/>
          </a:p>
        </xdr:txBody>
      </xdr:sp>
      <xdr:sp macro="" textlink="">
        <xdr:nvSpPr>
          <xdr:cNvPr id="339" name="Freeform 33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40" name="Freeform 33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41" name="Freeform 34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42" name="Freeform 341">
            <a:hlinkClick xmlns:r="http://schemas.openxmlformats.org/officeDocument/2006/relationships" r:id="rId49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48</xdr:row>
      <xdr:rowOff>112185</xdr:rowOff>
    </xdr:from>
    <xdr:to>
      <xdr:col>18</xdr:col>
      <xdr:colOff>68437</xdr:colOff>
      <xdr:row>56</xdr:row>
      <xdr:rowOff>129417</xdr:rowOff>
    </xdr:to>
    <xdr:grpSp>
      <xdr:nvGrpSpPr>
        <xdr:cNvPr id="343" name="Group 342"/>
        <xdr:cNvGrpSpPr/>
      </xdr:nvGrpSpPr>
      <xdr:grpSpPr>
        <a:xfrm>
          <a:off x="9152467" y="9052985"/>
          <a:ext cx="2193570" cy="1507365"/>
          <a:chOff x="94368" y="908"/>
          <a:chExt cx="2125837" cy="1541232"/>
        </a:xfrm>
      </xdr:grpSpPr>
      <xdr:sp macro="" textlink="">
        <xdr:nvSpPr>
          <xdr:cNvPr id="344" name="Freeform 34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45" name="Freeform 34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46" name="Freeform 34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47" name="Freeform 34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48" name="Freeform 34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>
                <a:solidFill>
                  <a:srgbClr val="FF0000"/>
                </a:solidFill>
              </a:rPr>
              <a:t>AMD1350PN5</a:t>
            </a:r>
          </a:p>
        </xdr:txBody>
      </xdr:sp>
      <xdr:sp macro="" textlink="">
        <xdr:nvSpPr>
          <xdr:cNvPr id="349" name="Freeform 34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50" name="Freeform 34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51" name="Freeform 35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52" name="Freeform 351">
            <a:hlinkClick xmlns:r="http://schemas.openxmlformats.org/officeDocument/2006/relationships" r:id="rId50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48</xdr:row>
      <xdr:rowOff>112185</xdr:rowOff>
    </xdr:from>
    <xdr:to>
      <xdr:col>21</xdr:col>
      <xdr:colOff>520345</xdr:colOff>
      <xdr:row>56</xdr:row>
      <xdr:rowOff>129417</xdr:rowOff>
    </xdr:to>
    <xdr:grpSp>
      <xdr:nvGrpSpPr>
        <xdr:cNvPr id="353" name="Group 352"/>
        <xdr:cNvGrpSpPr/>
      </xdr:nvGrpSpPr>
      <xdr:grpSpPr>
        <a:xfrm>
          <a:off x="11496675" y="9052985"/>
          <a:ext cx="2180870" cy="1507365"/>
          <a:chOff x="94368" y="908"/>
          <a:chExt cx="2125837" cy="1541232"/>
        </a:xfrm>
      </xdr:grpSpPr>
      <xdr:sp macro="" textlink="">
        <xdr:nvSpPr>
          <xdr:cNvPr id="354" name="Freeform 35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55" name="Freeform 35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56" name="Freeform 35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57" name="Freeform 35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58" name="Freeform 35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AMD1500PN5</a:t>
            </a:r>
          </a:p>
        </xdr:txBody>
      </xdr:sp>
      <xdr:sp macro="" textlink="">
        <xdr:nvSpPr>
          <xdr:cNvPr id="359" name="Freeform 35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60" name="Freeform 35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61" name="Freeform 36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62" name="Freeform 361">
            <a:hlinkClick xmlns:r="http://schemas.openxmlformats.org/officeDocument/2006/relationships" r:id="rId51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0</xdr:col>
      <xdr:colOff>0</xdr:colOff>
      <xdr:row>58</xdr:row>
      <xdr:rowOff>22077</xdr:rowOff>
    </xdr:from>
    <xdr:to>
      <xdr:col>3</xdr:col>
      <xdr:colOff>297037</xdr:colOff>
      <xdr:row>66</xdr:row>
      <xdr:rowOff>39309</xdr:rowOff>
    </xdr:to>
    <xdr:grpSp>
      <xdr:nvGrpSpPr>
        <xdr:cNvPr id="363" name="Group 362"/>
        <xdr:cNvGrpSpPr/>
      </xdr:nvGrpSpPr>
      <xdr:grpSpPr>
        <a:xfrm>
          <a:off x="0" y="10825544"/>
          <a:ext cx="2176637" cy="1507365"/>
          <a:chOff x="94368" y="908"/>
          <a:chExt cx="2125837" cy="1541232"/>
        </a:xfrm>
      </xdr:grpSpPr>
      <xdr:sp macro="" textlink="">
        <xdr:nvSpPr>
          <xdr:cNvPr id="364" name="Freeform 36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65" name="Freeform 36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66" name="Freeform 36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67" name="Freeform 36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68" name="Freeform 36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AMD1700PN5</a:t>
            </a:r>
          </a:p>
        </xdr:txBody>
      </xdr:sp>
      <xdr:sp macro="" textlink="">
        <xdr:nvSpPr>
          <xdr:cNvPr id="369" name="Freeform 36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70" name="Freeform 36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71" name="Freeform 37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72" name="Freeform 371">
            <a:hlinkClick xmlns:r="http://schemas.openxmlformats.org/officeDocument/2006/relationships" r:id="rId52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3</xdr:col>
      <xdr:colOff>400050</xdr:colOff>
      <xdr:row>58</xdr:row>
      <xdr:rowOff>21169</xdr:rowOff>
    </xdr:from>
    <xdr:to>
      <xdr:col>7</xdr:col>
      <xdr:colOff>87487</xdr:colOff>
      <xdr:row>66</xdr:row>
      <xdr:rowOff>38401</xdr:rowOff>
    </xdr:to>
    <xdr:grpSp>
      <xdr:nvGrpSpPr>
        <xdr:cNvPr id="373" name="Group 372"/>
        <xdr:cNvGrpSpPr/>
      </xdr:nvGrpSpPr>
      <xdr:grpSpPr>
        <a:xfrm>
          <a:off x="2279650" y="10824636"/>
          <a:ext cx="2193570" cy="1507365"/>
          <a:chOff x="94368" y="908"/>
          <a:chExt cx="2125837" cy="1541232"/>
        </a:xfrm>
      </xdr:grpSpPr>
      <xdr:sp macro="" textlink="">
        <xdr:nvSpPr>
          <xdr:cNvPr id="374" name="Freeform 37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75" name="Freeform 37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76" name="Freeform 37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77" name="Freeform 37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78" name="Freeform 37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AMD1850PN5</a:t>
            </a:r>
          </a:p>
        </xdr:txBody>
      </xdr:sp>
      <xdr:sp macro="" textlink="">
        <xdr:nvSpPr>
          <xdr:cNvPr id="379" name="Freeform 37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80" name="Freeform 37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81" name="Freeform 38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82" name="Freeform 381">
            <a:hlinkClick xmlns:r="http://schemas.openxmlformats.org/officeDocument/2006/relationships" r:id="rId53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7</xdr:col>
      <xdr:colOff>190500</xdr:colOff>
      <xdr:row>58</xdr:row>
      <xdr:rowOff>22077</xdr:rowOff>
    </xdr:from>
    <xdr:to>
      <xdr:col>10</xdr:col>
      <xdr:colOff>487537</xdr:colOff>
      <xdr:row>66</xdr:row>
      <xdr:rowOff>39309</xdr:rowOff>
    </xdr:to>
    <xdr:grpSp>
      <xdr:nvGrpSpPr>
        <xdr:cNvPr id="383" name="Group 382"/>
        <xdr:cNvGrpSpPr/>
      </xdr:nvGrpSpPr>
      <xdr:grpSpPr>
        <a:xfrm>
          <a:off x="4576233" y="10825544"/>
          <a:ext cx="2176637" cy="1507365"/>
          <a:chOff x="94368" y="908"/>
          <a:chExt cx="2125837" cy="1541232"/>
        </a:xfrm>
      </xdr:grpSpPr>
      <xdr:sp macro="" textlink="">
        <xdr:nvSpPr>
          <xdr:cNvPr id="384" name="Freeform 38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85" name="Freeform 38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86" name="Freeform 38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87" name="Freeform 38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88" name="Freeform 38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200" kern="1200">
                <a:solidFill>
                  <a:srgbClr val="FF0000"/>
                </a:solidFill>
              </a:rPr>
              <a:t>AMD1850'PN5</a:t>
            </a:r>
          </a:p>
        </xdr:txBody>
      </xdr:sp>
      <xdr:sp macro="" textlink="">
        <xdr:nvSpPr>
          <xdr:cNvPr id="389" name="Freeform 38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390" name="Freeform 38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391" name="Freeform 39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392" name="Freeform 391">
            <a:hlinkClick xmlns:r="http://schemas.openxmlformats.org/officeDocument/2006/relationships" r:id="rId54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10</xdr:col>
      <xdr:colOff>594784</xdr:colOff>
      <xdr:row>58</xdr:row>
      <xdr:rowOff>21169</xdr:rowOff>
    </xdr:from>
    <xdr:to>
      <xdr:col>14</xdr:col>
      <xdr:colOff>277987</xdr:colOff>
      <xdr:row>66</xdr:row>
      <xdr:rowOff>38401</xdr:rowOff>
    </xdr:to>
    <xdr:grpSp>
      <xdr:nvGrpSpPr>
        <xdr:cNvPr id="393" name="Group 392"/>
        <xdr:cNvGrpSpPr/>
      </xdr:nvGrpSpPr>
      <xdr:grpSpPr>
        <a:xfrm>
          <a:off x="6860117" y="10824636"/>
          <a:ext cx="2189337" cy="1507365"/>
          <a:chOff x="94368" y="908"/>
          <a:chExt cx="2125837" cy="1541232"/>
        </a:xfrm>
      </xdr:grpSpPr>
      <xdr:sp macro="" textlink="">
        <xdr:nvSpPr>
          <xdr:cNvPr id="394" name="Freeform 39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95" name="Freeform 39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96" name="Freeform 39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97" name="Freeform 39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398" name="Freeform 39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AMD2000PN5</a:t>
            </a:r>
          </a:p>
        </xdr:txBody>
      </xdr:sp>
      <xdr:sp macro="" textlink="">
        <xdr:nvSpPr>
          <xdr:cNvPr id="399" name="Freeform 39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400" name="Freeform 39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401" name="Freeform 40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402" name="Freeform 401">
            <a:hlinkClick xmlns:r="http://schemas.openxmlformats.org/officeDocument/2006/relationships" r:id="rId55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14</xdr:col>
      <xdr:colOff>381000</xdr:colOff>
      <xdr:row>58</xdr:row>
      <xdr:rowOff>21169</xdr:rowOff>
    </xdr:from>
    <xdr:to>
      <xdr:col>18</xdr:col>
      <xdr:colOff>68437</xdr:colOff>
      <xdr:row>66</xdr:row>
      <xdr:rowOff>38401</xdr:rowOff>
    </xdr:to>
    <xdr:grpSp>
      <xdr:nvGrpSpPr>
        <xdr:cNvPr id="403" name="Group 402"/>
        <xdr:cNvGrpSpPr/>
      </xdr:nvGrpSpPr>
      <xdr:grpSpPr>
        <a:xfrm>
          <a:off x="9152467" y="10824636"/>
          <a:ext cx="2193570" cy="1507365"/>
          <a:chOff x="94368" y="908"/>
          <a:chExt cx="2125837" cy="1541232"/>
        </a:xfrm>
      </xdr:grpSpPr>
      <xdr:sp macro="" textlink="">
        <xdr:nvSpPr>
          <xdr:cNvPr id="404" name="Freeform 40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05" name="Freeform 40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06" name="Freeform 40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07" name="Freeform 40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08" name="Freeform 40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200" kern="1200">
                <a:solidFill>
                  <a:srgbClr val="FF0000"/>
                </a:solidFill>
              </a:rPr>
              <a:t>AMD2000'PN5</a:t>
            </a:r>
          </a:p>
        </xdr:txBody>
      </xdr:sp>
      <xdr:sp macro="" textlink="">
        <xdr:nvSpPr>
          <xdr:cNvPr id="409" name="Freeform 40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410" name="Freeform 40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411" name="Freeform 41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412" name="Freeform 411">
            <a:hlinkClick xmlns:r="http://schemas.openxmlformats.org/officeDocument/2006/relationships" r:id="rId56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  <xdr:twoCellAnchor>
    <xdr:from>
      <xdr:col>18</xdr:col>
      <xdr:colOff>219075</xdr:colOff>
      <xdr:row>58</xdr:row>
      <xdr:rowOff>21169</xdr:rowOff>
    </xdr:from>
    <xdr:to>
      <xdr:col>21</xdr:col>
      <xdr:colOff>520345</xdr:colOff>
      <xdr:row>66</xdr:row>
      <xdr:rowOff>38401</xdr:rowOff>
    </xdr:to>
    <xdr:grpSp>
      <xdr:nvGrpSpPr>
        <xdr:cNvPr id="413" name="Group 412"/>
        <xdr:cNvGrpSpPr/>
      </xdr:nvGrpSpPr>
      <xdr:grpSpPr>
        <a:xfrm>
          <a:off x="11496675" y="10824636"/>
          <a:ext cx="2180870" cy="1507365"/>
          <a:chOff x="94368" y="908"/>
          <a:chExt cx="2125837" cy="1541232"/>
        </a:xfrm>
      </xdr:grpSpPr>
      <xdr:sp macro="" textlink="">
        <xdr:nvSpPr>
          <xdr:cNvPr id="414" name="Freeform 413"/>
          <xdr:cNvSpPr/>
        </xdr:nvSpPr>
        <xdr:spPr>
          <a:xfrm>
            <a:off x="1060658" y="771524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623256"/>
                </a:lnTo>
                <a:lnTo>
                  <a:pt x="193257" y="623256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15" name="Freeform 414"/>
          <xdr:cNvSpPr/>
        </xdr:nvSpPr>
        <xdr:spPr>
          <a:xfrm>
            <a:off x="1060658" y="771524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96628" y="0"/>
                </a:lnTo>
                <a:lnTo>
                  <a:pt x="96628" y="207752"/>
                </a:lnTo>
                <a:lnTo>
                  <a:pt x="193257" y="20775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16" name="Freeform 415"/>
          <xdr:cNvSpPr/>
        </xdr:nvSpPr>
        <xdr:spPr>
          <a:xfrm>
            <a:off x="1060658" y="563772"/>
            <a:ext cx="193257" cy="20775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207752"/>
                </a:moveTo>
                <a:lnTo>
                  <a:pt x="96628" y="207752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17" name="Freeform 416"/>
          <xdr:cNvSpPr/>
        </xdr:nvSpPr>
        <xdr:spPr>
          <a:xfrm>
            <a:off x="1060658" y="148268"/>
            <a:ext cx="193257" cy="6232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623256"/>
                </a:moveTo>
                <a:lnTo>
                  <a:pt x="96628" y="623256"/>
                </a:lnTo>
                <a:lnTo>
                  <a:pt x="96628" y="0"/>
                </a:lnTo>
                <a:lnTo>
                  <a:pt x="193257" y="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4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18" name="Freeform 417"/>
          <xdr:cNvSpPr/>
        </xdr:nvSpPr>
        <xdr:spPr>
          <a:xfrm>
            <a:off x="94368" y="624165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3">
              <a:hueOff val="0"/>
              <a:satOff val="0"/>
              <a:lumOff val="0"/>
              <a:alphaOff val="0"/>
            </a:schemeClr>
          </a:fillRef>
          <a:effectRef idx="1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AMD2250PN5</a:t>
            </a:r>
          </a:p>
        </xdr:txBody>
      </xdr:sp>
      <xdr:sp macro="" textlink="">
        <xdr:nvSpPr>
          <xdr:cNvPr id="419" name="Freeform 418"/>
          <xdr:cNvSpPr/>
        </xdr:nvSpPr>
        <xdr:spPr>
          <a:xfrm>
            <a:off x="1253916" y="90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BOQ</a:t>
            </a:r>
          </a:p>
        </xdr:txBody>
      </xdr:sp>
      <xdr:sp macro="" textlink="">
        <xdr:nvSpPr>
          <xdr:cNvPr id="420" name="Freeform 419"/>
          <xdr:cNvSpPr/>
        </xdr:nvSpPr>
        <xdr:spPr>
          <a:xfrm>
            <a:off x="1253916" y="416413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(layout)</a:t>
            </a:r>
          </a:p>
        </xdr:txBody>
      </xdr:sp>
      <xdr:sp macro="" textlink="">
        <xdr:nvSpPr>
          <xdr:cNvPr id="421" name="Freeform 420"/>
          <xdr:cNvSpPr/>
        </xdr:nvSpPr>
        <xdr:spPr>
          <a:xfrm>
            <a:off x="1253916" y="831918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DWG (CNC)</a:t>
            </a:r>
          </a:p>
        </xdr:txBody>
      </xdr:sp>
      <xdr:sp macro="" textlink="">
        <xdr:nvSpPr>
          <xdr:cNvPr id="422" name="Freeform 421">
            <a:hlinkClick xmlns:r="http://schemas.openxmlformats.org/officeDocument/2006/relationships" r:id="rId57"/>
          </xdr:cNvPr>
          <xdr:cNvSpPr/>
        </xdr:nvSpPr>
        <xdr:spPr>
          <a:xfrm>
            <a:off x="1253916" y="1247422"/>
            <a:ext cx="966289" cy="294718"/>
          </a:xfrm>
          <a:custGeom>
            <a:avLst/>
            <a:gdLst>
              <a:gd name="connsiteX0" fmla="*/ 0 w 966289"/>
              <a:gd name="connsiteY0" fmla="*/ 0 h 294718"/>
              <a:gd name="connsiteX1" fmla="*/ 966289 w 966289"/>
              <a:gd name="connsiteY1" fmla="*/ 0 h 294718"/>
              <a:gd name="connsiteX2" fmla="*/ 966289 w 966289"/>
              <a:gd name="connsiteY2" fmla="*/ 294718 h 294718"/>
              <a:gd name="connsiteX3" fmla="*/ 0 w 966289"/>
              <a:gd name="connsiteY3" fmla="*/ 294718 h 294718"/>
              <a:gd name="connsiteX4" fmla="*/ 0 w 966289"/>
              <a:gd name="connsiteY4" fmla="*/ 0 h 2947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66289" h="294718">
                <a:moveTo>
                  <a:pt x="0" y="0"/>
                </a:moveTo>
                <a:lnTo>
                  <a:pt x="966289" y="0"/>
                </a:lnTo>
                <a:lnTo>
                  <a:pt x="966289" y="294718"/>
                </a:lnTo>
                <a:lnTo>
                  <a:pt x="0" y="2947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3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5">
              <a:hueOff val="0"/>
              <a:satOff val="0"/>
              <a:lumOff val="0"/>
              <a:alphaOff val="0"/>
            </a:schemeClr>
          </a:fillRef>
          <a:effectRef idx="1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255" tIns="8255" rIns="8255" bIns="8255" numCol="1" spcCol="1270" anchor="ctr" anchorCtr="0">
            <a:noAutofit/>
          </a:bodyPr>
          <a:lstStyle/>
          <a:p>
            <a:pPr lvl="0" algn="ctr" defTabSz="5778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US" sz="1300" kern="1200"/>
              <a:t>COST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</xdr:rowOff>
    </xdr:from>
    <xdr:to>
      <xdr:col>2</xdr:col>
      <xdr:colOff>428625</xdr:colOff>
      <xdr:row>3</xdr:row>
      <xdr:rowOff>66676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228600" y="190502"/>
          <a:ext cx="1419225" cy="447674"/>
        </a:xfrm>
        <a:prstGeom prst="leftArrow">
          <a:avLst>
            <a:gd name="adj1" fmla="val 63187"/>
            <a:gd name="adj2" fmla="val 73995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latin typeface="Arial Black" pitchFamily="34" charset="0"/>
            </a:rPr>
            <a:t>BACK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ft/Desktop/&#1605;&#1606;%20&#1601;&#1607;&#1605;&#1610;/Finshed%20-%20Copy%20(2)/ACC/silencer%20support%20&amp;%20Pipe%20line%20REV04,15.12.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ft/Desktop/&#1605;&#1606;%20&#1601;&#1607;&#1605;&#1610;/Finshed%20-%20Copy%20(2)/ACC/EP%20REV.04'15.12.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ft/Desktop/&#1605;&#1606;%20&#1601;&#1607;&#1605;&#1610;/Finshed%20-%20Copy%20(2)/ACC/SILENCER%20REV04'15.12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400 series "/>
      <sheetName val="1103-1104 series "/>
      <sheetName val="1106 series "/>
      <sheetName val="1506 series "/>
      <sheetName val="2206-2506 series "/>
      <sheetName val="2806 series "/>
      <sheetName val="4006"/>
      <sheetName val="4008"/>
      <sheetName val="4012"/>
      <sheetName val="4016"/>
    </sheetNames>
    <sheetDataSet>
      <sheetData sheetId="0"/>
      <sheetData sheetId="1">
        <row r="6">
          <cell r="H6">
            <v>3.5238095238095237</v>
          </cell>
        </row>
        <row r="7">
          <cell r="H7">
            <v>20.647619047619045</v>
          </cell>
        </row>
        <row r="8">
          <cell r="H8">
            <v>4.8499999999999996</v>
          </cell>
        </row>
        <row r="9">
          <cell r="H9">
            <v>116.39047619047618</v>
          </cell>
        </row>
        <row r="10">
          <cell r="H10">
            <v>2.5</v>
          </cell>
        </row>
        <row r="11">
          <cell r="H11">
            <v>1.5238095238095237</v>
          </cell>
        </row>
        <row r="12">
          <cell r="H12">
            <v>135</v>
          </cell>
        </row>
      </sheetData>
      <sheetData sheetId="2">
        <row r="6">
          <cell r="F6">
            <v>0.8</v>
          </cell>
        </row>
        <row r="7">
          <cell r="F7" t="str">
            <v>1</v>
          </cell>
        </row>
        <row r="8">
          <cell r="F8">
            <v>0.2</v>
          </cell>
        </row>
        <row r="9">
          <cell r="F9">
            <v>1</v>
          </cell>
        </row>
        <row r="10">
          <cell r="F10">
            <v>2</v>
          </cell>
        </row>
        <row r="11">
          <cell r="F11">
            <v>4</v>
          </cell>
        </row>
        <row r="12">
          <cell r="F12">
            <v>3</v>
          </cell>
        </row>
        <row r="13">
          <cell r="F13" t="str">
            <v>.15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900x1000x950"/>
      <sheetName val="2400x1100x1185-2700x1100x1185"/>
      <sheetName val="3500X1200X1400"/>
      <sheetName val="3650X1400X1500"/>
      <sheetName val="4880X1720X1810"/>
      <sheetName val="5400X1800X1840"/>
      <sheetName val="4006 Series"/>
      <sheetName val="4008"/>
      <sheetName val="4012"/>
      <sheetName val="4016"/>
    </sheetNames>
    <sheetDataSet>
      <sheetData sheetId="0"/>
      <sheetData sheetId="1">
        <row r="6">
          <cell r="H6">
            <v>1</v>
          </cell>
        </row>
        <row r="7">
          <cell r="H7">
            <v>25.771428571428569</v>
          </cell>
        </row>
        <row r="8">
          <cell r="H8">
            <v>11</v>
          </cell>
        </row>
        <row r="9">
          <cell r="H9">
            <v>6.5047619047619047</v>
          </cell>
        </row>
        <row r="10">
          <cell r="H10">
            <v>5</v>
          </cell>
        </row>
        <row r="11">
          <cell r="H11">
            <v>9.0476190476190474</v>
          </cell>
        </row>
        <row r="12">
          <cell r="H12">
            <v>9.0476190476190474</v>
          </cell>
        </row>
        <row r="13">
          <cell r="H13">
            <v>503.69</v>
          </cell>
        </row>
        <row r="14">
          <cell r="H14">
            <v>3</v>
          </cell>
        </row>
        <row r="15">
          <cell r="H15">
            <v>0.5</v>
          </cell>
        </row>
        <row r="16">
          <cell r="H16">
            <v>6</v>
          </cell>
        </row>
        <row r="17">
          <cell r="H17">
            <v>8</v>
          </cell>
        </row>
        <row r="18">
          <cell r="H18">
            <v>2.3809523809523809</v>
          </cell>
        </row>
        <row r="19">
          <cell r="H19">
            <v>5.2380952380952381</v>
          </cell>
        </row>
        <row r="20">
          <cell r="H20" t="str">
            <v>2.75</v>
          </cell>
        </row>
        <row r="21">
          <cell r="H21">
            <v>98.952380952380949</v>
          </cell>
        </row>
      </sheetData>
      <sheetData sheetId="2">
        <row r="6">
          <cell r="F6">
            <v>4</v>
          </cell>
        </row>
        <row r="7">
          <cell r="F7">
            <v>1</v>
          </cell>
        </row>
        <row r="8">
          <cell r="F8">
            <v>1</v>
          </cell>
        </row>
        <row r="9">
          <cell r="F9">
            <v>1</v>
          </cell>
        </row>
        <row r="10">
          <cell r="F10">
            <v>2</v>
          </cell>
        </row>
        <row r="11">
          <cell r="F11">
            <v>2</v>
          </cell>
        </row>
        <row r="12">
          <cell r="F12">
            <v>1</v>
          </cell>
        </row>
        <row r="13">
          <cell r="F13">
            <v>1</v>
          </cell>
        </row>
        <row r="14">
          <cell r="F14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3</v>
          </cell>
        </row>
        <row r="18">
          <cell r="F18">
            <v>3</v>
          </cell>
        </row>
        <row r="19">
          <cell r="F19">
            <v>2</v>
          </cell>
        </row>
        <row r="20">
          <cell r="F20">
            <v>2</v>
          </cell>
        </row>
        <row r="21">
          <cell r="F21">
            <v>1</v>
          </cell>
        </row>
        <row r="22">
          <cell r="F22">
            <v>0.2</v>
          </cell>
        </row>
        <row r="23">
          <cell r="F23">
            <v>2</v>
          </cell>
        </row>
        <row r="24">
          <cell r="F24" t="str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&quot; end to end"/>
      <sheetName val="3&quot; end to end"/>
      <sheetName val="3&quot; to 4&quot; end to end."/>
      <sheetName val="4&quot; end to end"/>
      <sheetName val="5&quot; to 6&quot; side to end"/>
      <sheetName val="2X6&quot; to 10&quot; side to end"/>
      <sheetName val="8&quot; to 10&quot; end to end"/>
      <sheetName val="10&quot; to 12&quot; end to end"/>
    </sheetNames>
    <sheetDataSet>
      <sheetData sheetId="0"/>
      <sheetData sheetId="1">
        <row r="6">
          <cell r="H6">
            <v>135</v>
          </cell>
        </row>
        <row r="7">
          <cell r="H7">
            <v>20.647619047619045</v>
          </cell>
        </row>
        <row r="8">
          <cell r="H8">
            <v>11.61</v>
          </cell>
        </row>
      </sheetData>
      <sheetData sheetId="2"/>
      <sheetData sheetId="3">
        <row r="6">
          <cell r="F6">
            <v>0.35</v>
          </cell>
        </row>
        <row r="7">
          <cell r="F7">
            <v>0.4</v>
          </cell>
        </row>
        <row r="8">
          <cell r="F8">
            <v>0.4</v>
          </cell>
        </row>
        <row r="9">
          <cell r="F9">
            <v>0.2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B22" sqref="B22:D22"/>
    </sheetView>
  </sheetViews>
  <sheetFormatPr defaultColWidth="0" defaultRowHeight="15" customHeight="1" zeroHeight="1" x14ac:dyDescent="0.3"/>
  <cols>
    <col min="1" max="10" width="9.109375" style="2" customWidth="1"/>
    <col min="11" max="20" width="9.109375" style="3" customWidth="1"/>
    <col min="21" max="16384" width="9.109375" hidden="1"/>
  </cols>
  <sheetData>
    <row r="1" spans="2:4" ht="14.4" x14ac:dyDescent="0.3"/>
    <row r="2" spans="2:4" ht="14.4" x14ac:dyDescent="0.3"/>
    <row r="3" spans="2:4" ht="14.4" x14ac:dyDescent="0.3"/>
    <row r="4" spans="2:4" ht="14.4" x14ac:dyDescent="0.3"/>
    <row r="5" spans="2:4" ht="14.4" x14ac:dyDescent="0.3"/>
    <row r="6" spans="2:4" ht="14.4" x14ac:dyDescent="0.3"/>
    <row r="7" spans="2:4" ht="14.4" x14ac:dyDescent="0.3"/>
    <row r="8" spans="2:4" ht="14.4" x14ac:dyDescent="0.3"/>
    <row r="9" spans="2:4" ht="14.4" x14ac:dyDescent="0.3"/>
    <row r="10" spans="2:4" ht="14.4" x14ac:dyDescent="0.3">
      <c r="B10" s="477"/>
      <c r="C10" s="477"/>
      <c r="D10" s="477"/>
    </row>
    <row r="11" spans="2:4" ht="14.4" x14ac:dyDescent="0.3"/>
    <row r="12" spans="2:4" ht="14.4" x14ac:dyDescent="0.3"/>
    <row r="13" spans="2:4" ht="14.4" x14ac:dyDescent="0.3"/>
    <row r="14" spans="2:4" ht="14.4" x14ac:dyDescent="0.3"/>
    <row r="15" spans="2:4" ht="14.4" x14ac:dyDescent="0.3"/>
    <row r="16" spans="2:4" ht="14.4" x14ac:dyDescent="0.3"/>
    <row r="17" spans="2:4" ht="14.4" x14ac:dyDescent="0.3"/>
    <row r="18" spans="2:4" ht="14.4" x14ac:dyDescent="0.3"/>
    <row r="19" spans="2:4" ht="14.4" x14ac:dyDescent="0.3"/>
    <row r="20" spans="2:4" ht="14.4" x14ac:dyDescent="0.3"/>
    <row r="21" spans="2:4" ht="14.4" x14ac:dyDescent="0.3"/>
    <row r="22" spans="2:4" ht="14.4" x14ac:dyDescent="0.3">
      <c r="B22" s="477"/>
      <c r="C22" s="477"/>
      <c r="D22" s="477"/>
    </row>
    <row r="23" spans="2:4" ht="14.4" x14ac:dyDescent="0.3"/>
    <row r="24" spans="2:4" ht="14.4" x14ac:dyDescent="0.3"/>
  </sheetData>
  <mergeCells count="2">
    <mergeCell ref="B10:D10"/>
    <mergeCell ref="B22:D2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'Prices without ATS'!$B$9:$B$50</xm:f>
          </x14:formula1>
          <xm:sqref>B10:D10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8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281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92" t="s">
        <v>160</v>
      </c>
      <c r="B2" s="93" t="s">
        <v>161</v>
      </c>
      <c r="C2" s="93" t="s">
        <v>162</v>
      </c>
      <c r="D2" s="93" t="s">
        <v>163</v>
      </c>
      <c r="E2" s="93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94" t="s">
        <v>282</v>
      </c>
      <c r="C3" s="95" t="s">
        <v>283</v>
      </c>
      <c r="D3" s="432">
        <v>1</v>
      </c>
      <c r="E3" s="432" t="s">
        <v>169</v>
      </c>
      <c r="F3" s="434">
        <f>H3</f>
        <v>16712.699999999997</v>
      </c>
      <c r="G3" s="436">
        <f>F3*D3</f>
        <v>16712.699999999997</v>
      </c>
      <c r="H3" s="48">
        <f>I3*'Prices without ATS'!$K$2</f>
        <v>16712.699999999997</v>
      </c>
      <c r="I3" s="88">
        <v>3277</v>
      </c>
      <c r="J3" s="88"/>
      <c r="K3" s="88"/>
    </row>
    <row r="4" spans="1:11" ht="18" customHeight="1" x14ac:dyDescent="0.3">
      <c r="A4" s="45" t="s">
        <v>171</v>
      </c>
      <c r="B4" s="96" t="s">
        <v>284</v>
      </c>
      <c r="C4" s="97" t="s">
        <v>285</v>
      </c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96" t="s">
        <v>174</v>
      </c>
      <c r="C5" s="98" t="s">
        <v>175</v>
      </c>
      <c r="D5" s="99">
        <v>8.3000000000000007</v>
      </c>
      <c r="E5" s="99" t="s">
        <v>176</v>
      </c>
      <c r="F5" s="100">
        <f>6.5/1.05</f>
        <v>6.1904761904761898</v>
      </c>
      <c r="G5" s="101">
        <f t="shared" ref="G5:G20" si="0">D5*F5</f>
        <v>51.38095238095238</v>
      </c>
    </row>
    <row r="6" spans="1:11" ht="18" customHeight="1" x14ac:dyDescent="0.3">
      <c r="A6" s="45" t="s">
        <v>177</v>
      </c>
      <c r="B6" s="96" t="s">
        <v>286</v>
      </c>
      <c r="C6" s="98" t="s">
        <v>179</v>
      </c>
      <c r="D6" s="99">
        <v>6</v>
      </c>
      <c r="E6" s="99" t="s">
        <v>176</v>
      </c>
      <c r="F6" s="100">
        <f>0.9/1.05</f>
        <v>0.8571428571428571</v>
      </c>
      <c r="G6" s="101">
        <f t="shared" si="0"/>
        <v>5.1428571428571423</v>
      </c>
    </row>
    <row r="7" spans="1:11" ht="18" customHeight="1" x14ac:dyDescent="0.3">
      <c r="A7" s="45" t="s">
        <v>180</v>
      </c>
      <c r="B7" s="96" t="s">
        <v>287</v>
      </c>
      <c r="C7" s="102" t="s">
        <v>182</v>
      </c>
      <c r="D7" s="99">
        <v>4</v>
      </c>
      <c r="E7" s="99" t="s">
        <v>176</v>
      </c>
      <c r="F7" s="100">
        <f>2.9/1.05</f>
        <v>2.7619047619047619</v>
      </c>
      <c r="G7" s="101">
        <f t="shared" si="0"/>
        <v>11.047619047619047</v>
      </c>
    </row>
    <row r="8" spans="1:11" ht="18" customHeight="1" x14ac:dyDescent="0.3">
      <c r="A8" s="45" t="s">
        <v>183</v>
      </c>
      <c r="B8" s="103" t="s">
        <v>288</v>
      </c>
      <c r="C8" s="97" t="s">
        <v>289</v>
      </c>
      <c r="D8" s="104">
        <v>1</v>
      </c>
      <c r="E8" s="105" t="s">
        <v>169</v>
      </c>
      <c r="F8" s="106">
        <v>95.255904761904759</v>
      </c>
      <c r="G8" s="107">
        <f t="shared" si="0"/>
        <v>95.255904761904759</v>
      </c>
    </row>
    <row r="9" spans="1:11" ht="18" customHeight="1" x14ac:dyDescent="0.3">
      <c r="A9" s="45" t="s">
        <v>186</v>
      </c>
      <c r="B9" s="103" t="s">
        <v>275</v>
      </c>
      <c r="C9" s="97" t="s">
        <v>188</v>
      </c>
      <c r="D9" s="104">
        <v>1</v>
      </c>
      <c r="E9" s="105" t="s">
        <v>169</v>
      </c>
      <c r="F9" s="106">
        <v>565.43752380952378</v>
      </c>
      <c r="G9" s="107">
        <f t="shared" si="0"/>
        <v>565.43752380952378</v>
      </c>
    </row>
    <row r="10" spans="1:11" ht="18" customHeight="1" x14ac:dyDescent="0.3">
      <c r="A10" s="45" t="s">
        <v>189</v>
      </c>
      <c r="B10" s="103" t="s">
        <v>190</v>
      </c>
      <c r="C10" s="97" t="s">
        <v>191</v>
      </c>
      <c r="D10" s="104">
        <v>4</v>
      </c>
      <c r="E10" s="105" t="s">
        <v>169</v>
      </c>
      <c r="F10" s="106">
        <f>17.7/1.05</f>
        <v>16.857142857142854</v>
      </c>
      <c r="G10" s="107">
        <f t="shared" si="0"/>
        <v>67.428571428571416</v>
      </c>
    </row>
    <row r="11" spans="1:11" ht="18" customHeight="1" x14ac:dyDescent="0.3">
      <c r="A11" s="45" t="s">
        <v>192</v>
      </c>
      <c r="B11" s="96" t="s">
        <v>290</v>
      </c>
      <c r="C11" s="97" t="s">
        <v>188</v>
      </c>
      <c r="D11" s="104">
        <v>1</v>
      </c>
      <c r="E11" s="105" t="s">
        <v>169</v>
      </c>
      <c r="F11" s="106">
        <v>149.56904761904764</v>
      </c>
      <c r="G11" s="107">
        <f t="shared" si="0"/>
        <v>149.56904761904764</v>
      </c>
    </row>
    <row r="12" spans="1:11" ht="18" customHeight="1" x14ac:dyDescent="0.3">
      <c r="A12" s="45" t="s">
        <v>195</v>
      </c>
      <c r="B12" s="96" t="s">
        <v>291</v>
      </c>
      <c r="C12" s="97">
        <v>27010002</v>
      </c>
      <c r="D12" s="104">
        <v>1</v>
      </c>
      <c r="E12" s="105" t="s">
        <v>169</v>
      </c>
      <c r="F12" s="106">
        <v>825.70866666666666</v>
      </c>
      <c r="G12" s="107">
        <f t="shared" si="0"/>
        <v>825.70866666666666</v>
      </c>
    </row>
    <row r="13" spans="1:11" ht="18" customHeight="1" x14ac:dyDescent="0.3">
      <c r="A13" s="45" t="s">
        <v>197</v>
      </c>
      <c r="B13" s="96" t="s">
        <v>214</v>
      </c>
      <c r="C13" s="108" t="s">
        <v>215</v>
      </c>
      <c r="D13" s="109" t="s">
        <v>173</v>
      </c>
      <c r="E13" s="110" t="s">
        <v>169</v>
      </c>
      <c r="F13" s="106">
        <v>18</v>
      </c>
      <c r="G13" s="107">
        <f t="shared" si="0"/>
        <v>54</v>
      </c>
    </row>
    <row r="14" spans="1:11" ht="18" customHeight="1" x14ac:dyDescent="0.3">
      <c r="A14" s="45" t="s">
        <v>201</v>
      </c>
      <c r="B14" s="111" t="s">
        <v>202</v>
      </c>
      <c r="C14" s="108" t="s">
        <v>203</v>
      </c>
      <c r="D14" s="109" t="s">
        <v>292</v>
      </c>
      <c r="E14" s="112" t="s">
        <v>200</v>
      </c>
      <c r="F14" s="106">
        <v>13.8</v>
      </c>
      <c r="G14" s="113">
        <f t="shared" si="0"/>
        <v>20.700000000000003</v>
      </c>
    </row>
    <row r="15" spans="1:11" ht="18" customHeight="1" x14ac:dyDescent="0.3">
      <c r="A15" s="45" t="s">
        <v>204</v>
      </c>
      <c r="B15" s="96" t="s">
        <v>293</v>
      </c>
      <c r="C15" s="97" t="s">
        <v>294</v>
      </c>
      <c r="D15" s="104">
        <v>2</v>
      </c>
      <c r="E15" s="105" t="s">
        <v>169</v>
      </c>
      <c r="F15" s="106">
        <v>7</v>
      </c>
      <c r="G15" s="113">
        <f t="shared" si="0"/>
        <v>14</v>
      </c>
    </row>
    <row r="16" spans="1:11" ht="18" customHeight="1" x14ac:dyDescent="0.3">
      <c r="A16" s="45" t="s">
        <v>207</v>
      </c>
      <c r="B16" s="96" t="s">
        <v>295</v>
      </c>
      <c r="C16" s="108" t="s">
        <v>296</v>
      </c>
      <c r="D16" s="109" t="s">
        <v>167</v>
      </c>
      <c r="E16" s="105" t="s">
        <v>169</v>
      </c>
      <c r="F16" s="106">
        <v>102.3</v>
      </c>
      <c r="G16" s="113">
        <f t="shared" si="0"/>
        <v>102.3</v>
      </c>
    </row>
    <row r="17" spans="1:7" ht="18" customHeight="1" x14ac:dyDescent="0.3">
      <c r="A17" s="45" t="s">
        <v>210</v>
      </c>
      <c r="B17" s="110" t="s">
        <v>297</v>
      </c>
      <c r="C17" s="97" t="s">
        <v>298</v>
      </c>
      <c r="D17" s="104" t="s">
        <v>167</v>
      </c>
      <c r="E17" s="110" t="s">
        <v>169</v>
      </c>
      <c r="F17" s="106">
        <f>183.75/1.05</f>
        <v>175</v>
      </c>
      <c r="G17" s="113">
        <f t="shared" si="0"/>
        <v>175</v>
      </c>
    </row>
    <row r="18" spans="1:7" ht="18" customHeight="1" x14ac:dyDescent="0.3">
      <c r="A18" s="45" t="s">
        <v>213</v>
      </c>
      <c r="B18" s="114" t="s">
        <v>198</v>
      </c>
      <c r="C18" s="115" t="s">
        <v>199</v>
      </c>
      <c r="D18" s="109" t="s">
        <v>292</v>
      </c>
      <c r="E18" s="112" t="s">
        <v>200</v>
      </c>
      <c r="F18" s="106">
        <v>13.81</v>
      </c>
      <c r="G18" s="113">
        <f t="shared" si="0"/>
        <v>20.715</v>
      </c>
    </row>
    <row r="19" spans="1:7" ht="18" customHeight="1" x14ac:dyDescent="0.3">
      <c r="A19" s="45" t="s">
        <v>216</v>
      </c>
      <c r="B19" s="116" t="s">
        <v>299</v>
      </c>
      <c r="C19" s="115" t="s">
        <v>300</v>
      </c>
      <c r="D19" s="109">
        <v>0.8</v>
      </c>
      <c r="E19" s="110" t="s">
        <v>200</v>
      </c>
      <c r="F19" s="106">
        <v>8.8000000000000007</v>
      </c>
      <c r="G19" s="113">
        <f t="shared" si="0"/>
        <v>7.0400000000000009</v>
      </c>
    </row>
    <row r="20" spans="1:7" ht="18" customHeight="1" x14ac:dyDescent="0.3">
      <c r="A20" s="53" t="s">
        <v>219</v>
      </c>
      <c r="B20" s="117" t="s">
        <v>301</v>
      </c>
      <c r="C20" s="118" t="s">
        <v>302</v>
      </c>
      <c r="D20" s="119" t="s">
        <v>183</v>
      </c>
      <c r="E20" s="120" t="s">
        <v>200</v>
      </c>
      <c r="F20" s="121">
        <v>4.3899999999999997</v>
      </c>
      <c r="G20" s="122">
        <f t="shared" si="0"/>
        <v>26.339999999999996</v>
      </c>
    </row>
    <row r="21" spans="1:7" ht="18" customHeight="1" x14ac:dyDescent="0.3">
      <c r="A21" s="45" t="s">
        <v>221</v>
      </c>
      <c r="B21" s="96" t="s">
        <v>220</v>
      </c>
      <c r="C21" s="108" t="s">
        <v>188</v>
      </c>
      <c r="D21" s="109">
        <v>1</v>
      </c>
      <c r="E21" s="123" t="s">
        <v>169</v>
      </c>
      <c r="F21" s="124">
        <v>342.09</v>
      </c>
      <c r="G21" s="106">
        <f>D21*F21</f>
        <v>342.09</v>
      </c>
    </row>
    <row r="22" spans="1:7" ht="18" customHeight="1" x14ac:dyDescent="0.3">
      <c r="A22" s="53" t="s">
        <v>223</v>
      </c>
      <c r="B22" s="59" t="s">
        <v>222</v>
      </c>
      <c r="C22" s="60" t="s">
        <v>188</v>
      </c>
      <c r="D22" s="61">
        <v>1</v>
      </c>
      <c r="E22" s="62"/>
      <c r="F22" s="62">
        <f>H3*0.05</f>
        <v>835.63499999999988</v>
      </c>
      <c r="G22" s="63">
        <f>F22*D22</f>
        <v>835.63499999999988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5500/44</f>
        <v>125</v>
      </c>
      <c r="G23" s="68">
        <f>F23*D23</f>
        <v>125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584.94449999999995</v>
      </c>
      <c r="G24" s="68">
        <f>F24*D24</f>
        <v>584.94449999999995</v>
      </c>
    </row>
    <row r="25" spans="1:7" ht="18" customHeight="1" x14ac:dyDescent="0.3">
      <c r="A25" s="125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3000/44</f>
        <v>68.181818181818187</v>
      </c>
      <c r="G25" s="72">
        <f>F25*D25</f>
        <v>68.181818181818187</v>
      </c>
    </row>
    <row r="26" spans="1:7" ht="18" customHeight="1" x14ac:dyDescent="0.3">
      <c r="A26" s="126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40" t="s">
        <v>265</v>
      </c>
      <c r="B27" s="441"/>
      <c r="C27" s="441"/>
      <c r="D27" s="441"/>
      <c r="E27" s="441"/>
      <c r="F27" s="442"/>
      <c r="G27" s="91">
        <f>SUM(G3:G26)</f>
        <v>20859.617461038961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100</v>
      </c>
      <c r="G46" s="84">
        <v>50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1522.7285714285715</v>
      </c>
    </row>
    <row r="48" spans="1:7" ht="18" hidden="1" customHeight="1" x14ac:dyDescent="0.3"/>
    <row r="49" spans="1:7" ht="18" hidden="1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22382.346032467532</v>
      </c>
    </row>
    <row r="53" spans="1:7" x14ac:dyDescent="0.3">
      <c r="A53" t="s">
        <v>259</v>
      </c>
      <c r="B53" s="4">
        <v>43450</v>
      </c>
    </row>
    <row r="55" spans="1:7" x14ac:dyDescent="0.3">
      <c r="A55"/>
      <c r="B55"/>
      <c r="C55"/>
      <c r="D55"/>
      <c r="E55"/>
      <c r="F55"/>
      <c r="G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</sheetData>
  <mergeCells count="9">
    <mergeCell ref="A29:G29"/>
    <mergeCell ref="A47:F47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304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92" t="s">
        <v>160</v>
      </c>
      <c r="B3" s="93" t="s">
        <v>161</v>
      </c>
      <c r="C3" s="93" t="s">
        <v>162</v>
      </c>
      <c r="D3" s="93" t="s">
        <v>163</v>
      </c>
      <c r="E3" s="93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94" t="s">
        <v>305</v>
      </c>
      <c r="C4" s="95"/>
      <c r="D4" s="432">
        <v>1</v>
      </c>
      <c r="E4" s="432" t="s">
        <v>169</v>
      </c>
      <c r="F4" s="434">
        <f>H4</f>
        <v>19140.3</v>
      </c>
      <c r="G4" s="436">
        <f>F4*D4</f>
        <v>19140.3</v>
      </c>
      <c r="H4" s="48">
        <f>I4*'Prices without ATS'!$K$2</f>
        <v>19140.3</v>
      </c>
      <c r="I4" s="88">
        <v>3753</v>
      </c>
      <c r="J4" s="88"/>
      <c r="K4" s="88"/>
    </row>
    <row r="5" spans="1:11" ht="18" customHeight="1" x14ac:dyDescent="0.3">
      <c r="A5" s="45" t="s">
        <v>171</v>
      </c>
      <c r="B5" s="96" t="s">
        <v>306</v>
      </c>
      <c r="C5" s="97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96" t="s">
        <v>174</v>
      </c>
      <c r="C6" s="98" t="s">
        <v>175</v>
      </c>
      <c r="D6" s="99">
        <v>7.9</v>
      </c>
      <c r="E6" s="99" t="s">
        <v>176</v>
      </c>
      <c r="F6" s="100">
        <f>6.5/1.05</f>
        <v>6.1904761904761898</v>
      </c>
      <c r="G6" s="101">
        <f t="shared" ref="G6:G20" si="0">D6*F6</f>
        <v>48.904761904761905</v>
      </c>
    </row>
    <row r="7" spans="1:11" ht="18" customHeight="1" x14ac:dyDescent="0.3">
      <c r="A7" s="45" t="s">
        <v>177</v>
      </c>
      <c r="B7" s="96" t="s">
        <v>286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96" t="s">
        <v>287</v>
      </c>
      <c r="C8" s="102" t="s">
        <v>182</v>
      </c>
      <c r="D8" s="99">
        <v>5</v>
      </c>
      <c r="E8" s="99" t="s">
        <v>176</v>
      </c>
      <c r="F8" s="100">
        <f>2.9/1.05</f>
        <v>2.7619047619047619</v>
      </c>
      <c r="G8" s="101">
        <f t="shared" si="0"/>
        <v>13.80952380952381</v>
      </c>
    </row>
    <row r="9" spans="1:11" ht="18" customHeight="1" x14ac:dyDescent="0.3">
      <c r="A9" s="45" t="s">
        <v>183</v>
      </c>
      <c r="B9" s="103" t="s">
        <v>288</v>
      </c>
      <c r="C9" s="97" t="s">
        <v>289</v>
      </c>
      <c r="D9" s="104">
        <v>1</v>
      </c>
      <c r="E9" s="105" t="s">
        <v>169</v>
      </c>
      <c r="F9" s="106">
        <v>95.255904761904759</v>
      </c>
      <c r="G9" s="107">
        <f t="shared" si="0"/>
        <v>95.255904761904759</v>
      </c>
    </row>
    <row r="10" spans="1:11" ht="18" customHeight="1" x14ac:dyDescent="0.3">
      <c r="A10" s="45" t="s">
        <v>186</v>
      </c>
      <c r="B10" s="103" t="s">
        <v>187</v>
      </c>
      <c r="C10" s="97" t="s">
        <v>188</v>
      </c>
      <c r="D10" s="104">
        <v>1</v>
      </c>
      <c r="E10" s="105" t="s">
        <v>169</v>
      </c>
      <c r="F10" s="106">
        <v>565.43752380952378</v>
      </c>
      <c r="G10" s="107">
        <f t="shared" si="0"/>
        <v>565.43752380952378</v>
      </c>
    </row>
    <row r="11" spans="1:11" ht="18" customHeight="1" x14ac:dyDescent="0.3">
      <c r="A11" s="45" t="s">
        <v>189</v>
      </c>
      <c r="B11" s="103" t="s">
        <v>190</v>
      </c>
      <c r="C11" s="97" t="s">
        <v>191</v>
      </c>
      <c r="D11" s="104">
        <v>4</v>
      </c>
      <c r="E11" s="105" t="s">
        <v>169</v>
      </c>
      <c r="F11" s="106">
        <f>17.7/1.05</f>
        <v>16.857142857142854</v>
      </c>
      <c r="G11" s="107">
        <f t="shared" si="0"/>
        <v>67.428571428571416</v>
      </c>
    </row>
    <row r="12" spans="1:11" ht="18" customHeight="1" x14ac:dyDescent="0.3">
      <c r="A12" s="45" t="s">
        <v>192</v>
      </c>
      <c r="B12" s="96" t="s">
        <v>307</v>
      </c>
      <c r="C12" s="97" t="s">
        <v>188</v>
      </c>
      <c r="D12" s="104">
        <v>1</v>
      </c>
      <c r="E12" s="105" t="s">
        <v>169</v>
      </c>
      <c r="F12" s="106">
        <v>149.56904761904764</v>
      </c>
      <c r="G12" s="107">
        <f t="shared" si="0"/>
        <v>149.56904761904764</v>
      </c>
    </row>
    <row r="13" spans="1:11" ht="18" customHeight="1" x14ac:dyDescent="0.3">
      <c r="A13" s="45" t="s">
        <v>195</v>
      </c>
      <c r="B13" s="96" t="s">
        <v>291</v>
      </c>
      <c r="C13" s="97">
        <v>27010002</v>
      </c>
      <c r="D13" s="104">
        <v>1</v>
      </c>
      <c r="E13" s="105" t="s">
        <v>169</v>
      </c>
      <c r="F13" s="106">
        <v>825.70866666666666</v>
      </c>
      <c r="G13" s="107">
        <f t="shared" si="0"/>
        <v>825.70866666666666</v>
      </c>
    </row>
    <row r="14" spans="1:11" ht="18" customHeight="1" x14ac:dyDescent="0.3">
      <c r="A14" s="45" t="s">
        <v>197</v>
      </c>
      <c r="B14" s="96" t="s">
        <v>214</v>
      </c>
      <c r="C14" s="108" t="s">
        <v>215</v>
      </c>
      <c r="D14" s="109" t="s">
        <v>173</v>
      </c>
      <c r="E14" s="110" t="s">
        <v>169</v>
      </c>
      <c r="F14" s="106">
        <v>18</v>
      </c>
      <c r="G14" s="107">
        <f t="shared" si="0"/>
        <v>54</v>
      </c>
    </row>
    <row r="15" spans="1:11" ht="18" customHeight="1" x14ac:dyDescent="0.3">
      <c r="A15" s="45" t="s">
        <v>201</v>
      </c>
      <c r="B15" s="111" t="s">
        <v>202</v>
      </c>
      <c r="C15" s="108" t="s">
        <v>203</v>
      </c>
      <c r="D15" s="109">
        <v>7.5</v>
      </c>
      <c r="E15" s="112" t="s">
        <v>200</v>
      </c>
      <c r="F15" s="106">
        <v>13.8</v>
      </c>
      <c r="G15" s="107">
        <f t="shared" si="0"/>
        <v>103.5</v>
      </c>
    </row>
    <row r="16" spans="1:11" ht="18" customHeight="1" x14ac:dyDescent="0.3">
      <c r="A16" s="45" t="s">
        <v>204</v>
      </c>
      <c r="B16" s="96" t="s">
        <v>293</v>
      </c>
      <c r="C16" s="97" t="s">
        <v>294</v>
      </c>
      <c r="D16" s="104">
        <v>2</v>
      </c>
      <c r="E16" s="105" t="s">
        <v>169</v>
      </c>
      <c r="F16" s="106">
        <v>7</v>
      </c>
      <c r="G16" s="107">
        <f t="shared" si="0"/>
        <v>14</v>
      </c>
    </row>
    <row r="17" spans="1:7" ht="18" customHeight="1" x14ac:dyDescent="0.3">
      <c r="A17" s="45" t="s">
        <v>207</v>
      </c>
      <c r="B17" s="96" t="s">
        <v>308</v>
      </c>
      <c r="C17" s="108" t="s">
        <v>296</v>
      </c>
      <c r="D17" s="109" t="s">
        <v>167</v>
      </c>
      <c r="E17" s="105" t="s">
        <v>169</v>
      </c>
      <c r="F17" s="106">
        <v>102.3</v>
      </c>
      <c r="G17" s="113">
        <f t="shared" si="0"/>
        <v>102.3</v>
      </c>
    </row>
    <row r="18" spans="1:7" ht="18" customHeight="1" x14ac:dyDescent="0.3">
      <c r="A18" s="45" t="s">
        <v>210</v>
      </c>
      <c r="B18" s="110" t="s">
        <v>297</v>
      </c>
      <c r="C18" s="97" t="s">
        <v>298</v>
      </c>
      <c r="D18" s="104" t="s">
        <v>167</v>
      </c>
      <c r="E18" s="110" t="s">
        <v>169</v>
      </c>
      <c r="F18" s="106">
        <f>183.75/1.05</f>
        <v>175</v>
      </c>
      <c r="G18" s="113">
        <f t="shared" si="0"/>
        <v>175</v>
      </c>
    </row>
    <row r="19" spans="1:7" ht="18" customHeight="1" x14ac:dyDescent="0.3">
      <c r="A19" s="45" t="s">
        <v>213</v>
      </c>
      <c r="B19" s="114" t="s">
        <v>198</v>
      </c>
      <c r="C19" s="115" t="s">
        <v>199</v>
      </c>
      <c r="D19" s="109" t="s">
        <v>292</v>
      </c>
      <c r="E19" s="112" t="s">
        <v>200</v>
      </c>
      <c r="F19" s="106">
        <v>13.81</v>
      </c>
      <c r="G19" s="113">
        <f t="shared" si="0"/>
        <v>20.715</v>
      </c>
    </row>
    <row r="20" spans="1:7" ht="18" customHeight="1" x14ac:dyDescent="0.3">
      <c r="A20" s="45" t="s">
        <v>216</v>
      </c>
      <c r="B20" s="116" t="s">
        <v>299</v>
      </c>
      <c r="C20" s="115" t="s">
        <v>300</v>
      </c>
      <c r="D20" s="109">
        <v>0.8</v>
      </c>
      <c r="E20" s="110" t="s">
        <v>200</v>
      </c>
      <c r="F20" s="106">
        <v>8.8000000000000007</v>
      </c>
      <c r="G20" s="113">
        <f t="shared" si="0"/>
        <v>7.0400000000000009</v>
      </c>
    </row>
    <row r="21" spans="1:7" ht="18" customHeight="1" x14ac:dyDescent="0.3">
      <c r="A21" s="53" t="s">
        <v>219</v>
      </c>
      <c r="B21" s="96" t="s">
        <v>220</v>
      </c>
      <c r="C21" s="108" t="s">
        <v>188</v>
      </c>
      <c r="D21" s="109">
        <v>1</v>
      </c>
      <c r="E21" s="123" t="s">
        <v>169</v>
      </c>
      <c r="F21" s="124">
        <v>342.09</v>
      </c>
      <c r="G21" s="106">
        <f>D21*F21</f>
        <v>342.09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>
        <f>H4*0.05</f>
        <v>957.01499999999999</v>
      </c>
      <c r="G22" s="63">
        <f>F22*D22</f>
        <v>957.01499999999999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5500/40</f>
        <v>137.5</v>
      </c>
      <c r="G23" s="68">
        <f>F23*D23</f>
        <v>137.5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669.91050000000007</v>
      </c>
      <c r="G24" s="68">
        <f>F24*D24</f>
        <v>669.91050000000007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3000/40</f>
        <v>75</v>
      </c>
      <c r="G25" s="72">
        <f>F25*D25</f>
        <v>75</v>
      </c>
    </row>
    <row r="26" spans="1:7" ht="18" customHeight="1" x14ac:dyDescent="0.3">
      <c r="A26" s="125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40" t="s">
        <v>265</v>
      </c>
      <c r="B27" s="441"/>
      <c r="C27" s="441"/>
      <c r="D27" s="441"/>
      <c r="E27" s="441"/>
      <c r="F27" s="442"/>
      <c r="G27" s="91">
        <f>SUM(G3:G26)</f>
        <v>23570.484499999999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100</v>
      </c>
      <c r="G46" s="84">
        <f>D46*F46</f>
        <v>100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1572.7285714285715</v>
      </c>
    </row>
    <row r="48" spans="1:7" ht="18" customHeight="1" thickBot="1" x14ac:dyDescent="0.35"/>
    <row r="49" spans="1:7" ht="18" hidden="1" customHeight="1" x14ac:dyDescent="0.3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25143.21307142857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  <row r="115" spans="1:7" x14ac:dyDescent="0.3">
      <c r="A115"/>
      <c r="B115"/>
      <c r="C115"/>
      <c r="D115"/>
      <c r="E115"/>
      <c r="F115"/>
      <c r="G115"/>
    </row>
    <row r="116" spans="1:7" x14ac:dyDescent="0.3">
      <c r="A116"/>
      <c r="B116"/>
      <c r="C116"/>
      <c r="D116"/>
      <c r="E116"/>
      <c r="F116"/>
      <c r="G116"/>
    </row>
    <row r="117" spans="1:7" x14ac:dyDescent="0.3">
      <c r="A117"/>
      <c r="B117"/>
      <c r="C117"/>
      <c r="D117"/>
      <c r="E117"/>
      <c r="F117"/>
      <c r="G117"/>
    </row>
    <row r="118" spans="1:7" x14ac:dyDescent="0.3">
      <c r="A118"/>
      <c r="B118"/>
      <c r="C118"/>
      <c r="D118"/>
      <c r="E118"/>
      <c r="F118"/>
      <c r="G118"/>
    </row>
    <row r="119" spans="1:7" x14ac:dyDescent="0.3">
      <c r="A119"/>
      <c r="B119"/>
      <c r="C119"/>
      <c r="D119"/>
      <c r="E119"/>
      <c r="F119"/>
      <c r="G119"/>
    </row>
    <row r="120" spans="1:7" x14ac:dyDescent="0.3">
      <c r="A120"/>
      <c r="B120"/>
      <c r="C120"/>
      <c r="D120"/>
      <c r="E120"/>
      <c r="F120"/>
      <c r="G120"/>
    </row>
    <row r="121" spans="1:7" x14ac:dyDescent="0.3">
      <c r="A121"/>
      <c r="B121"/>
      <c r="C121"/>
      <c r="D121"/>
      <c r="E121"/>
      <c r="F121"/>
      <c r="G121"/>
    </row>
    <row r="122" spans="1:7" x14ac:dyDescent="0.3">
      <c r="A122"/>
      <c r="B122"/>
      <c r="C122"/>
      <c r="D122"/>
      <c r="E122"/>
      <c r="F122"/>
      <c r="G122"/>
    </row>
    <row r="123" spans="1:7" x14ac:dyDescent="0.3">
      <c r="A123"/>
      <c r="B123"/>
      <c r="C123"/>
      <c r="D123"/>
      <c r="E123"/>
      <c r="F123"/>
      <c r="G123"/>
    </row>
    <row r="124" spans="1:7" x14ac:dyDescent="0.3">
      <c r="A124"/>
      <c r="B124"/>
      <c r="C124"/>
      <c r="D124"/>
      <c r="E124"/>
      <c r="F124"/>
      <c r="G124"/>
    </row>
    <row r="125" spans="1:7" x14ac:dyDescent="0.3">
      <c r="A125"/>
      <c r="B125"/>
      <c r="C125"/>
      <c r="D125"/>
      <c r="E125"/>
      <c r="F125"/>
      <c r="G125"/>
    </row>
    <row r="126" spans="1:7" x14ac:dyDescent="0.3">
      <c r="A126"/>
      <c r="B126"/>
      <c r="C126"/>
      <c r="D126"/>
      <c r="E126"/>
      <c r="F126"/>
      <c r="G126"/>
    </row>
    <row r="127" spans="1:7" x14ac:dyDescent="0.3">
      <c r="A127"/>
      <c r="B127"/>
      <c r="C127"/>
      <c r="D127"/>
      <c r="E127"/>
      <c r="F127"/>
      <c r="G127"/>
    </row>
    <row r="128" spans="1:7" x14ac:dyDescent="0.3">
      <c r="A128"/>
      <c r="B128"/>
      <c r="C128"/>
      <c r="D128"/>
      <c r="E128"/>
      <c r="F128"/>
      <c r="G128"/>
    </row>
    <row r="129" spans="1:7" x14ac:dyDescent="0.3">
      <c r="A129"/>
      <c r="B129"/>
      <c r="C129"/>
      <c r="D129"/>
      <c r="E129"/>
      <c r="F129"/>
      <c r="G129"/>
    </row>
    <row r="130" spans="1:7" x14ac:dyDescent="0.3">
      <c r="A130"/>
      <c r="B130"/>
      <c r="C130"/>
      <c r="D130"/>
      <c r="E130"/>
      <c r="F130"/>
      <c r="G130"/>
    </row>
    <row r="131" spans="1:7" x14ac:dyDescent="0.3">
      <c r="A131"/>
      <c r="B131"/>
      <c r="C131"/>
      <c r="D131"/>
      <c r="E131"/>
      <c r="F131"/>
      <c r="G131"/>
    </row>
    <row r="132" spans="1:7" x14ac:dyDescent="0.3">
      <c r="A132"/>
      <c r="B132"/>
      <c r="C132"/>
      <c r="D132"/>
      <c r="E132"/>
      <c r="F132"/>
      <c r="G132"/>
    </row>
    <row r="133" spans="1:7" x14ac:dyDescent="0.3">
      <c r="A133"/>
      <c r="B133"/>
      <c r="C133"/>
      <c r="D133"/>
      <c r="E133"/>
      <c r="F133"/>
      <c r="G133"/>
    </row>
    <row r="134" spans="1:7" x14ac:dyDescent="0.3">
      <c r="A134"/>
      <c r="B134"/>
      <c r="C134"/>
      <c r="D134"/>
      <c r="E134"/>
      <c r="F134"/>
      <c r="G134"/>
    </row>
    <row r="135" spans="1:7" x14ac:dyDescent="0.3">
      <c r="A135"/>
      <c r="B135"/>
      <c r="C135"/>
      <c r="D135"/>
      <c r="E135"/>
      <c r="F135"/>
      <c r="G135"/>
    </row>
    <row r="136" spans="1:7" x14ac:dyDescent="0.3">
      <c r="A136"/>
      <c r="B136"/>
      <c r="C136"/>
      <c r="D136"/>
      <c r="E136"/>
      <c r="F136"/>
      <c r="G136"/>
    </row>
    <row r="137" spans="1:7" x14ac:dyDescent="0.3">
      <c r="A137"/>
      <c r="B137"/>
      <c r="C137"/>
      <c r="D137"/>
      <c r="E137"/>
      <c r="F137"/>
      <c r="G137"/>
    </row>
    <row r="138" spans="1:7" x14ac:dyDescent="0.3">
      <c r="A138"/>
      <c r="B138"/>
      <c r="C138"/>
      <c r="D138"/>
      <c r="E138"/>
      <c r="F138"/>
      <c r="G138"/>
    </row>
    <row r="139" spans="1:7" x14ac:dyDescent="0.3">
      <c r="A139"/>
      <c r="B139"/>
      <c r="C139"/>
      <c r="D139"/>
      <c r="E139"/>
      <c r="F139"/>
      <c r="G139"/>
    </row>
    <row r="140" spans="1:7" x14ac:dyDescent="0.3">
      <c r="A140"/>
      <c r="B140"/>
      <c r="C140"/>
      <c r="D140"/>
      <c r="E140"/>
      <c r="F140"/>
      <c r="G140"/>
    </row>
    <row r="141" spans="1:7" x14ac:dyDescent="0.3">
      <c r="A141"/>
      <c r="B141"/>
      <c r="C141"/>
      <c r="D141"/>
      <c r="E141"/>
      <c r="F141"/>
      <c r="G141"/>
    </row>
    <row r="142" spans="1:7" x14ac:dyDescent="0.3">
      <c r="A142"/>
      <c r="B142"/>
      <c r="C142"/>
      <c r="D142"/>
      <c r="E142"/>
      <c r="F142"/>
      <c r="G142"/>
    </row>
    <row r="143" spans="1:7" x14ac:dyDescent="0.3">
      <c r="A143"/>
      <c r="B143"/>
      <c r="C143"/>
      <c r="D143"/>
      <c r="E143"/>
      <c r="F143"/>
      <c r="G143"/>
    </row>
    <row r="144" spans="1:7" x14ac:dyDescent="0.3">
      <c r="A144"/>
      <c r="B144"/>
      <c r="C144"/>
      <c r="D144"/>
      <c r="E144"/>
      <c r="F144"/>
      <c r="G144"/>
    </row>
    <row r="145" spans="1:7" x14ac:dyDescent="0.3">
      <c r="A145"/>
      <c r="B145"/>
      <c r="C145"/>
      <c r="D145"/>
      <c r="E145"/>
      <c r="F145"/>
      <c r="G145"/>
    </row>
    <row r="146" spans="1:7" x14ac:dyDescent="0.3">
      <c r="A146"/>
      <c r="B146"/>
      <c r="C146"/>
      <c r="D146"/>
      <c r="E146"/>
      <c r="F146"/>
      <c r="G146"/>
    </row>
    <row r="147" spans="1:7" x14ac:dyDescent="0.3">
      <c r="A147"/>
      <c r="B147"/>
      <c r="C147"/>
      <c r="D147"/>
      <c r="E147"/>
      <c r="F147"/>
      <c r="G147"/>
    </row>
    <row r="148" spans="1:7" x14ac:dyDescent="0.3">
      <c r="A148"/>
      <c r="B148"/>
      <c r="C148"/>
      <c r="D148"/>
      <c r="E148"/>
      <c r="F148"/>
      <c r="G148"/>
    </row>
    <row r="149" spans="1:7" x14ac:dyDescent="0.3">
      <c r="A149"/>
      <c r="B149"/>
      <c r="C149"/>
      <c r="D149"/>
      <c r="E149"/>
      <c r="F149"/>
      <c r="G149"/>
    </row>
    <row r="150" spans="1:7" x14ac:dyDescent="0.3">
      <c r="A150"/>
      <c r="B150"/>
      <c r="C150"/>
      <c r="D150"/>
      <c r="E150"/>
      <c r="F150"/>
      <c r="G150"/>
    </row>
    <row r="151" spans="1:7" x14ac:dyDescent="0.3">
      <c r="A151"/>
      <c r="B151"/>
      <c r="C151"/>
      <c r="D151"/>
      <c r="E151"/>
      <c r="F151"/>
      <c r="G151"/>
    </row>
    <row r="152" spans="1:7" x14ac:dyDescent="0.3">
      <c r="A152"/>
      <c r="B152"/>
      <c r="C152"/>
      <c r="D152"/>
      <c r="E152"/>
      <c r="F152"/>
      <c r="G152"/>
    </row>
    <row r="153" spans="1:7" x14ac:dyDescent="0.3">
      <c r="A153"/>
      <c r="B153"/>
      <c r="C153"/>
      <c r="D153"/>
      <c r="E153"/>
      <c r="F153"/>
      <c r="G153"/>
    </row>
    <row r="154" spans="1:7" x14ac:dyDescent="0.3">
      <c r="A154"/>
      <c r="B154"/>
      <c r="C154"/>
      <c r="D154"/>
      <c r="E154"/>
      <c r="F154"/>
      <c r="G154"/>
    </row>
    <row r="155" spans="1:7" x14ac:dyDescent="0.3">
      <c r="A155"/>
      <c r="B155"/>
      <c r="C155"/>
      <c r="D155"/>
      <c r="E155"/>
      <c r="F155"/>
      <c r="G155"/>
    </row>
    <row r="156" spans="1:7" x14ac:dyDescent="0.3">
      <c r="A156"/>
      <c r="B156"/>
      <c r="C156"/>
      <c r="D156"/>
      <c r="E156"/>
      <c r="F156"/>
      <c r="G156"/>
    </row>
    <row r="157" spans="1:7" x14ac:dyDescent="0.3">
      <c r="A157"/>
      <c r="B157"/>
      <c r="C157"/>
      <c r="D157"/>
      <c r="E157"/>
      <c r="F157"/>
      <c r="G157"/>
    </row>
    <row r="158" spans="1:7" x14ac:dyDescent="0.3">
      <c r="A158"/>
      <c r="B158"/>
      <c r="C158"/>
      <c r="D158"/>
      <c r="E158"/>
      <c r="F158"/>
      <c r="G158"/>
    </row>
    <row r="159" spans="1:7" x14ac:dyDescent="0.3">
      <c r="A159"/>
      <c r="B159"/>
      <c r="C159"/>
      <c r="D159"/>
      <c r="E159"/>
      <c r="F159"/>
      <c r="G159"/>
    </row>
    <row r="160" spans="1:7" x14ac:dyDescent="0.3">
      <c r="A160"/>
      <c r="B160"/>
      <c r="C160"/>
      <c r="D160"/>
      <c r="E160"/>
      <c r="F160"/>
      <c r="G160"/>
    </row>
    <row r="161" spans="1:7" x14ac:dyDescent="0.3">
      <c r="A161"/>
      <c r="B161"/>
      <c r="C161"/>
      <c r="D161"/>
      <c r="E161"/>
      <c r="F161"/>
      <c r="G161"/>
    </row>
    <row r="162" spans="1:7" x14ac:dyDescent="0.3">
      <c r="A162"/>
      <c r="B162"/>
      <c r="C162"/>
      <c r="D162"/>
      <c r="E162"/>
      <c r="F162"/>
      <c r="G162"/>
    </row>
    <row r="163" spans="1:7" x14ac:dyDescent="0.3">
      <c r="A163"/>
      <c r="B163"/>
      <c r="C163"/>
      <c r="D163"/>
      <c r="E163"/>
      <c r="F163"/>
      <c r="G163"/>
    </row>
    <row r="164" spans="1:7" x14ac:dyDescent="0.3">
      <c r="A164"/>
      <c r="B164"/>
      <c r="C164"/>
      <c r="D164"/>
      <c r="E164"/>
      <c r="F164"/>
      <c r="G164"/>
    </row>
    <row r="165" spans="1:7" x14ac:dyDescent="0.3">
      <c r="A165"/>
      <c r="B165"/>
      <c r="C165"/>
      <c r="D165"/>
      <c r="E165"/>
      <c r="F165"/>
      <c r="G165"/>
    </row>
    <row r="166" spans="1:7" x14ac:dyDescent="0.3">
      <c r="A166"/>
      <c r="B166"/>
      <c r="C166"/>
      <c r="D166"/>
      <c r="E166"/>
      <c r="F166"/>
      <c r="G166"/>
    </row>
    <row r="167" spans="1:7" x14ac:dyDescent="0.3">
      <c r="A167"/>
      <c r="B167"/>
      <c r="C167"/>
      <c r="D167"/>
      <c r="E167"/>
      <c r="F167"/>
      <c r="G167"/>
    </row>
    <row r="168" spans="1:7" x14ac:dyDescent="0.3">
      <c r="A168"/>
      <c r="B168"/>
      <c r="C168"/>
      <c r="D168"/>
      <c r="E168"/>
      <c r="F168"/>
      <c r="G168"/>
    </row>
    <row r="169" spans="1:7" x14ac:dyDescent="0.3">
      <c r="A169"/>
      <c r="B169"/>
      <c r="C169"/>
      <c r="D169"/>
      <c r="E169"/>
      <c r="F169"/>
      <c r="G169"/>
    </row>
    <row r="170" spans="1:7" x14ac:dyDescent="0.3">
      <c r="A170"/>
      <c r="B170"/>
      <c r="C170"/>
      <c r="D170"/>
      <c r="E170"/>
      <c r="F170"/>
      <c r="G170"/>
    </row>
    <row r="171" spans="1:7" x14ac:dyDescent="0.3">
      <c r="A171"/>
      <c r="B171"/>
      <c r="C171"/>
      <c r="D171"/>
      <c r="E171"/>
      <c r="F171"/>
      <c r="G171"/>
    </row>
    <row r="172" spans="1:7" x14ac:dyDescent="0.3">
      <c r="A172"/>
      <c r="B172"/>
      <c r="C172"/>
      <c r="D172"/>
      <c r="E172"/>
      <c r="F172"/>
      <c r="G172"/>
    </row>
    <row r="173" spans="1:7" x14ac:dyDescent="0.3">
      <c r="A173"/>
      <c r="B173"/>
      <c r="C173"/>
      <c r="D173"/>
      <c r="E173"/>
      <c r="F173"/>
      <c r="G173"/>
    </row>
    <row r="174" spans="1:7" x14ac:dyDescent="0.3">
      <c r="A174"/>
      <c r="B174"/>
      <c r="C174"/>
      <c r="D174"/>
      <c r="E174"/>
      <c r="F174"/>
      <c r="G174"/>
    </row>
    <row r="175" spans="1:7" x14ac:dyDescent="0.3">
      <c r="A175"/>
      <c r="B175"/>
      <c r="C175"/>
      <c r="D175"/>
      <c r="E175"/>
      <c r="F175"/>
      <c r="G175"/>
    </row>
    <row r="176" spans="1:7" x14ac:dyDescent="0.3">
      <c r="A176"/>
      <c r="B176"/>
      <c r="C176"/>
      <c r="D176"/>
      <c r="E176"/>
      <c r="F176"/>
      <c r="G176"/>
    </row>
    <row r="177" spans="1:7" x14ac:dyDescent="0.3">
      <c r="A177"/>
      <c r="B177"/>
      <c r="C177"/>
      <c r="D177"/>
      <c r="E177"/>
      <c r="F177"/>
      <c r="G177"/>
    </row>
    <row r="178" spans="1:7" x14ac:dyDescent="0.3">
      <c r="A178"/>
      <c r="B178"/>
      <c r="C178"/>
      <c r="D178"/>
      <c r="E178"/>
      <c r="F178"/>
      <c r="G178"/>
    </row>
    <row r="179" spans="1:7" x14ac:dyDescent="0.3">
      <c r="A179"/>
      <c r="B179"/>
      <c r="C179"/>
      <c r="D179"/>
      <c r="E179"/>
      <c r="F179"/>
      <c r="G179"/>
    </row>
    <row r="180" spans="1:7" x14ac:dyDescent="0.3">
      <c r="A180"/>
      <c r="B180"/>
      <c r="C180"/>
      <c r="D180"/>
      <c r="E180"/>
      <c r="F180"/>
      <c r="G180"/>
    </row>
    <row r="181" spans="1:7" x14ac:dyDescent="0.3">
      <c r="A181"/>
      <c r="B181"/>
      <c r="C181"/>
      <c r="D181"/>
      <c r="E181"/>
      <c r="F181"/>
      <c r="G181"/>
    </row>
    <row r="182" spans="1:7" x14ac:dyDescent="0.3">
      <c r="A182"/>
      <c r="B182"/>
      <c r="C182"/>
      <c r="D182"/>
      <c r="E182"/>
      <c r="F182"/>
      <c r="G182"/>
    </row>
    <row r="183" spans="1:7" x14ac:dyDescent="0.3">
      <c r="A183"/>
      <c r="B183"/>
      <c r="C183"/>
      <c r="D183"/>
      <c r="E183"/>
      <c r="F183"/>
      <c r="G183"/>
    </row>
    <row r="184" spans="1:7" x14ac:dyDescent="0.3">
      <c r="A184"/>
      <c r="B184"/>
      <c r="C184"/>
      <c r="D184"/>
      <c r="E184"/>
      <c r="F184"/>
      <c r="G184"/>
    </row>
    <row r="185" spans="1:7" x14ac:dyDescent="0.3">
      <c r="A185"/>
      <c r="B185"/>
      <c r="C185"/>
      <c r="D185"/>
      <c r="E185"/>
      <c r="F185"/>
      <c r="G185"/>
    </row>
    <row r="186" spans="1:7" x14ac:dyDescent="0.3">
      <c r="A186"/>
      <c r="B186"/>
      <c r="C186"/>
      <c r="D186"/>
      <c r="E186"/>
      <c r="F186"/>
      <c r="G186"/>
    </row>
    <row r="187" spans="1:7" x14ac:dyDescent="0.3">
      <c r="A187"/>
      <c r="B187"/>
      <c r="C187"/>
      <c r="D187"/>
      <c r="E187"/>
      <c r="F187"/>
      <c r="G187"/>
    </row>
    <row r="188" spans="1:7" x14ac:dyDescent="0.3">
      <c r="A188"/>
      <c r="B188"/>
      <c r="C188"/>
      <c r="D188"/>
      <c r="E188"/>
      <c r="F188"/>
      <c r="G188"/>
    </row>
    <row r="189" spans="1:7" x14ac:dyDescent="0.3">
      <c r="A189"/>
      <c r="B189"/>
      <c r="C189"/>
      <c r="D189"/>
      <c r="E189"/>
      <c r="F189"/>
      <c r="G189"/>
    </row>
    <row r="190" spans="1:7" x14ac:dyDescent="0.3">
      <c r="A190"/>
      <c r="B190"/>
      <c r="C190"/>
      <c r="D190"/>
      <c r="E190"/>
      <c r="F190"/>
      <c r="G190"/>
    </row>
    <row r="191" spans="1:7" x14ac:dyDescent="0.3">
      <c r="A191"/>
      <c r="B191"/>
      <c r="C191"/>
      <c r="D191"/>
      <c r="E191"/>
      <c r="F191"/>
      <c r="G191"/>
    </row>
    <row r="192" spans="1:7" x14ac:dyDescent="0.3">
      <c r="A192"/>
      <c r="B192"/>
      <c r="C192"/>
      <c r="D192"/>
      <c r="E192"/>
      <c r="F192"/>
      <c r="G192"/>
    </row>
    <row r="193" spans="1:7" x14ac:dyDescent="0.3">
      <c r="A193"/>
      <c r="B193"/>
      <c r="C193"/>
      <c r="D193"/>
      <c r="E193"/>
      <c r="F193"/>
      <c r="G193"/>
    </row>
    <row r="194" spans="1:7" x14ac:dyDescent="0.3">
      <c r="A194"/>
      <c r="B194"/>
      <c r="C194"/>
      <c r="D194"/>
      <c r="E194"/>
      <c r="F194"/>
      <c r="G194"/>
    </row>
    <row r="195" spans="1:7" x14ac:dyDescent="0.3">
      <c r="A195"/>
      <c r="B195"/>
      <c r="C195"/>
      <c r="D195"/>
      <c r="E195"/>
      <c r="F195"/>
      <c r="G195"/>
    </row>
    <row r="196" spans="1:7" x14ac:dyDescent="0.3">
      <c r="A196"/>
      <c r="B196"/>
      <c r="C196"/>
      <c r="D196"/>
      <c r="E196"/>
      <c r="F196"/>
      <c r="G196"/>
    </row>
    <row r="197" spans="1:7" x14ac:dyDescent="0.3">
      <c r="A197"/>
      <c r="B197"/>
      <c r="C197"/>
      <c r="D197"/>
      <c r="E197"/>
      <c r="F197"/>
      <c r="G197"/>
    </row>
    <row r="198" spans="1:7" x14ac:dyDescent="0.3">
      <c r="A198"/>
      <c r="B198"/>
      <c r="C198"/>
      <c r="D198"/>
      <c r="E198"/>
      <c r="F198"/>
      <c r="G198"/>
    </row>
    <row r="199" spans="1:7" x14ac:dyDescent="0.3">
      <c r="A199"/>
      <c r="B199"/>
      <c r="C199"/>
      <c r="D199"/>
      <c r="E199"/>
      <c r="F199"/>
      <c r="G199"/>
    </row>
    <row r="200" spans="1:7" x14ac:dyDescent="0.3">
      <c r="A200"/>
      <c r="B200"/>
      <c r="C200"/>
      <c r="D200"/>
      <c r="E200"/>
      <c r="F200"/>
      <c r="G200"/>
    </row>
    <row r="201" spans="1:7" x14ac:dyDescent="0.3">
      <c r="A201"/>
      <c r="B201"/>
      <c r="C201"/>
      <c r="D201"/>
      <c r="E201"/>
      <c r="F201"/>
      <c r="G201"/>
    </row>
    <row r="202" spans="1:7" x14ac:dyDescent="0.3">
      <c r="A202"/>
      <c r="B202"/>
      <c r="C202"/>
      <c r="D202"/>
      <c r="E202"/>
      <c r="F202"/>
      <c r="G202"/>
    </row>
    <row r="203" spans="1:7" x14ac:dyDescent="0.3">
      <c r="A203"/>
      <c r="B203"/>
      <c r="C203"/>
      <c r="D203"/>
      <c r="E203"/>
      <c r="F203"/>
      <c r="G203"/>
    </row>
    <row r="204" spans="1:7" x14ac:dyDescent="0.3">
      <c r="A204"/>
      <c r="B204"/>
      <c r="C204"/>
      <c r="D204"/>
      <c r="E204"/>
      <c r="F204"/>
      <c r="G204"/>
    </row>
    <row r="205" spans="1:7" x14ac:dyDescent="0.3">
      <c r="A205"/>
      <c r="B205"/>
      <c r="C205"/>
      <c r="D205"/>
      <c r="E205"/>
      <c r="F205"/>
      <c r="G205"/>
    </row>
    <row r="206" spans="1:7" x14ac:dyDescent="0.3">
      <c r="A206"/>
      <c r="B206"/>
      <c r="C206"/>
      <c r="D206"/>
      <c r="E206"/>
      <c r="F206"/>
      <c r="G206"/>
    </row>
    <row r="207" spans="1:7" x14ac:dyDescent="0.3">
      <c r="A207"/>
      <c r="B207"/>
      <c r="C207"/>
      <c r="D207"/>
      <c r="E207"/>
      <c r="F207"/>
      <c r="G207"/>
    </row>
    <row r="208" spans="1:7" x14ac:dyDescent="0.3">
      <c r="A208"/>
      <c r="B208"/>
      <c r="C208"/>
      <c r="D208"/>
      <c r="E208"/>
      <c r="F208"/>
      <c r="G208"/>
    </row>
    <row r="209" spans="1:7" x14ac:dyDescent="0.3">
      <c r="A209"/>
      <c r="B209"/>
      <c r="C209"/>
      <c r="D209"/>
      <c r="E209"/>
      <c r="F209"/>
      <c r="G209"/>
    </row>
    <row r="210" spans="1:7" x14ac:dyDescent="0.3">
      <c r="A210"/>
      <c r="B210"/>
      <c r="C210"/>
      <c r="D210"/>
      <c r="E210"/>
      <c r="F210"/>
      <c r="G210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309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92" t="s">
        <v>160</v>
      </c>
      <c r="B3" s="93" t="s">
        <v>161</v>
      </c>
      <c r="C3" s="93" t="s">
        <v>162</v>
      </c>
      <c r="D3" s="93" t="s">
        <v>163</v>
      </c>
      <c r="E3" s="93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94" t="s">
        <v>310</v>
      </c>
      <c r="C4" s="95"/>
      <c r="D4" s="432">
        <v>1</v>
      </c>
      <c r="E4" s="432" t="s">
        <v>169</v>
      </c>
      <c r="F4" s="434">
        <f>H4</f>
        <v>21669.899999999998</v>
      </c>
      <c r="G4" s="436">
        <f>F4*D4</f>
        <v>21669.899999999998</v>
      </c>
      <c r="H4" s="48">
        <f>I4*'Prices without ATS'!$K$2</f>
        <v>21669.899999999998</v>
      </c>
      <c r="I4" s="88">
        <v>4249</v>
      </c>
      <c r="J4" s="88"/>
      <c r="K4" s="88"/>
    </row>
    <row r="5" spans="1:11" ht="18" customHeight="1" x14ac:dyDescent="0.3">
      <c r="A5" s="45" t="s">
        <v>171</v>
      </c>
      <c r="B5" s="96" t="s">
        <v>311</v>
      </c>
      <c r="C5" s="97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96" t="s">
        <v>174</v>
      </c>
      <c r="C6" s="98" t="s">
        <v>175</v>
      </c>
      <c r="D6" s="99">
        <v>8.3000000000000007</v>
      </c>
      <c r="E6" s="99" t="s">
        <v>176</v>
      </c>
      <c r="F6" s="100">
        <f>6.5/1.05</f>
        <v>6.1904761904761898</v>
      </c>
      <c r="G6" s="101">
        <f t="shared" ref="G6:G20" si="0">D6*F6</f>
        <v>51.38095238095238</v>
      </c>
    </row>
    <row r="7" spans="1:11" ht="18" customHeight="1" x14ac:dyDescent="0.3">
      <c r="A7" s="45" t="s">
        <v>177</v>
      </c>
      <c r="B7" s="96" t="s">
        <v>286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96" t="s">
        <v>287</v>
      </c>
      <c r="C8" s="102" t="s">
        <v>182</v>
      </c>
      <c r="D8" s="99">
        <v>5</v>
      </c>
      <c r="E8" s="99" t="s">
        <v>176</v>
      </c>
      <c r="F8" s="100">
        <f>2.9/1.05</f>
        <v>2.7619047619047619</v>
      </c>
      <c r="G8" s="101">
        <f t="shared" si="0"/>
        <v>13.80952380952381</v>
      </c>
    </row>
    <row r="9" spans="1:11" ht="18" customHeight="1" x14ac:dyDescent="0.3">
      <c r="A9" s="45" t="s">
        <v>183</v>
      </c>
      <c r="B9" s="103" t="s">
        <v>288</v>
      </c>
      <c r="C9" s="97" t="s">
        <v>289</v>
      </c>
      <c r="D9" s="104">
        <v>1</v>
      </c>
      <c r="E9" s="105" t="s">
        <v>169</v>
      </c>
      <c r="F9" s="106">
        <v>95.255904761904759</v>
      </c>
      <c r="G9" s="107">
        <f t="shared" si="0"/>
        <v>95.255904761904759</v>
      </c>
    </row>
    <row r="10" spans="1:11" ht="18" customHeight="1" x14ac:dyDescent="0.3">
      <c r="A10" s="45" t="s">
        <v>186</v>
      </c>
      <c r="B10" s="103" t="s">
        <v>187</v>
      </c>
      <c r="C10" s="97" t="s">
        <v>188</v>
      </c>
      <c r="D10" s="104">
        <v>1</v>
      </c>
      <c r="E10" s="105" t="s">
        <v>169</v>
      </c>
      <c r="F10" s="106">
        <v>565.43752380952378</v>
      </c>
      <c r="G10" s="107">
        <f t="shared" si="0"/>
        <v>565.43752380952378</v>
      </c>
    </row>
    <row r="11" spans="1:11" ht="18" customHeight="1" x14ac:dyDescent="0.3">
      <c r="A11" s="45" t="s">
        <v>189</v>
      </c>
      <c r="B11" s="103" t="s">
        <v>190</v>
      </c>
      <c r="C11" s="97" t="s">
        <v>191</v>
      </c>
      <c r="D11" s="104">
        <v>4</v>
      </c>
      <c r="E11" s="105" t="s">
        <v>169</v>
      </c>
      <c r="F11" s="106">
        <f>17.7/1.05</f>
        <v>16.857142857142854</v>
      </c>
      <c r="G11" s="107">
        <f t="shared" si="0"/>
        <v>67.428571428571416</v>
      </c>
    </row>
    <row r="12" spans="1:11" ht="18" customHeight="1" x14ac:dyDescent="0.3">
      <c r="A12" s="45" t="s">
        <v>192</v>
      </c>
      <c r="B12" s="96" t="s">
        <v>290</v>
      </c>
      <c r="C12" s="97" t="s">
        <v>188</v>
      </c>
      <c r="D12" s="104">
        <v>1</v>
      </c>
      <c r="E12" s="105" t="s">
        <v>169</v>
      </c>
      <c r="F12" s="106">
        <v>149.56904761904764</v>
      </c>
      <c r="G12" s="107">
        <f t="shared" si="0"/>
        <v>149.56904761904764</v>
      </c>
    </row>
    <row r="13" spans="1:11" ht="18" customHeight="1" x14ac:dyDescent="0.3">
      <c r="A13" s="45" t="s">
        <v>195</v>
      </c>
      <c r="B13" s="96" t="s">
        <v>291</v>
      </c>
      <c r="C13" s="97">
        <v>27010002</v>
      </c>
      <c r="D13" s="104">
        <v>1</v>
      </c>
      <c r="E13" s="105" t="s">
        <v>169</v>
      </c>
      <c r="F13" s="106">
        <v>825.70866666666666</v>
      </c>
      <c r="G13" s="107">
        <f t="shared" si="0"/>
        <v>825.70866666666666</v>
      </c>
    </row>
    <row r="14" spans="1:11" ht="18" customHeight="1" x14ac:dyDescent="0.3">
      <c r="A14" s="45" t="s">
        <v>197</v>
      </c>
      <c r="B14" s="96" t="s">
        <v>214</v>
      </c>
      <c r="C14" s="108" t="s">
        <v>215</v>
      </c>
      <c r="D14" s="109" t="s">
        <v>173</v>
      </c>
      <c r="E14" s="110" t="s">
        <v>169</v>
      </c>
      <c r="F14" s="106">
        <v>18</v>
      </c>
      <c r="G14" s="107">
        <f t="shared" si="0"/>
        <v>54</v>
      </c>
    </row>
    <row r="15" spans="1:11" ht="18" customHeight="1" x14ac:dyDescent="0.3">
      <c r="A15" s="45" t="s">
        <v>201</v>
      </c>
      <c r="B15" s="111" t="s">
        <v>202</v>
      </c>
      <c r="C15" s="108" t="s">
        <v>203</v>
      </c>
      <c r="D15" s="109">
        <v>7.5</v>
      </c>
      <c r="E15" s="112" t="s">
        <v>200</v>
      </c>
      <c r="F15" s="106">
        <v>13.8</v>
      </c>
      <c r="G15" s="107">
        <f t="shared" si="0"/>
        <v>103.5</v>
      </c>
    </row>
    <row r="16" spans="1:11" ht="18" customHeight="1" x14ac:dyDescent="0.3">
      <c r="A16" s="45" t="s">
        <v>204</v>
      </c>
      <c r="B16" s="96" t="s">
        <v>293</v>
      </c>
      <c r="C16" s="97" t="s">
        <v>294</v>
      </c>
      <c r="D16" s="104">
        <v>2</v>
      </c>
      <c r="E16" s="105" t="s">
        <v>169</v>
      </c>
      <c r="F16" s="106">
        <v>7</v>
      </c>
      <c r="G16" s="107">
        <f t="shared" si="0"/>
        <v>14</v>
      </c>
    </row>
    <row r="17" spans="1:7" ht="18" customHeight="1" x14ac:dyDescent="0.3">
      <c r="A17" s="45" t="s">
        <v>207</v>
      </c>
      <c r="B17" s="96" t="s">
        <v>308</v>
      </c>
      <c r="C17" s="108" t="s">
        <v>296</v>
      </c>
      <c r="D17" s="109" t="s">
        <v>167</v>
      </c>
      <c r="E17" s="105" t="s">
        <v>169</v>
      </c>
      <c r="F17" s="106">
        <v>102.3</v>
      </c>
      <c r="G17" s="113">
        <f t="shared" si="0"/>
        <v>102.3</v>
      </c>
    </row>
    <row r="18" spans="1:7" ht="18" customHeight="1" x14ac:dyDescent="0.3">
      <c r="A18" s="45" t="s">
        <v>210</v>
      </c>
      <c r="B18" s="110" t="s">
        <v>297</v>
      </c>
      <c r="C18" s="97" t="s">
        <v>298</v>
      </c>
      <c r="D18" s="104" t="s">
        <v>167</v>
      </c>
      <c r="E18" s="110" t="s">
        <v>169</v>
      </c>
      <c r="F18" s="106">
        <f>183.75/1.05</f>
        <v>175</v>
      </c>
      <c r="G18" s="113">
        <f t="shared" si="0"/>
        <v>175</v>
      </c>
    </row>
    <row r="19" spans="1:7" ht="18" customHeight="1" x14ac:dyDescent="0.3">
      <c r="A19" s="45" t="s">
        <v>213</v>
      </c>
      <c r="B19" s="114" t="s">
        <v>198</v>
      </c>
      <c r="C19" s="115" t="s">
        <v>199</v>
      </c>
      <c r="D19" s="109" t="s">
        <v>292</v>
      </c>
      <c r="E19" s="112" t="s">
        <v>200</v>
      </c>
      <c r="F19" s="106">
        <v>13.81</v>
      </c>
      <c r="G19" s="113">
        <f t="shared" si="0"/>
        <v>20.715</v>
      </c>
    </row>
    <row r="20" spans="1:7" ht="18" customHeight="1" x14ac:dyDescent="0.3">
      <c r="A20" s="45" t="s">
        <v>216</v>
      </c>
      <c r="B20" s="116" t="s">
        <v>299</v>
      </c>
      <c r="C20" s="115" t="s">
        <v>300</v>
      </c>
      <c r="D20" s="109">
        <v>0.8</v>
      </c>
      <c r="E20" s="110" t="s">
        <v>200</v>
      </c>
      <c r="F20" s="106">
        <v>8.8000000000000007</v>
      </c>
      <c r="G20" s="113">
        <f t="shared" si="0"/>
        <v>7.0400000000000009</v>
      </c>
    </row>
    <row r="21" spans="1:7" ht="18" customHeight="1" x14ac:dyDescent="0.3">
      <c r="A21" s="53" t="s">
        <v>219</v>
      </c>
      <c r="B21" s="96" t="s">
        <v>220</v>
      </c>
      <c r="C21" s="108" t="s">
        <v>188</v>
      </c>
      <c r="D21" s="109">
        <v>1</v>
      </c>
      <c r="E21" s="123" t="s">
        <v>169</v>
      </c>
      <c r="F21" s="124">
        <v>342.09</v>
      </c>
      <c r="G21" s="106">
        <f>D21*F21</f>
        <v>342.09</v>
      </c>
    </row>
    <row r="22" spans="1:7" ht="18" customHeight="1" x14ac:dyDescent="0.3">
      <c r="A22" s="45" t="s">
        <v>221</v>
      </c>
      <c r="B22" s="69" t="s">
        <v>222</v>
      </c>
      <c r="C22" s="47" t="s">
        <v>188</v>
      </c>
      <c r="D22" s="48">
        <v>1</v>
      </c>
      <c r="E22" s="67"/>
      <c r="F22" s="67">
        <f>H4*0.05</f>
        <v>1083.4949999999999</v>
      </c>
      <c r="G22" s="67">
        <f>F22*D22</f>
        <v>1083.4949999999999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5500/35</f>
        <v>157.14285714285714</v>
      </c>
      <c r="G23" s="68">
        <f>F23*D23</f>
        <v>157.14285714285714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758.44650000000001</v>
      </c>
      <c r="G24" s="68">
        <f>F24*D24</f>
        <v>758.44650000000001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3000/35</f>
        <v>85.714285714285708</v>
      </c>
      <c r="G25" s="72">
        <f>F25*D25</f>
        <v>85.714285714285708</v>
      </c>
    </row>
    <row r="26" spans="1:7" ht="18" customHeight="1" x14ac:dyDescent="0.3">
      <c r="A26" s="126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40" t="s">
        <v>265</v>
      </c>
      <c r="B27" s="441"/>
      <c r="C27" s="441"/>
      <c r="D27" s="441"/>
      <c r="E27" s="441"/>
      <c r="F27" s="442"/>
      <c r="G27" s="91">
        <f>SUM(G3:G26)</f>
        <v>26347.933833333333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100</v>
      </c>
      <c r="G46" s="84">
        <f>D46*F46</f>
        <v>100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1572.7285714285715</v>
      </c>
    </row>
    <row r="48" spans="1:7" ht="18" customHeight="1" thickBot="1" x14ac:dyDescent="0.35"/>
    <row r="49" spans="1:7" ht="18" hidden="1" customHeight="1" x14ac:dyDescent="0.3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27920.662404761904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  <row r="115" spans="1:7" x14ac:dyDescent="0.3">
      <c r="A115"/>
      <c r="B115"/>
      <c r="C115"/>
      <c r="D115"/>
      <c r="E115"/>
      <c r="F115"/>
      <c r="G115"/>
    </row>
    <row r="116" spans="1:7" x14ac:dyDescent="0.3">
      <c r="A116"/>
      <c r="B116"/>
      <c r="C116"/>
      <c r="D116"/>
      <c r="E116"/>
      <c r="F116"/>
      <c r="G116"/>
    </row>
    <row r="117" spans="1:7" x14ac:dyDescent="0.3">
      <c r="A117"/>
      <c r="B117"/>
      <c r="C117"/>
      <c r="D117"/>
      <c r="E117"/>
      <c r="F117"/>
      <c r="G117"/>
    </row>
    <row r="118" spans="1:7" x14ac:dyDescent="0.3">
      <c r="A118"/>
      <c r="B118"/>
      <c r="C118"/>
      <c r="D118"/>
      <c r="E118"/>
      <c r="F118"/>
      <c r="G118"/>
    </row>
    <row r="119" spans="1:7" x14ac:dyDescent="0.3">
      <c r="A119"/>
      <c r="B119"/>
      <c r="C119"/>
      <c r="D119"/>
      <c r="E119"/>
      <c r="F119"/>
      <c r="G119"/>
    </row>
    <row r="120" spans="1:7" x14ac:dyDescent="0.3">
      <c r="A120"/>
      <c r="B120"/>
      <c r="C120"/>
      <c r="D120"/>
      <c r="E120"/>
      <c r="F120"/>
      <c r="G120"/>
    </row>
    <row r="121" spans="1:7" x14ac:dyDescent="0.3">
      <c r="A121"/>
      <c r="B121"/>
      <c r="C121"/>
      <c r="D121"/>
      <c r="E121"/>
      <c r="F121"/>
      <c r="G121"/>
    </row>
    <row r="122" spans="1:7" x14ac:dyDescent="0.3">
      <c r="A122"/>
      <c r="B122"/>
      <c r="C122"/>
      <c r="D122"/>
      <c r="E122"/>
      <c r="F122"/>
      <c r="G122"/>
    </row>
    <row r="123" spans="1:7" x14ac:dyDescent="0.3">
      <c r="A123"/>
      <c r="B123"/>
      <c r="C123"/>
      <c r="D123"/>
      <c r="E123"/>
      <c r="F123"/>
      <c r="G123"/>
    </row>
    <row r="124" spans="1:7" x14ac:dyDescent="0.3">
      <c r="A124"/>
      <c r="B124"/>
      <c r="C124"/>
      <c r="D124"/>
      <c r="E124"/>
      <c r="F124"/>
      <c r="G124"/>
    </row>
    <row r="125" spans="1:7" x14ac:dyDescent="0.3">
      <c r="A125"/>
      <c r="B125"/>
      <c r="C125"/>
      <c r="D125"/>
      <c r="E125"/>
      <c r="F125"/>
      <c r="G125"/>
    </row>
    <row r="126" spans="1:7" x14ac:dyDescent="0.3">
      <c r="A126"/>
      <c r="B126"/>
      <c r="C126"/>
      <c r="D126"/>
      <c r="E126"/>
      <c r="F126"/>
      <c r="G126"/>
    </row>
    <row r="127" spans="1:7" x14ac:dyDescent="0.3">
      <c r="A127"/>
      <c r="B127"/>
      <c r="C127"/>
      <c r="D127"/>
      <c r="E127"/>
      <c r="F127"/>
      <c r="G127"/>
    </row>
    <row r="128" spans="1:7" x14ac:dyDescent="0.3">
      <c r="A128"/>
      <c r="B128"/>
      <c r="C128"/>
      <c r="D128"/>
      <c r="E128"/>
      <c r="F128"/>
      <c r="G128"/>
    </row>
    <row r="129" spans="1:7" x14ac:dyDescent="0.3">
      <c r="A129"/>
      <c r="B129"/>
      <c r="C129"/>
      <c r="D129"/>
      <c r="E129"/>
      <c r="F129"/>
      <c r="G129"/>
    </row>
    <row r="130" spans="1:7" x14ac:dyDescent="0.3">
      <c r="A130"/>
      <c r="B130"/>
      <c r="C130"/>
      <c r="D130"/>
      <c r="E130"/>
      <c r="F130"/>
      <c r="G130"/>
    </row>
    <row r="131" spans="1:7" x14ac:dyDescent="0.3">
      <c r="A131"/>
      <c r="B131"/>
      <c r="C131"/>
      <c r="D131"/>
      <c r="E131"/>
      <c r="F131"/>
      <c r="G131"/>
    </row>
    <row r="132" spans="1:7" x14ac:dyDescent="0.3">
      <c r="A132"/>
      <c r="B132"/>
      <c r="C132"/>
      <c r="D132"/>
      <c r="E132"/>
      <c r="F132"/>
      <c r="G132"/>
    </row>
    <row r="133" spans="1:7" x14ac:dyDescent="0.3">
      <c r="A133"/>
      <c r="B133"/>
      <c r="C133"/>
      <c r="D133"/>
      <c r="E133"/>
      <c r="F133"/>
      <c r="G133"/>
    </row>
    <row r="134" spans="1:7" x14ac:dyDescent="0.3">
      <c r="A134"/>
      <c r="B134"/>
      <c r="C134"/>
      <c r="D134"/>
      <c r="E134"/>
      <c r="F134"/>
      <c r="G134"/>
    </row>
    <row r="135" spans="1:7" x14ac:dyDescent="0.3">
      <c r="A135"/>
      <c r="B135"/>
      <c r="C135"/>
      <c r="D135"/>
      <c r="E135"/>
      <c r="F135"/>
      <c r="G135"/>
    </row>
    <row r="136" spans="1:7" x14ac:dyDescent="0.3">
      <c r="A136"/>
      <c r="B136"/>
      <c r="C136"/>
      <c r="D136"/>
      <c r="E136"/>
      <c r="F136"/>
      <c r="G136"/>
    </row>
    <row r="137" spans="1:7" x14ac:dyDescent="0.3">
      <c r="A137"/>
      <c r="B137"/>
      <c r="C137"/>
      <c r="D137"/>
      <c r="E137"/>
      <c r="F137"/>
      <c r="G137"/>
    </row>
    <row r="138" spans="1:7" x14ac:dyDescent="0.3">
      <c r="A138"/>
      <c r="B138"/>
      <c r="C138"/>
      <c r="D138"/>
      <c r="E138"/>
      <c r="F138"/>
      <c r="G138"/>
    </row>
    <row r="139" spans="1:7" x14ac:dyDescent="0.3">
      <c r="A139"/>
      <c r="B139"/>
      <c r="C139"/>
      <c r="D139"/>
      <c r="E139"/>
      <c r="F139"/>
      <c r="G139"/>
    </row>
    <row r="140" spans="1:7" x14ac:dyDescent="0.3">
      <c r="A140"/>
      <c r="B140"/>
      <c r="C140"/>
      <c r="D140"/>
      <c r="E140"/>
      <c r="F140"/>
      <c r="G140"/>
    </row>
    <row r="141" spans="1:7" x14ac:dyDescent="0.3">
      <c r="A141"/>
      <c r="B141"/>
      <c r="C141"/>
      <c r="D141"/>
      <c r="E141"/>
      <c r="F141"/>
      <c r="G141"/>
    </row>
    <row r="142" spans="1:7" x14ac:dyDescent="0.3">
      <c r="A142"/>
      <c r="B142"/>
      <c r="C142"/>
      <c r="D142"/>
      <c r="E142"/>
      <c r="F142"/>
      <c r="G142"/>
    </row>
    <row r="143" spans="1:7" x14ac:dyDescent="0.3">
      <c r="A143"/>
      <c r="B143"/>
      <c r="C143"/>
      <c r="D143"/>
      <c r="E143"/>
      <c r="F143"/>
      <c r="G143"/>
    </row>
    <row r="144" spans="1:7" x14ac:dyDescent="0.3">
      <c r="A144"/>
      <c r="B144"/>
      <c r="C144"/>
      <c r="D144"/>
      <c r="E144"/>
      <c r="F144"/>
      <c r="G144"/>
    </row>
    <row r="145" spans="1:7" x14ac:dyDescent="0.3">
      <c r="A145"/>
      <c r="B145"/>
      <c r="C145"/>
      <c r="D145"/>
      <c r="E145"/>
      <c r="F145"/>
      <c r="G145"/>
    </row>
    <row r="146" spans="1:7" x14ac:dyDescent="0.3">
      <c r="A146"/>
      <c r="B146"/>
      <c r="C146"/>
      <c r="D146"/>
      <c r="E146"/>
      <c r="F146"/>
      <c r="G146"/>
    </row>
    <row r="147" spans="1:7" x14ac:dyDescent="0.3">
      <c r="A147"/>
      <c r="B147"/>
      <c r="C147"/>
      <c r="D147"/>
      <c r="E147"/>
      <c r="F147"/>
      <c r="G147"/>
    </row>
    <row r="148" spans="1:7" x14ac:dyDescent="0.3">
      <c r="A148"/>
      <c r="B148"/>
      <c r="C148"/>
      <c r="D148"/>
      <c r="E148"/>
      <c r="F148"/>
      <c r="G148"/>
    </row>
    <row r="149" spans="1:7" x14ac:dyDescent="0.3">
      <c r="A149"/>
      <c r="B149"/>
      <c r="C149"/>
      <c r="D149"/>
      <c r="E149"/>
      <c r="F149"/>
      <c r="G149"/>
    </row>
    <row r="150" spans="1:7" x14ac:dyDescent="0.3">
      <c r="A150"/>
      <c r="B150"/>
      <c r="C150"/>
      <c r="D150"/>
      <c r="E150"/>
      <c r="F150"/>
      <c r="G150"/>
    </row>
    <row r="151" spans="1:7" x14ac:dyDescent="0.3">
      <c r="A151"/>
      <c r="B151"/>
      <c r="C151"/>
      <c r="D151"/>
      <c r="E151"/>
      <c r="F151"/>
      <c r="G151"/>
    </row>
    <row r="152" spans="1:7" x14ac:dyDescent="0.3">
      <c r="A152"/>
      <c r="B152"/>
      <c r="C152"/>
      <c r="D152"/>
      <c r="E152"/>
      <c r="F152"/>
      <c r="G152"/>
    </row>
    <row r="153" spans="1:7" x14ac:dyDescent="0.3">
      <c r="A153"/>
      <c r="B153"/>
      <c r="C153"/>
      <c r="D153"/>
      <c r="E153"/>
      <c r="F153"/>
      <c r="G153"/>
    </row>
    <row r="154" spans="1:7" x14ac:dyDescent="0.3">
      <c r="A154"/>
      <c r="B154"/>
      <c r="C154"/>
      <c r="D154"/>
      <c r="E154"/>
      <c r="F154"/>
      <c r="G154"/>
    </row>
    <row r="155" spans="1:7" x14ac:dyDescent="0.3">
      <c r="A155"/>
      <c r="B155"/>
      <c r="C155"/>
      <c r="D155"/>
      <c r="E155"/>
      <c r="F155"/>
      <c r="G155"/>
    </row>
    <row r="156" spans="1:7" x14ac:dyDescent="0.3">
      <c r="A156"/>
      <c r="B156"/>
      <c r="C156"/>
      <c r="D156"/>
      <c r="E156"/>
      <c r="F156"/>
      <c r="G156"/>
    </row>
    <row r="157" spans="1:7" x14ac:dyDescent="0.3">
      <c r="A157"/>
      <c r="B157"/>
      <c r="C157"/>
      <c r="D157"/>
      <c r="E157"/>
      <c r="F157"/>
      <c r="G157"/>
    </row>
    <row r="158" spans="1:7" x14ac:dyDescent="0.3">
      <c r="A158"/>
      <c r="B158"/>
      <c r="C158"/>
      <c r="D158"/>
      <c r="E158"/>
      <c r="F158"/>
      <c r="G158"/>
    </row>
    <row r="159" spans="1:7" x14ac:dyDescent="0.3">
      <c r="A159"/>
      <c r="B159"/>
      <c r="C159"/>
      <c r="D159"/>
      <c r="E159"/>
      <c r="F159"/>
      <c r="G159"/>
    </row>
    <row r="160" spans="1:7" x14ac:dyDescent="0.3">
      <c r="A160"/>
      <c r="B160"/>
      <c r="C160"/>
      <c r="D160"/>
      <c r="E160"/>
      <c r="F160"/>
      <c r="G160"/>
    </row>
    <row r="161" spans="1:7" x14ac:dyDescent="0.3">
      <c r="A161"/>
      <c r="B161"/>
      <c r="C161"/>
      <c r="D161"/>
      <c r="E161"/>
      <c r="F161"/>
      <c r="G161"/>
    </row>
    <row r="162" spans="1:7" x14ac:dyDescent="0.3">
      <c r="A162"/>
      <c r="B162"/>
      <c r="C162"/>
      <c r="D162"/>
      <c r="E162"/>
      <c r="F162"/>
      <c r="G162"/>
    </row>
    <row r="163" spans="1:7" x14ac:dyDescent="0.3">
      <c r="A163"/>
      <c r="B163"/>
      <c r="C163"/>
      <c r="D163"/>
      <c r="E163"/>
      <c r="F163"/>
      <c r="G163"/>
    </row>
    <row r="164" spans="1:7" x14ac:dyDescent="0.3">
      <c r="A164"/>
      <c r="B164"/>
      <c r="C164"/>
      <c r="D164"/>
      <c r="E164"/>
      <c r="F164"/>
      <c r="G164"/>
    </row>
    <row r="165" spans="1:7" x14ac:dyDescent="0.3">
      <c r="A165"/>
      <c r="B165"/>
      <c r="C165"/>
      <c r="D165"/>
      <c r="E165"/>
      <c r="F165"/>
      <c r="G165"/>
    </row>
    <row r="166" spans="1:7" x14ac:dyDescent="0.3">
      <c r="A166"/>
      <c r="B166"/>
      <c r="C166"/>
      <c r="D166"/>
      <c r="E166"/>
      <c r="F166"/>
      <c r="G166"/>
    </row>
    <row r="167" spans="1:7" x14ac:dyDescent="0.3">
      <c r="A167"/>
      <c r="B167"/>
      <c r="C167"/>
      <c r="D167"/>
      <c r="E167"/>
      <c r="F167"/>
      <c r="G167"/>
    </row>
    <row r="168" spans="1:7" x14ac:dyDescent="0.3">
      <c r="A168"/>
      <c r="B168"/>
      <c r="C168"/>
      <c r="D168"/>
      <c r="E168"/>
      <c r="F168"/>
      <c r="G168"/>
    </row>
    <row r="169" spans="1:7" x14ac:dyDescent="0.3">
      <c r="A169"/>
      <c r="B169"/>
      <c r="C169"/>
      <c r="D169"/>
      <c r="E169"/>
      <c r="F169"/>
      <c r="G169"/>
    </row>
    <row r="170" spans="1:7" x14ac:dyDescent="0.3">
      <c r="A170"/>
      <c r="B170"/>
      <c r="C170"/>
      <c r="D170"/>
      <c r="E170"/>
      <c r="F170"/>
      <c r="G170"/>
    </row>
    <row r="171" spans="1:7" x14ac:dyDescent="0.3">
      <c r="A171"/>
      <c r="B171"/>
      <c r="C171"/>
      <c r="D171"/>
      <c r="E171"/>
      <c r="F171"/>
      <c r="G171"/>
    </row>
    <row r="172" spans="1:7" x14ac:dyDescent="0.3">
      <c r="A172"/>
      <c r="B172"/>
      <c r="C172"/>
      <c r="D172"/>
      <c r="E172"/>
      <c r="F172"/>
      <c r="G172"/>
    </row>
    <row r="173" spans="1:7" x14ac:dyDescent="0.3">
      <c r="A173"/>
      <c r="B173"/>
      <c r="C173"/>
      <c r="D173"/>
      <c r="E173"/>
      <c r="F173"/>
      <c r="G173"/>
    </row>
    <row r="174" spans="1:7" x14ac:dyDescent="0.3">
      <c r="A174"/>
      <c r="B174"/>
      <c r="C174"/>
      <c r="D174"/>
      <c r="E174"/>
      <c r="F174"/>
      <c r="G174"/>
    </row>
    <row r="175" spans="1:7" x14ac:dyDescent="0.3">
      <c r="A175"/>
      <c r="B175"/>
      <c r="C175"/>
      <c r="D175"/>
      <c r="E175"/>
      <c r="F175"/>
      <c r="G175"/>
    </row>
    <row r="176" spans="1:7" x14ac:dyDescent="0.3">
      <c r="A176"/>
      <c r="B176"/>
      <c r="C176"/>
      <c r="D176"/>
      <c r="E176"/>
      <c r="F176"/>
      <c r="G176"/>
    </row>
    <row r="177" spans="1:7" x14ac:dyDescent="0.3">
      <c r="A177"/>
      <c r="B177"/>
      <c r="C177"/>
      <c r="D177"/>
      <c r="E177"/>
      <c r="F177"/>
      <c r="G177"/>
    </row>
    <row r="178" spans="1:7" x14ac:dyDescent="0.3">
      <c r="A178"/>
      <c r="B178"/>
      <c r="C178"/>
      <c r="D178"/>
      <c r="E178"/>
      <c r="F178"/>
      <c r="G178"/>
    </row>
    <row r="179" spans="1:7" x14ac:dyDescent="0.3">
      <c r="A179"/>
      <c r="B179"/>
      <c r="C179"/>
      <c r="D179"/>
      <c r="E179"/>
      <c r="F179"/>
      <c r="G179"/>
    </row>
    <row r="180" spans="1:7" x14ac:dyDescent="0.3">
      <c r="A180"/>
      <c r="B180"/>
      <c r="C180"/>
      <c r="D180"/>
      <c r="E180"/>
      <c r="F180"/>
      <c r="G180"/>
    </row>
    <row r="181" spans="1:7" x14ac:dyDescent="0.3">
      <c r="A181"/>
      <c r="B181"/>
      <c r="C181"/>
      <c r="D181"/>
      <c r="E181"/>
      <c r="F181"/>
      <c r="G181"/>
    </row>
    <row r="182" spans="1:7" x14ac:dyDescent="0.3">
      <c r="A182"/>
      <c r="B182"/>
      <c r="C182"/>
      <c r="D182"/>
      <c r="E182"/>
      <c r="F182"/>
      <c r="G182"/>
    </row>
    <row r="183" spans="1:7" x14ac:dyDescent="0.3">
      <c r="A183"/>
      <c r="B183"/>
      <c r="C183"/>
      <c r="D183"/>
      <c r="E183"/>
      <c r="F183"/>
      <c r="G183"/>
    </row>
    <row r="184" spans="1:7" x14ac:dyDescent="0.3">
      <c r="A184"/>
      <c r="B184"/>
      <c r="C184"/>
      <c r="D184"/>
      <c r="E184"/>
      <c r="F184"/>
      <c r="G184"/>
    </row>
    <row r="185" spans="1:7" x14ac:dyDescent="0.3">
      <c r="A185"/>
      <c r="B185"/>
      <c r="C185"/>
      <c r="D185"/>
      <c r="E185"/>
      <c r="F185"/>
      <c r="G185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312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130" t="s">
        <v>313</v>
      </c>
      <c r="C4" s="131"/>
      <c r="D4" s="432">
        <v>1</v>
      </c>
      <c r="E4" s="432" t="s">
        <v>169</v>
      </c>
      <c r="F4" s="434">
        <f>H4</f>
        <v>21975.899999999998</v>
      </c>
      <c r="G4" s="436">
        <f>F4*D4</f>
        <v>21975.899999999998</v>
      </c>
      <c r="H4" s="48">
        <f>I4*'Prices without ATS'!$K$2</f>
        <v>21975.899999999998</v>
      </c>
      <c r="I4" s="88">
        <v>4309</v>
      </c>
      <c r="J4" s="88"/>
      <c r="K4" s="88"/>
    </row>
    <row r="5" spans="1:11" ht="18" customHeight="1" x14ac:dyDescent="0.3">
      <c r="A5" s="45" t="s">
        <v>171</v>
      </c>
      <c r="B5" s="132" t="s">
        <v>314</v>
      </c>
      <c r="C5" s="133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132" t="s">
        <v>174</v>
      </c>
      <c r="C6" s="98" t="s">
        <v>175</v>
      </c>
      <c r="D6" s="99">
        <v>8.3000000000000007</v>
      </c>
      <c r="E6" s="99" t="s">
        <v>176</v>
      </c>
      <c r="F6" s="100">
        <f>6.5/1.05</f>
        <v>6.1904761904761898</v>
      </c>
      <c r="G6" s="101">
        <f t="shared" ref="G6:G20" si="0">D6*F6</f>
        <v>51.38095238095238</v>
      </c>
    </row>
    <row r="7" spans="1:11" ht="18" customHeight="1" x14ac:dyDescent="0.3">
      <c r="A7" s="45" t="s">
        <v>177</v>
      </c>
      <c r="B7" s="132" t="s">
        <v>315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132" t="s">
        <v>316</v>
      </c>
      <c r="C8" s="102" t="s">
        <v>182</v>
      </c>
      <c r="D8" s="99">
        <v>6</v>
      </c>
      <c r="E8" s="99" t="s">
        <v>176</v>
      </c>
      <c r="F8" s="100">
        <f>2.9/1.05</f>
        <v>2.7619047619047619</v>
      </c>
      <c r="G8" s="101">
        <f t="shared" si="0"/>
        <v>16.571428571428569</v>
      </c>
    </row>
    <row r="9" spans="1:11" ht="18" customHeight="1" x14ac:dyDescent="0.3">
      <c r="A9" s="45" t="s">
        <v>183</v>
      </c>
      <c r="B9" s="134" t="s">
        <v>317</v>
      </c>
      <c r="C9" s="133">
        <v>24010006</v>
      </c>
      <c r="D9" s="105">
        <v>1</v>
      </c>
      <c r="E9" s="105" t="s">
        <v>169</v>
      </c>
      <c r="F9" s="106">
        <v>95.255904761904759</v>
      </c>
      <c r="G9" s="107">
        <f t="shared" si="0"/>
        <v>95.255904761904759</v>
      </c>
    </row>
    <row r="10" spans="1:11" ht="18" customHeight="1" x14ac:dyDescent="0.3">
      <c r="A10" s="45" t="s">
        <v>186</v>
      </c>
      <c r="B10" s="134" t="s">
        <v>187</v>
      </c>
      <c r="C10" s="133" t="s">
        <v>188</v>
      </c>
      <c r="D10" s="105">
        <v>1</v>
      </c>
      <c r="E10" s="105" t="s">
        <v>169</v>
      </c>
      <c r="F10" s="106">
        <v>785.10952380952381</v>
      </c>
      <c r="G10" s="107">
        <f t="shared" si="0"/>
        <v>785.10952380952381</v>
      </c>
    </row>
    <row r="11" spans="1:11" ht="18" customHeight="1" x14ac:dyDescent="0.3">
      <c r="A11" s="45" t="s">
        <v>189</v>
      </c>
      <c r="B11" s="134" t="s">
        <v>318</v>
      </c>
      <c r="C11" s="133" t="s">
        <v>319</v>
      </c>
      <c r="D11" s="105">
        <v>4</v>
      </c>
      <c r="E11" s="105" t="s">
        <v>169</v>
      </c>
      <c r="F11" s="106">
        <f>17.72/1.05</f>
        <v>16.876190476190473</v>
      </c>
      <c r="G11" s="107">
        <f t="shared" si="0"/>
        <v>67.504761904761892</v>
      </c>
    </row>
    <row r="12" spans="1:11" ht="18" customHeight="1" x14ac:dyDescent="0.3">
      <c r="A12" s="45" t="s">
        <v>192</v>
      </c>
      <c r="B12" s="132" t="s">
        <v>291</v>
      </c>
      <c r="C12" s="135">
        <v>27010002</v>
      </c>
      <c r="D12" s="105">
        <v>1</v>
      </c>
      <c r="E12" s="105" t="s">
        <v>169</v>
      </c>
      <c r="F12" s="106">
        <v>825.70866666666666</v>
      </c>
      <c r="G12" s="107">
        <f t="shared" si="0"/>
        <v>825.70866666666666</v>
      </c>
    </row>
    <row r="13" spans="1:11" ht="18" customHeight="1" x14ac:dyDescent="0.3">
      <c r="A13" s="45" t="s">
        <v>195</v>
      </c>
      <c r="B13" s="132" t="s">
        <v>290</v>
      </c>
      <c r="C13" s="133">
        <v>27010002</v>
      </c>
      <c r="D13" s="105">
        <v>1</v>
      </c>
      <c r="E13" s="105" t="s">
        <v>169</v>
      </c>
      <c r="F13" s="106">
        <v>149.56904761904764</v>
      </c>
      <c r="G13" s="107">
        <f t="shared" si="0"/>
        <v>149.56904761904764</v>
      </c>
    </row>
    <row r="14" spans="1:11" ht="18" customHeight="1" x14ac:dyDescent="0.3">
      <c r="A14" s="45" t="s">
        <v>197</v>
      </c>
      <c r="B14" s="136" t="s">
        <v>320</v>
      </c>
      <c r="C14" s="96" t="s">
        <v>321</v>
      </c>
      <c r="D14" s="110" t="s">
        <v>173</v>
      </c>
      <c r="E14" s="110" t="s">
        <v>169</v>
      </c>
      <c r="F14" s="106">
        <v>18</v>
      </c>
      <c r="G14" s="107">
        <f t="shared" si="0"/>
        <v>54</v>
      </c>
    </row>
    <row r="15" spans="1:11" ht="18" customHeight="1" x14ac:dyDescent="0.3">
      <c r="A15" s="45" t="s">
        <v>201</v>
      </c>
      <c r="B15" s="136" t="s">
        <v>293</v>
      </c>
      <c r="C15" s="96" t="s">
        <v>294</v>
      </c>
      <c r="D15" s="105">
        <v>2</v>
      </c>
      <c r="E15" s="105" t="s">
        <v>169</v>
      </c>
      <c r="F15" s="106">
        <v>7</v>
      </c>
      <c r="G15" s="107">
        <f t="shared" si="0"/>
        <v>14</v>
      </c>
    </row>
    <row r="16" spans="1:11" ht="18" customHeight="1" x14ac:dyDescent="0.3">
      <c r="A16" s="45" t="s">
        <v>204</v>
      </c>
      <c r="B16" s="136" t="s">
        <v>322</v>
      </c>
      <c r="C16" s="96" t="s">
        <v>323</v>
      </c>
      <c r="D16" s="110" t="s">
        <v>167</v>
      </c>
      <c r="E16" s="105" t="s">
        <v>169</v>
      </c>
      <c r="F16" s="106">
        <v>257.92</v>
      </c>
      <c r="G16" s="113">
        <f t="shared" si="0"/>
        <v>257.92</v>
      </c>
    </row>
    <row r="17" spans="1:7" ht="18" customHeight="1" x14ac:dyDescent="0.3">
      <c r="A17" s="45" t="s">
        <v>207</v>
      </c>
      <c r="B17" s="137" t="s">
        <v>297</v>
      </c>
      <c r="C17" s="97" t="s">
        <v>298</v>
      </c>
      <c r="D17" s="112" t="s">
        <v>167</v>
      </c>
      <c r="E17" s="110" t="s">
        <v>169</v>
      </c>
      <c r="F17" s="106">
        <f>183.75/1.05</f>
        <v>175</v>
      </c>
      <c r="G17" s="113">
        <f t="shared" si="0"/>
        <v>175</v>
      </c>
    </row>
    <row r="18" spans="1:7" ht="18" customHeight="1" x14ac:dyDescent="0.3">
      <c r="A18" s="45" t="s">
        <v>210</v>
      </c>
      <c r="B18" s="138" t="s">
        <v>198</v>
      </c>
      <c r="C18" s="139">
        <v>1010061</v>
      </c>
      <c r="D18" s="110" t="s">
        <v>292</v>
      </c>
      <c r="E18" s="112" t="s">
        <v>200</v>
      </c>
      <c r="F18" s="106">
        <v>13.81</v>
      </c>
      <c r="G18" s="113">
        <f t="shared" si="0"/>
        <v>20.715</v>
      </c>
    </row>
    <row r="19" spans="1:7" ht="18" customHeight="1" x14ac:dyDescent="0.3">
      <c r="A19" s="45" t="s">
        <v>213</v>
      </c>
      <c r="B19" s="140" t="s">
        <v>299</v>
      </c>
      <c r="C19" s="139">
        <v>1010035</v>
      </c>
      <c r="D19" s="110">
        <v>0.8</v>
      </c>
      <c r="E19" s="110" t="s">
        <v>200</v>
      </c>
      <c r="F19" s="106">
        <v>8.8000000000000007</v>
      </c>
      <c r="G19" s="113">
        <f t="shared" si="0"/>
        <v>7.0400000000000009</v>
      </c>
    </row>
    <row r="20" spans="1:7" ht="18" customHeight="1" x14ac:dyDescent="0.3">
      <c r="A20" s="45" t="s">
        <v>216</v>
      </c>
      <c r="B20" s="141" t="s">
        <v>202</v>
      </c>
      <c r="C20" s="96" t="s">
        <v>203</v>
      </c>
      <c r="D20" s="142" t="s">
        <v>324</v>
      </c>
      <c r="E20" s="110" t="s">
        <v>200</v>
      </c>
      <c r="F20" s="124">
        <v>13.8</v>
      </c>
      <c r="G20" s="113">
        <f t="shared" si="0"/>
        <v>103.5</v>
      </c>
    </row>
    <row r="21" spans="1:7" ht="18" customHeight="1" x14ac:dyDescent="0.3">
      <c r="A21" s="53" t="s">
        <v>219</v>
      </c>
      <c r="B21" s="143" t="s">
        <v>220</v>
      </c>
      <c r="C21" s="144" t="s">
        <v>188</v>
      </c>
      <c r="D21" s="145">
        <v>1</v>
      </c>
      <c r="E21" s="146" t="s">
        <v>169</v>
      </c>
      <c r="F21" s="147">
        <v>342.09</v>
      </c>
      <c r="G21" s="148">
        <f>D21*F21</f>
        <v>342.09</v>
      </c>
    </row>
    <row r="22" spans="1:7" ht="18" customHeight="1" x14ac:dyDescent="0.3">
      <c r="A22" s="45" t="s">
        <v>221</v>
      </c>
      <c r="B22" s="69" t="s">
        <v>222</v>
      </c>
      <c r="C22" s="47" t="s">
        <v>188</v>
      </c>
      <c r="D22" s="48">
        <v>1</v>
      </c>
      <c r="E22" s="67"/>
      <c r="F22" s="67">
        <f>H4*0.05</f>
        <v>1098.7949999999998</v>
      </c>
      <c r="G22" s="68">
        <f>F22*D22</f>
        <v>1098.7949999999998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5500/28</f>
        <v>196.42857142857142</v>
      </c>
      <c r="G23" s="68">
        <f>F23*D23</f>
        <v>196.42857142857142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769.15650000000005</v>
      </c>
      <c r="G24" s="68">
        <f>F24*D24</f>
        <v>769.15650000000005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3000/28</f>
        <v>107.14285714285714</v>
      </c>
      <c r="G25" s="72">
        <f>F25*D25</f>
        <v>107.14285714285714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SUM(G4:G26)</f>
        <v>27118.788214285709</v>
      </c>
    </row>
    <row r="28" spans="1:7" ht="18" customHeight="1" thickBot="1" x14ac:dyDescent="0.35"/>
    <row r="29" spans="1:7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500</v>
      </c>
      <c r="G33" s="51">
        <f>D33*F33</f>
        <v>500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49">
        <v>700</v>
      </c>
      <c r="G34" s="51">
        <f t="shared" ref="G34:G46" si="1">D34*F34</f>
        <v>700</v>
      </c>
    </row>
    <row r="35" spans="1:7" ht="18" customHeight="1" x14ac:dyDescent="0.3">
      <c r="A35" s="82">
        <v>4</v>
      </c>
      <c r="B35" s="46" t="s">
        <v>326</v>
      </c>
      <c r="C35" s="47" t="s">
        <v>327</v>
      </c>
      <c r="D35" s="49">
        <v>1</v>
      </c>
      <c r="E35" s="49" t="s">
        <v>169</v>
      </c>
      <c r="F35" s="49">
        <f>1920.88</f>
        <v>1920.88</v>
      </c>
      <c r="G35" s="153">
        <f t="shared" si="1"/>
        <v>1920.88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5</v>
      </c>
      <c r="E41" s="49" t="s">
        <v>169</v>
      </c>
      <c r="F41" s="49">
        <v>42.76</v>
      </c>
      <c r="G41" s="51">
        <f t="shared" si="1"/>
        <v>213.79999999999998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100</v>
      </c>
      <c r="G47" s="84">
        <f>D47*F47</f>
        <v>100</v>
      </c>
    </row>
    <row r="48" spans="1:7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3730.4085714285716</v>
      </c>
    </row>
    <row r="49" spans="1:7" ht="18" customHeight="1" thickBot="1" x14ac:dyDescent="0.35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30849.196785714281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</sheetData>
  <mergeCells count="9">
    <mergeCell ref="A29:G29"/>
    <mergeCell ref="A48:F48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332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130" t="s">
        <v>333</v>
      </c>
      <c r="C4" s="154"/>
      <c r="D4" s="432">
        <v>1</v>
      </c>
      <c r="E4" s="432" t="s">
        <v>169</v>
      </c>
      <c r="F4" s="434">
        <f>H4</f>
        <v>24301.5</v>
      </c>
      <c r="G4" s="436">
        <f>F4*D4</f>
        <v>24301.5</v>
      </c>
      <c r="H4" s="48">
        <f>I4*'Prices without ATS'!$K$2</f>
        <v>24301.5</v>
      </c>
      <c r="I4" s="88">
        <v>4765</v>
      </c>
      <c r="J4" s="88"/>
      <c r="K4" s="88"/>
    </row>
    <row r="5" spans="1:11" ht="18" customHeight="1" x14ac:dyDescent="0.3">
      <c r="A5" s="45" t="s">
        <v>171</v>
      </c>
      <c r="B5" s="132" t="s">
        <v>334</v>
      </c>
      <c r="C5" s="135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132" t="s">
        <v>174</v>
      </c>
      <c r="C6" s="98" t="s">
        <v>175</v>
      </c>
      <c r="D6" s="99">
        <v>8.3000000000000007</v>
      </c>
      <c r="E6" s="99" t="s">
        <v>176</v>
      </c>
      <c r="F6" s="100">
        <f>6.5/1.05</f>
        <v>6.1904761904761898</v>
      </c>
      <c r="G6" s="101">
        <f t="shared" ref="G6:G21" si="0">D6*F6</f>
        <v>51.38095238095238</v>
      </c>
    </row>
    <row r="7" spans="1:11" ht="18" customHeight="1" x14ac:dyDescent="0.3">
      <c r="A7" s="45" t="s">
        <v>177</v>
      </c>
      <c r="B7" s="132" t="s">
        <v>315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132" t="s">
        <v>316</v>
      </c>
      <c r="C8" s="102" t="s">
        <v>182</v>
      </c>
      <c r="D8" s="99">
        <v>6</v>
      </c>
      <c r="E8" s="99" t="s">
        <v>176</v>
      </c>
      <c r="F8" s="100">
        <f>2.9/1.05</f>
        <v>2.7619047619047619</v>
      </c>
      <c r="G8" s="101">
        <f t="shared" si="0"/>
        <v>16.571428571428569</v>
      </c>
    </row>
    <row r="9" spans="1:11" ht="18" customHeight="1" x14ac:dyDescent="0.3">
      <c r="A9" s="45" t="s">
        <v>183</v>
      </c>
      <c r="B9" s="134" t="s">
        <v>317</v>
      </c>
      <c r="C9" s="135">
        <v>24010006</v>
      </c>
      <c r="D9" s="105">
        <v>1</v>
      </c>
      <c r="E9" s="105" t="s">
        <v>169</v>
      </c>
      <c r="F9" s="106">
        <v>95.255904761904759</v>
      </c>
      <c r="G9" s="107">
        <f t="shared" si="0"/>
        <v>95.255904761904759</v>
      </c>
    </row>
    <row r="10" spans="1:11" ht="18" customHeight="1" x14ac:dyDescent="0.3">
      <c r="A10" s="45" t="s">
        <v>186</v>
      </c>
      <c r="B10" s="134" t="s">
        <v>187</v>
      </c>
      <c r="C10" s="135" t="s">
        <v>188</v>
      </c>
      <c r="D10" s="105">
        <v>1</v>
      </c>
      <c r="E10" s="105" t="s">
        <v>169</v>
      </c>
      <c r="F10" s="106">
        <v>785.10952380952381</v>
      </c>
      <c r="G10" s="107">
        <f t="shared" si="0"/>
        <v>785.10952380952381</v>
      </c>
    </row>
    <row r="11" spans="1:11" ht="18" customHeight="1" x14ac:dyDescent="0.3">
      <c r="A11" s="45" t="s">
        <v>189</v>
      </c>
      <c r="B11" s="134" t="s">
        <v>318</v>
      </c>
      <c r="C11" s="135" t="s">
        <v>319</v>
      </c>
      <c r="D11" s="105">
        <v>4</v>
      </c>
      <c r="E11" s="105" t="s">
        <v>169</v>
      </c>
      <c r="F11" s="106">
        <f>17.72/1.05</f>
        <v>16.876190476190473</v>
      </c>
      <c r="G11" s="107">
        <f t="shared" si="0"/>
        <v>67.504761904761892</v>
      </c>
    </row>
    <row r="12" spans="1:11" ht="18" customHeight="1" x14ac:dyDescent="0.3">
      <c r="A12" s="45" t="s">
        <v>192</v>
      </c>
      <c r="B12" s="132" t="s">
        <v>291</v>
      </c>
      <c r="C12" s="135">
        <v>27010002</v>
      </c>
      <c r="D12" s="105">
        <v>1</v>
      </c>
      <c r="E12" s="105" t="s">
        <v>169</v>
      </c>
      <c r="F12" s="106">
        <v>825.70866666666666</v>
      </c>
      <c r="G12" s="107">
        <f t="shared" si="0"/>
        <v>825.70866666666666</v>
      </c>
    </row>
    <row r="13" spans="1:11" ht="18" customHeight="1" x14ac:dyDescent="0.3">
      <c r="A13" s="45" t="s">
        <v>195</v>
      </c>
      <c r="B13" s="132" t="s">
        <v>290</v>
      </c>
      <c r="C13" s="135" t="s">
        <v>188</v>
      </c>
      <c r="D13" s="105">
        <v>1</v>
      </c>
      <c r="E13" s="105" t="s">
        <v>169</v>
      </c>
      <c r="F13" s="106">
        <v>149.56904761904764</v>
      </c>
      <c r="G13" s="107">
        <f t="shared" si="0"/>
        <v>149.56904761904764</v>
      </c>
    </row>
    <row r="14" spans="1:11" ht="18" customHeight="1" x14ac:dyDescent="0.3">
      <c r="A14" s="45" t="s">
        <v>197</v>
      </c>
      <c r="B14" s="136" t="s">
        <v>320</v>
      </c>
      <c r="C14" s="97" t="s">
        <v>321</v>
      </c>
      <c r="D14" s="110" t="s">
        <v>173</v>
      </c>
      <c r="E14" s="110" t="s">
        <v>169</v>
      </c>
      <c r="F14" s="106">
        <v>18</v>
      </c>
      <c r="G14" s="107">
        <f t="shared" si="0"/>
        <v>54</v>
      </c>
    </row>
    <row r="15" spans="1:11" ht="18" customHeight="1" x14ac:dyDescent="0.3">
      <c r="A15" s="45" t="s">
        <v>201</v>
      </c>
      <c r="B15" s="136" t="s">
        <v>293</v>
      </c>
      <c r="C15" s="97" t="s">
        <v>294</v>
      </c>
      <c r="D15" s="105">
        <v>2</v>
      </c>
      <c r="E15" s="105" t="s">
        <v>169</v>
      </c>
      <c r="F15" s="106">
        <v>7</v>
      </c>
      <c r="G15" s="107">
        <f t="shared" si="0"/>
        <v>14</v>
      </c>
    </row>
    <row r="16" spans="1:11" ht="18" customHeight="1" x14ac:dyDescent="0.3">
      <c r="A16" s="45" t="s">
        <v>204</v>
      </c>
      <c r="B16" s="136" t="s">
        <v>335</v>
      </c>
      <c r="C16" s="97" t="s">
        <v>323</v>
      </c>
      <c r="D16" s="110" t="s">
        <v>167</v>
      </c>
      <c r="E16" s="105" t="s">
        <v>169</v>
      </c>
      <c r="F16" s="106">
        <v>257.92</v>
      </c>
      <c r="G16" s="113">
        <f t="shared" si="0"/>
        <v>257.92</v>
      </c>
    </row>
    <row r="17" spans="1:7" ht="18" customHeight="1" x14ac:dyDescent="0.3">
      <c r="A17" s="45" t="s">
        <v>207</v>
      </c>
      <c r="B17" s="137" t="s">
        <v>297</v>
      </c>
      <c r="C17" s="97" t="s">
        <v>298</v>
      </c>
      <c r="D17" s="112" t="s">
        <v>167</v>
      </c>
      <c r="E17" s="110" t="s">
        <v>169</v>
      </c>
      <c r="F17" s="106">
        <f>183.75/1.05</f>
        <v>175</v>
      </c>
      <c r="G17" s="113">
        <f t="shared" si="0"/>
        <v>175</v>
      </c>
    </row>
    <row r="18" spans="1:7" ht="18" customHeight="1" x14ac:dyDescent="0.3">
      <c r="A18" s="45" t="s">
        <v>210</v>
      </c>
      <c r="B18" s="138" t="s">
        <v>198</v>
      </c>
      <c r="C18" s="115" t="s">
        <v>199</v>
      </c>
      <c r="D18" s="110" t="s">
        <v>292</v>
      </c>
      <c r="E18" s="112" t="s">
        <v>200</v>
      </c>
      <c r="F18" s="106">
        <v>13.81</v>
      </c>
      <c r="G18" s="113">
        <f t="shared" si="0"/>
        <v>20.715</v>
      </c>
    </row>
    <row r="19" spans="1:7" ht="18" customHeight="1" x14ac:dyDescent="0.3">
      <c r="A19" s="45" t="s">
        <v>213</v>
      </c>
      <c r="B19" s="140" t="s">
        <v>299</v>
      </c>
      <c r="C19" s="115" t="s">
        <v>300</v>
      </c>
      <c r="D19" s="110">
        <v>0.8</v>
      </c>
      <c r="E19" s="110" t="s">
        <v>200</v>
      </c>
      <c r="F19" s="106">
        <v>8.8000000000000007</v>
      </c>
      <c r="G19" s="113">
        <f t="shared" si="0"/>
        <v>7.0400000000000009</v>
      </c>
    </row>
    <row r="20" spans="1:7" ht="18" customHeight="1" x14ac:dyDescent="0.3">
      <c r="A20" s="45" t="s">
        <v>216</v>
      </c>
      <c r="B20" s="141" t="s">
        <v>202</v>
      </c>
      <c r="C20" s="97" t="s">
        <v>203</v>
      </c>
      <c r="D20" s="142" t="s">
        <v>324</v>
      </c>
      <c r="E20" s="110" t="s">
        <v>200</v>
      </c>
      <c r="F20" s="124">
        <v>13.8</v>
      </c>
      <c r="G20" s="113">
        <f t="shared" si="0"/>
        <v>103.5</v>
      </c>
    </row>
    <row r="21" spans="1:7" ht="18" customHeight="1" x14ac:dyDescent="0.3">
      <c r="A21" s="53" t="s">
        <v>219</v>
      </c>
      <c r="B21" s="143" t="s">
        <v>220</v>
      </c>
      <c r="C21" s="144" t="s">
        <v>188</v>
      </c>
      <c r="D21" s="145">
        <v>1</v>
      </c>
      <c r="E21" s="146" t="s">
        <v>169</v>
      </c>
      <c r="F21" s="147">
        <v>342.09</v>
      </c>
      <c r="G21" s="113">
        <f t="shared" si="0"/>
        <v>342.09</v>
      </c>
    </row>
    <row r="22" spans="1:7" ht="18" customHeight="1" x14ac:dyDescent="0.3">
      <c r="A22" s="45" t="s">
        <v>221</v>
      </c>
      <c r="B22" s="69" t="s">
        <v>222</v>
      </c>
      <c r="C22" s="47" t="s">
        <v>188</v>
      </c>
      <c r="D22" s="48">
        <v>1</v>
      </c>
      <c r="E22" s="67"/>
      <c r="F22" s="67">
        <f>H4*0.05</f>
        <v>1215.075</v>
      </c>
      <c r="G22" s="68">
        <f>F22*D22</f>
        <v>1215.075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5500/28</f>
        <v>196.42857142857142</v>
      </c>
      <c r="G23" s="68">
        <f>F23*D23</f>
        <v>196.42857142857142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850.55250000000012</v>
      </c>
      <c r="G24" s="68">
        <f>F24*D24</f>
        <v>850.55250000000012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3000/28</f>
        <v>107.14285714285714</v>
      </c>
      <c r="G25" s="72">
        <f>F25*D25</f>
        <v>107.14285714285714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SUM(G4:G26)</f>
        <v>29642.064214285714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500</v>
      </c>
      <c r="G33" s="51">
        <f>D33*F33</f>
        <v>500</v>
      </c>
    </row>
    <row r="34" spans="1:7" ht="18" customHeight="1" x14ac:dyDescent="0.3">
      <c r="A34" s="82">
        <v>3</v>
      </c>
      <c r="B34" s="46" t="s">
        <v>336</v>
      </c>
      <c r="C34" s="47" t="s">
        <v>188</v>
      </c>
      <c r="D34" s="49">
        <v>1</v>
      </c>
      <c r="E34" s="49" t="s">
        <v>169</v>
      </c>
      <c r="F34" s="49">
        <v>700</v>
      </c>
      <c r="G34" s="51">
        <f t="shared" ref="G34:G46" si="1">D34*F34</f>
        <v>700</v>
      </c>
    </row>
    <row r="35" spans="1:7" ht="18" customHeight="1" x14ac:dyDescent="0.3">
      <c r="A35" s="82">
        <v>4</v>
      </c>
      <c r="B35" s="46" t="s">
        <v>326</v>
      </c>
      <c r="C35" s="47" t="s">
        <v>327</v>
      </c>
      <c r="D35" s="49">
        <v>1</v>
      </c>
      <c r="E35" s="49" t="s">
        <v>169</v>
      </c>
      <c r="F35" s="49">
        <f>1920.88</f>
        <v>1920.88</v>
      </c>
      <c r="G35" s="153">
        <f t="shared" si="1"/>
        <v>1920.88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5</v>
      </c>
      <c r="E41" s="49" t="s">
        <v>169</v>
      </c>
      <c r="F41" s="49">
        <v>42.76</v>
      </c>
      <c r="G41" s="51">
        <f t="shared" si="1"/>
        <v>213.79999999999998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100</v>
      </c>
      <c r="G47" s="84">
        <f>D47*F47</f>
        <v>100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3730.4085714285716</v>
      </c>
    </row>
    <row r="49" spans="1:7" ht="18" customHeight="1" thickBot="1" x14ac:dyDescent="0.35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33372.472785714286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</sheetData>
  <mergeCells count="9">
    <mergeCell ref="A29:G29"/>
    <mergeCell ref="A48:F48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337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130" t="s">
        <v>338</v>
      </c>
      <c r="C4" s="154"/>
      <c r="D4" s="432">
        <v>1</v>
      </c>
      <c r="E4" s="432" t="s">
        <v>169</v>
      </c>
      <c r="F4" s="434">
        <f>H4</f>
        <v>26978.999999999996</v>
      </c>
      <c r="G4" s="436">
        <f>F4*D4</f>
        <v>26978.999999999996</v>
      </c>
      <c r="H4" s="48">
        <f>I4*'Prices without ATS'!$K$2</f>
        <v>26978.999999999996</v>
      </c>
      <c r="I4" s="88">
        <v>5290</v>
      </c>
      <c r="J4" s="88"/>
      <c r="K4" s="88"/>
    </row>
    <row r="5" spans="1:11" ht="18" customHeight="1" x14ac:dyDescent="0.3">
      <c r="A5" s="45" t="s">
        <v>171</v>
      </c>
      <c r="B5" s="132" t="s">
        <v>334</v>
      </c>
      <c r="C5" s="135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132" t="s">
        <v>174</v>
      </c>
      <c r="C6" s="98" t="s">
        <v>175</v>
      </c>
      <c r="D6" s="99">
        <v>8.3000000000000007</v>
      </c>
      <c r="E6" s="99" t="s">
        <v>176</v>
      </c>
      <c r="F6" s="100">
        <f>6.5/1.05</f>
        <v>6.1904761904761898</v>
      </c>
      <c r="G6" s="101">
        <f t="shared" ref="G6:G21" si="0">D6*F6</f>
        <v>51.38095238095238</v>
      </c>
    </row>
    <row r="7" spans="1:11" ht="18" customHeight="1" x14ac:dyDescent="0.3">
      <c r="A7" s="45" t="s">
        <v>177</v>
      </c>
      <c r="B7" s="132" t="s">
        <v>315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132" t="s">
        <v>316</v>
      </c>
      <c r="C8" s="102" t="s">
        <v>182</v>
      </c>
      <c r="D8" s="99">
        <v>6</v>
      </c>
      <c r="E8" s="99" t="s">
        <v>176</v>
      </c>
      <c r="F8" s="100">
        <f>2.9/1.05</f>
        <v>2.7619047619047619</v>
      </c>
      <c r="G8" s="101">
        <f t="shared" si="0"/>
        <v>16.571428571428569</v>
      </c>
    </row>
    <row r="9" spans="1:11" ht="18" customHeight="1" x14ac:dyDescent="0.3">
      <c r="A9" s="45" t="s">
        <v>183</v>
      </c>
      <c r="B9" s="134" t="s">
        <v>317</v>
      </c>
      <c r="C9" s="135">
        <v>24010006</v>
      </c>
      <c r="D9" s="105">
        <v>1</v>
      </c>
      <c r="E9" s="105" t="s">
        <v>169</v>
      </c>
      <c r="F9" s="106">
        <v>95.255904761904759</v>
      </c>
      <c r="G9" s="107">
        <f t="shared" si="0"/>
        <v>95.255904761904759</v>
      </c>
    </row>
    <row r="10" spans="1:11" ht="18" customHeight="1" x14ac:dyDescent="0.3">
      <c r="A10" s="45" t="s">
        <v>186</v>
      </c>
      <c r="B10" s="134" t="s">
        <v>187</v>
      </c>
      <c r="C10" s="135" t="s">
        <v>188</v>
      </c>
      <c r="D10" s="105">
        <v>1</v>
      </c>
      <c r="E10" s="105" t="s">
        <v>169</v>
      </c>
      <c r="F10" s="106">
        <v>785.10952380952381</v>
      </c>
      <c r="G10" s="107">
        <f t="shared" si="0"/>
        <v>785.10952380952381</v>
      </c>
    </row>
    <row r="11" spans="1:11" ht="18" customHeight="1" x14ac:dyDescent="0.3">
      <c r="A11" s="45" t="s">
        <v>189</v>
      </c>
      <c r="B11" s="134" t="s">
        <v>318</v>
      </c>
      <c r="C11" s="135" t="s">
        <v>319</v>
      </c>
      <c r="D11" s="105">
        <v>4</v>
      </c>
      <c r="E11" s="105" t="s">
        <v>169</v>
      </c>
      <c r="F11" s="106">
        <f>17.72/1.05</f>
        <v>16.876190476190473</v>
      </c>
      <c r="G11" s="107">
        <f t="shared" si="0"/>
        <v>67.504761904761892</v>
      </c>
    </row>
    <row r="12" spans="1:11" ht="18" customHeight="1" x14ac:dyDescent="0.3">
      <c r="A12" s="45" t="s">
        <v>192</v>
      </c>
      <c r="B12" s="132" t="s">
        <v>291</v>
      </c>
      <c r="C12" s="135">
        <v>27010002</v>
      </c>
      <c r="D12" s="105">
        <v>1</v>
      </c>
      <c r="E12" s="105" t="s">
        <v>169</v>
      </c>
      <c r="F12" s="106">
        <v>825.70866666666666</v>
      </c>
      <c r="G12" s="107">
        <f t="shared" si="0"/>
        <v>825.70866666666666</v>
      </c>
    </row>
    <row r="13" spans="1:11" ht="18" customHeight="1" x14ac:dyDescent="0.3">
      <c r="A13" s="45" t="s">
        <v>195</v>
      </c>
      <c r="B13" s="132" t="s">
        <v>264</v>
      </c>
      <c r="C13" s="135" t="s">
        <v>188</v>
      </c>
      <c r="D13" s="105">
        <v>1</v>
      </c>
      <c r="E13" s="105" t="s">
        <v>169</v>
      </c>
      <c r="F13" s="106">
        <v>149.56904761904764</v>
      </c>
      <c r="G13" s="107">
        <f t="shared" si="0"/>
        <v>149.56904761904764</v>
      </c>
    </row>
    <row r="14" spans="1:11" ht="18" customHeight="1" x14ac:dyDescent="0.3">
      <c r="A14" s="45" t="s">
        <v>197</v>
      </c>
      <c r="B14" s="136" t="s">
        <v>320</v>
      </c>
      <c r="C14" s="97" t="s">
        <v>321</v>
      </c>
      <c r="D14" s="110" t="s">
        <v>173</v>
      </c>
      <c r="E14" s="110" t="s">
        <v>169</v>
      </c>
      <c r="F14" s="106">
        <v>18</v>
      </c>
      <c r="G14" s="107">
        <f t="shared" si="0"/>
        <v>54</v>
      </c>
    </row>
    <row r="15" spans="1:11" ht="18" customHeight="1" x14ac:dyDescent="0.3">
      <c r="A15" s="45" t="s">
        <v>201</v>
      </c>
      <c r="B15" s="136" t="s">
        <v>293</v>
      </c>
      <c r="C15" s="97" t="s">
        <v>294</v>
      </c>
      <c r="D15" s="105">
        <v>2</v>
      </c>
      <c r="E15" s="105" t="s">
        <v>169</v>
      </c>
      <c r="F15" s="106">
        <v>7</v>
      </c>
      <c r="G15" s="107">
        <f t="shared" si="0"/>
        <v>14</v>
      </c>
    </row>
    <row r="16" spans="1:11" ht="18" customHeight="1" x14ac:dyDescent="0.3">
      <c r="A16" s="45" t="s">
        <v>204</v>
      </c>
      <c r="B16" s="136" t="s">
        <v>335</v>
      </c>
      <c r="C16" s="97" t="s">
        <v>323</v>
      </c>
      <c r="D16" s="110" t="s">
        <v>167</v>
      </c>
      <c r="E16" s="105" t="s">
        <v>169</v>
      </c>
      <c r="F16" s="106">
        <v>257.92</v>
      </c>
      <c r="G16" s="113">
        <f t="shared" si="0"/>
        <v>257.92</v>
      </c>
    </row>
    <row r="17" spans="1:13" ht="18" customHeight="1" x14ac:dyDescent="0.3">
      <c r="A17" s="45" t="s">
        <v>207</v>
      </c>
      <c r="B17" s="137" t="s">
        <v>297</v>
      </c>
      <c r="C17" s="97" t="s">
        <v>298</v>
      </c>
      <c r="D17" s="112" t="s">
        <v>167</v>
      </c>
      <c r="E17" s="110" t="s">
        <v>169</v>
      </c>
      <c r="F17" s="106">
        <f>183.75/1.05</f>
        <v>175</v>
      </c>
      <c r="G17" s="113">
        <f t="shared" si="0"/>
        <v>175</v>
      </c>
    </row>
    <row r="18" spans="1:13" ht="18" customHeight="1" x14ac:dyDescent="0.3">
      <c r="A18" s="45" t="s">
        <v>210</v>
      </c>
      <c r="B18" s="138" t="s">
        <v>198</v>
      </c>
      <c r="C18" s="115" t="s">
        <v>199</v>
      </c>
      <c r="D18" s="110" t="s">
        <v>292</v>
      </c>
      <c r="E18" s="112" t="s">
        <v>200</v>
      </c>
      <c r="F18" s="106">
        <v>13.81</v>
      </c>
      <c r="G18" s="113">
        <f t="shared" si="0"/>
        <v>20.715</v>
      </c>
    </row>
    <row r="19" spans="1:13" ht="18" customHeight="1" x14ac:dyDescent="0.3">
      <c r="A19" s="45" t="s">
        <v>213</v>
      </c>
      <c r="B19" s="140" t="s">
        <v>299</v>
      </c>
      <c r="C19" s="115" t="s">
        <v>300</v>
      </c>
      <c r="D19" s="110">
        <v>0.8</v>
      </c>
      <c r="E19" s="110" t="s">
        <v>200</v>
      </c>
      <c r="F19" s="106">
        <v>8.8000000000000007</v>
      </c>
      <c r="G19" s="113">
        <f t="shared" si="0"/>
        <v>7.0400000000000009</v>
      </c>
    </row>
    <row r="20" spans="1:13" ht="18" customHeight="1" x14ac:dyDescent="0.3">
      <c r="A20" s="45" t="s">
        <v>216</v>
      </c>
      <c r="B20" s="141" t="s">
        <v>202</v>
      </c>
      <c r="C20" s="97" t="s">
        <v>203</v>
      </c>
      <c r="D20" s="142" t="s">
        <v>324</v>
      </c>
      <c r="E20" s="110" t="s">
        <v>200</v>
      </c>
      <c r="F20" s="124">
        <v>13.8</v>
      </c>
      <c r="G20" s="113">
        <f t="shared" si="0"/>
        <v>103.5</v>
      </c>
    </row>
    <row r="21" spans="1:13" ht="18" customHeight="1" x14ac:dyDescent="0.3">
      <c r="A21" s="53" t="s">
        <v>219</v>
      </c>
      <c r="B21" s="143" t="s">
        <v>220</v>
      </c>
      <c r="C21" s="144" t="s">
        <v>188</v>
      </c>
      <c r="D21" s="145">
        <v>1</v>
      </c>
      <c r="E21" s="146" t="s">
        <v>169</v>
      </c>
      <c r="F21" s="155">
        <v>342.09</v>
      </c>
      <c r="G21" s="113">
        <f t="shared" si="0"/>
        <v>342.09</v>
      </c>
    </row>
    <row r="22" spans="1:13" ht="18" customHeight="1" x14ac:dyDescent="0.3">
      <c r="A22" s="45" t="s">
        <v>221</v>
      </c>
      <c r="B22" s="69" t="s">
        <v>222</v>
      </c>
      <c r="C22" s="47" t="s">
        <v>188</v>
      </c>
      <c r="D22" s="48">
        <v>1</v>
      </c>
      <c r="E22" s="67"/>
      <c r="F22" s="67">
        <f>H4*0.05</f>
        <v>1348.9499999999998</v>
      </c>
      <c r="G22" s="68">
        <f>F22*D22</f>
        <v>1348.9499999999998</v>
      </c>
    </row>
    <row r="23" spans="1:13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5500/28</f>
        <v>196.42857142857142</v>
      </c>
      <c r="G23" s="68">
        <f>F23*D23</f>
        <v>196.42857142857142</v>
      </c>
    </row>
    <row r="24" spans="1:13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944.26499999999999</v>
      </c>
      <c r="G24" s="68">
        <f>F24*D24</f>
        <v>944.26499999999999</v>
      </c>
    </row>
    <row r="25" spans="1:13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3000/28</f>
        <v>107.14285714285714</v>
      </c>
      <c r="G25" s="72">
        <f>F25*D25</f>
        <v>107.14285714285714</v>
      </c>
    </row>
    <row r="26" spans="1:13" ht="18" customHeight="1" x14ac:dyDescent="0.3">
      <c r="A26" s="149"/>
      <c r="B26" s="64"/>
      <c r="C26" s="47"/>
      <c r="D26" s="48"/>
      <c r="E26" s="29"/>
      <c r="F26" s="74"/>
      <c r="G26" s="150"/>
    </row>
    <row r="27" spans="1:13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SUM(G4:G26)</f>
        <v>32547.151714285708</v>
      </c>
    </row>
    <row r="28" spans="1:13" ht="18" customHeight="1" thickBot="1" x14ac:dyDescent="0.35"/>
    <row r="29" spans="1:13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13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  <c r="M30" s="34"/>
    </row>
    <row r="31" spans="1:13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13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13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500</v>
      </c>
      <c r="G33" s="51">
        <f>D33*F33</f>
        <v>500</v>
      </c>
    </row>
    <row r="34" spans="1:13" ht="18" customHeight="1" x14ac:dyDescent="0.3">
      <c r="A34" s="82">
        <v>3</v>
      </c>
      <c r="B34" s="46" t="s">
        <v>339</v>
      </c>
      <c r="C34" s="47" t="s">
        <v>188</v>
      </c>
      <c r="D34" s="49">
        <v>1</v>
      </c>
      <c r="E34" s="49" t="s">
        <v>169</v>
      </c>
      <c r="F34" s="49">
        <v>700</v>
      </c>
      <c r="G34" s="51">
        <f t="shared" ref="G34:G46" si="1">D34*F34</f>
        <v>700</v>
      </c>
    </row>
    <row r="35" spans="1:13" ht="18" customHeight="1" x14ac:dyDescent="0.3">
      <c r="A35" s="82">
        <v>4</v>
      </c>
      <c r="B35" s="46" t="s">
        <v>326</v>
      </c>
      <c r="C35" s="47" t="s">
        <v>327</v>
      </c>
      <c r="D35" s="49">
        <v>1</v>
      </c>
      <c r="E35" s="49" t="s">
        <v>169</v>
      </c>
      <c r="F35" s="49">
        <f>1920.88</f>
        <v>1920.88</v>
      </c>
      <c r="G35" s="153">
        <f t="shared" si="1"/>
        <v>1920.88</v>
      </c>
    </row>
    <row r="36" spans="1:13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13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13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13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13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13" ht="18" customHeight="1" x14ac:dyDescent="0.3">
      <c r="A41" s="82">
        <v>10</v>
      </c>
      <c r="B41" s="46" t="s">
        <v>328</v>
      </c>
      <c r="C41" s="47" t="s">
        <v>329</v>
      </c>
      <c r="D41" s="49">
        <v>5</v>
      </c>
      <c r="E41" s="49" t="s">
        <v>169</v>
      </c>
      <c r="F41" s="49">
        <v>42.76</v>
      </c>
      <c r="G41" s="51">
        <f t="shared" si="1"/>
        <v>213.79999999999998</v>
      </c>
      <c r="M41" s="151"/>
    </row>
    <row r="42" spans="1:13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13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13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13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13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13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100</v>
      </c>
      <c r="G47" s="84">
        <f>D47*F47</f>
        <v>100</v>
      </c>
    </row>
    <row r="48" spans="1:13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3730.4085714285716</v>
      </c>
    </row>
    <row r="49" spans="1:7" ht="18" customHeight="1" thickBot="1" x14ac:dyDescent="0.35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36277.56028571428</v>
      </c>
    </row>
    <row r="53" spans="1:7" x14ac:dyDescent="0.3">
      <c r="A53" t="s">
        <v>259</v>
      </c>
      <c r="B53" s="4">
        <v>43450</v>
      </c>
      <c r="C53"/>
      <c r="D53"/>
      <c r="E53"/>
      <c r="F53"/>
    </row>
    <row r="54" spans="1:7" x14ac:dyDescent="0.3">
      <c r="A54"/>
      <c r="B54"/>
      <c r="C54"/>
      <c r="D54"/>
      <c r="E54"/>
      <c r="F54"/>
    </row>
    <row r="55" spans="1:7" x14ac:dyDescent="0.3">
      <c r="A55"/>
      <c r="B55"/>
      <c r="C55"/>
      <c r="D55"/>
      <c r="E55"/>
      <c r="F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</sheetData>
  <mergeCells count="9">
    <mergeCell ref="A29:G29"/>
    <mergeCell ref="A48:F48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1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109375" style="34"/>
    <col min="9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340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130" t="s">
        <v>341</v>
      </c>
      <c r="C4" s="154" t="s">
        <v>342</v>
      </c>
      <c r="D4" s="432">
        <v>1</v>
      </c>
      <c r="E4" s="432" t="s">
        <v>169</v>
      </c>
      <c r="F4" s="434">
        <f>H4</f>
        <v>28845.599999999999</v>
      </c>
      <c r="G4" s="436">
        <f>F4*D4</f>
        <v>28845.599999999999</v>
      </c>
      <c r="H4" s="48">
        <f>I4*'Prices without ATS'!$K$2</f>
        <v>28845.599999999999</v>
      </c>
      <c r="I4" s="88">
        <v>5656</v>
      </c>
      <c r="J4" s="88"/>
      <c r="K4" s="88"/>
    </row>
    <row r="5" spans="1:11" ht="18" customHeight="1" x14ac:dyDescent="0.3">
      <c r="A5" s="45" t="s">
        <v>171</v>
      </c>
      <c r="B5" s="132" t="s">
        <v>343</v>
      </c>
      <c r="C5" s="135" t="s">
        <v>344</v>
      </c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132" t="s">
        <v>174</v>
      </c>
      <c r="C6" s="98" t="s">
        <v>175</v>
      </c>
      <c r="D6" s="99">
        <v>8.3000000000000007</v>
      </c>
      <c r="E6" s="99" t="s">
        <v>176</v>
      </c>
      <c r="F6" s="100">
        <f>6.5/1.05</f>
        <v>6.1904761904761898</v>
      </c>
      <c r="G6" s="101">
        <f t="shared" ref="G6:G21" si="0">D6*F6</f>
        <v>51.38095238095238</v>
      </c>
    </row>
    <row r="7" spans="1:11" ht="18" customHeight="1" x14ac:dyDescent="0.3">
      <c r="A7" s="45" t="s">
        <v>177</v>
      </c>
      <c r="B7" s="132" t="s">
        <v>315</v>
      </c>
      <c r="C7" s="98" t="s">
        <v>179</v>
      </c>
      <c r="D7" s="99">
        <v>7</v>
      </c>
      <c r="E7" s="99" t="s">
        <v>176</v>
      </c>
      <c r="F7" s="100">
        <f>0.9/1.05</f>
        <v>0.8571428571428571</v>
      </c>
      <c r="G7" s="101">
        <f t="shared" si="0"/>
        <v>6</v>
      </c>
    </row>
    <row r="8" spans="1:11" ht="18" customHeight="1" x14ac:dyDescent="0.3">
      <c r="A8" s="45" t="s">
        <v>180</v>
      </c>
      <c r="B8" s="132" t="s">
        <v>316</v>
      </c>
      <c r="C8" s="102" t="s">
        <v>182</v>
      </c>
      <c r="D8" s="99">
        <v>6</v>
      </c>
      <c r="E8" s="99" t="s">
        <v>176</v>
      </c>
      <c r="F8" s="100">
        <f>2.9/1.05</f>
        <v>2.7619047619047619</v>
      </c>
      <c r="G8" s="101">
        <f t="shared" si="0"/>
        <v>16.571428571428569</v>
      </c>
    </row>
    <row r="9" spans="1:11" ht="18" customHeight="1" x14ac:dyDescent="0.3">
      <c r="A9" s="45" t="s">
        <v>183</v>
      </c>
      <c r="B9" s="134" t="s">
        <v>317</v>
      </c>
      <c r="C9" s="135">
        <v>24010006</v>
      </c>
      <c r="D9" s="105">
        <v>1</v>
      </c>
      <c r="E9" s="105" t="s">
        <v>169</v>
      </c>
      <c r="F9" s="106">
        <v>95.255904761904759</v>
      </c>
      <c r="G9" s="107">
        <v>95.255904761904759</v>
      </c>
    </row>
    <row r="10" spans="1:11" ht="18" customHeight="1" x14ac:dyDescent="0.3">
      <c r="A10" s="45" t="s">
        <v>186</v>
      </c>
      <c r="B10" s="134" t="s">
        <v>187</v>
      </c>
      <c r="C10" s="135" t="s">
        <v>188</v>
      </c>
      <c r="D10" s="105">
        <v>1</v>
      </c>
      <c r="E10" s="105" t="s">
        <v>169</v>
      </c>
      <c r="F10" s="106">
        <v>785.10952380952381</v>
      </c>
      <c r="G10" s="107">
        <f t="shared" si="0"/>
        <v>785.10952380952381</v>
      </c>
    </row>
    <row r="11" spans="1:11" ht="18" customHeight="1" x14ac:dyDescent="0.3">
      <c r="A11" s="45" t="s">
        <v>189</v>
      </c>
      <c r="B11" s="134" t="s">
        <v>318</v>
      </c>
      <c r="C11" s="135" t="s">
        <v>319</v>
      </c>
      <c r="D11" s="105">
        <v>4</v>
      </c>
      <c r="E11" s="105" t="s">
        <v>169</v>
      </c>
      <c r="F11" s="106">
        <f>17.72/1.05</f>
        <v>16.876190476190473</v>
      </c>
      <c r="G11" s="107">
        <f t="shared" si="0"/>
        <v>67.504761904761892</v>
      </c>
    </row>
    <row r="12" spans="1:11" ht="18" customHeight="1" x14ac:dyDescent="0.3">
      <c r="A12" s="45" t="s">
        <v>192</v>
      </c>
      <c r="B12" s="132" t="s">
        <v>291</v>
      </c>
      <c r="C12" s="135">
        <v>27010002</v>
      </c>
      <c r="D12" s="105">
        <v>1</v>
      </c>
      <c r="E12" s="105" t="s">
        <v>169</v>
      </c>
      <c r="F12" s="106">
        <v>825.70866666666666</v>
      </c>
      <c r="G12" s="107">
        <f t="shared" si="0"/>
        <v>825.70866666666666</v>
      </c>
    </row>
    <row r="13" spans="1:11" ht="18" customHeight="1" x14ac:dyDescent="0.3">
      <c r="A13" s="45" t="s">
        <v>195</v>
      </c>
      <c r="B13" s="132" t="s">
        <v>345</v>
      </c>
      <c r="C13" s="135" t="s">
        <v>188</v>
      </c>
      <c r="D13" s="105">
        <v>1</v>
      </c>
      <c r="E13" s="105" t="s">
        <v>169</v>
      </c>
      <c r="F13" s="106">
        <v>149.56904761904764</v>
      </c>
      <c r="G13" s="107">
        <f t="shared" si="0"/>
        <v>149.56904761904764</v>
      </c>
    </row>
    <row r="14" spans="1:11" ht="18" customHeight="1" x14ac:dyDescent="0.3">
      <c r="A14" s="45" t="s">
        <v>197</v>
      </c>
      <c r="B14" s="136" t="s">
        <v>346</v>
      </c>
      <c r="C14" s="97" t="s">
        <v>321</v>
      </c>
      <c r="D14" s="110" t="s">
        <v>173</v>
      </c>
      <c r="E14" s="110" t="s">
        <v>169</v>
      </c>
      <c r="F14" s="106">
        <v>18</v>
      </c>
      <c r="G14" s="113">
        <f t="shared" si="0"/>
        <v>54</v>
      </c>
    </row>
    <row r="15" spans="1:11" ht="18" customHeight="1" x14ac:dyDescent="0.3">
      <c r="A15" s="45" t="s">
        <v>201</v>
      </c>
      <c r="B15" s="136" t="s">
        <v>293</v>
      </c>
      <c r="C15" s="97" t="s">
        <v>294</v>
      </c>
      <c r="D15" s="105">
        <v>2</v>
      </c>
      <c r="E15" s="105" t="s">
        <v>169</v>
      </c>
      <c r="F15" s="106">
        <v>7</v>
      </c>
      <c r="G15" s="113">
        <f t="shared" si="0"/>
        <v>14</v>
      </c>
    </row>
    <row r="16" spans="1:11" ht="18" customHeight="1" x14ac:dyDescent="0.3">
      <c r="A16" s="45" t="s">
        <v>204</v>
      </c>
      <c r="B16" s="136" t="s">
        <v>347</v>
      </c>
      <c r="C16" s="97" t="s">
        <v>323</v>
      </c>
      <c r="D16" s="110" t="s">
        <v>167</v>
      </c>
      <c r="E16" s="105" t="s">
        <v>169</v>
      </c>
      <c r="F16" s="106">
        <v>257.92</v>
      </c>
      <c r="G16" s="113">
        <f t="shared" si="0"/>
        <v>257.92</v>
      </c>
    </row>
    <row r="17" spans="1:8" ht="18" customHeight="1" x14ac:dyDescent="0.3">
      <c r="A17" s="45" t="s">
        <v>207</v>
      </c>
      <c r="B17" s="137" t="s">
        <v>297</v>
      </c>
      <c r="C17" s="97" t="s">
        <v>298</v>
      </c>
      <c r="D17" s="112" t="s">
        <v>167</v>
      </c>
      <c r="E17" s="110" t="s">
        <v>169</v>
      </c>
      <c r="F17" s="106">
        <f>183.75/1.05</f>
        <v>175</v>
      </c>
      <c r="G17" s="113">
        <f t="shared" si="0"/>
        <v>175</v>
      </c>
    </row>
    <row r="18" spans="1:8" ht="18" customHeight="1" x14ac:dyDescent="0.3">
      <c r="A18" s="45" t="s">
        <v>210</v>
      </c>
      <c r="B18" s="138" t="s">
        <v>198</v>
      </c>
      <c r="C18" s="115" t="s">
        <v>199</v>
      </c>
      <c r="D18" s="110" t="s">
        <v>292</v>
      </c>
      <c r="E18" s="112" t="s">
        <v>200</v>
      </c>
      <c r="F18" s="106">
        <v>13.81</v>
      </c>
      <c r="G18" s="113">
        <f t="shared" si="0"/>
        <v>20.715</v>
      </c>
    </row>
    <row r="19" spans="1:8" ht="18" customHeight="1" x14ac:dyDescent="0.3">
      <c r="A19" s="45" t="s">
        <v>213</v>
      </c>
      <c r="B19" s="140" t="s">
        <v>299</v>
      </c>
      <c r="C19" s="115" t="s">
        <v>300</v>
      </c>
      <c r="D19" s="110">
        <v>0.8</v>
      </c>
      <c r="E19" s="110" t="s">
        <v>200</v>
      </c>
      <c r="F19" s="106">
        <v>8.8000000000000007</v>
      </c>
      <c r="G19" s="113">
        <f t="shared" si="0"/>
        <v>7.0400000000000009</v>
      </c>
    </row>
    <row r="20" spans="1:8" ht="18" customHeight="1" x14ac:dyDescent="0.3">
      <c r="A20" s="45" t="s">
        <v>216</v>
      </c>
      <c r="B20" s="141" t="s">
        <v>202</v>
      </c>
      <c r="C20" s="97" t="s">
        <v>203</v>
      </c>
      <c r="D20" s="142" t="s">
        <v>324</v>
      </c>
      <c r="E20" s="110" t="s">
        <v>200</v>
      </c>
      <c r="F20" s="124">
        <v>13.8</v>
      </c>
      <c r="G20" s="113">
        <f t="shared" si="0"/>
        <v>103.5</v>
      </c>
    </row>
    <row r="21" spans="1:8" ht="18" customHeight="1" x14ac:dyDescent="0.3">
      <c r="A21" s="53" t="s">
        <v>219</v>
      </c>
      <c r="B21" s="143" t="s">
        <v>220</v>
      </c>
      <c r="C21" s="144" t="s">
        <v>188</v>
      </c>
      <c r="D21" s="145">
        <v>1</v>
      </c>
      <c r="E21" s="146" t="s">
        <v>169</v>
      </c>
      <c r="F21" s="147">
        <v>342.09</v>
      </c>
      <c r="G21" s="113">
        <f t="shared" si="0"/>
        <v>342.09</v>
      </c>
    </row>
    <row r="22" spans="1:8" ht="18" customHeight="1" x14ac:dyDescent="0.3">
      <c r="A22" s="45" t="s">
        <v>221</v>
      </c>
      <c r="B22" s="69" t="s">
        <v>222</v>
      </c>
      <c r="C22" s="47" t="s">
        <v>188</v>
      </c>
      <c r="D22" s="48">
        <v>1</v>
      </c>
      <c r="E22" s="67"/>
      <c r="F22" s="67">
        <f>H4*0.05</f>
        <v>1442.28</v>
      </c>
      <c r="G22" s="68">
        <f>F22*D22</f>
        <v>1442.28</v>
      </c>
    </row>
    <row r="23" spans="1:8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5500/28</f>
        <v>196.42857142857142</v>
      </c>
      <c r="G23" s="68">
        <f>F23*D23</f>
        <v>196.42857142857142</v>
      </c>
    </row>
    <row r="24" spans="1:8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1009.596</v>
      </c>
      <c r="G24" s="68">
        <f>F24*D24</f>
        <v>1009.596</v>
      </c>
    </row>
    <row r="25" spans="1:8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3000/28</f>
        <v>107.14285714285714</v>
      </c>
      <c r="G25" s="72">
        <f>F25*D25</f>
        <v>107.14285714285714</v>
      </c>
    </row>
    <row r="26" spans="1:8" ht="18" customHeight="1" x14ac:dyDescent="0.3">
      <c r="A26" s="149"/>
      <c r="B26" s="64"/>
      <c r="C26" s="47"/>
      <c r="D26" s="48"/>
      <c r="E26" s="29"/>
      <c r="F26" s="74"/>
      <c r="G26" s="150"/>
    </row>
    <row r="27" spans="1:8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SUM(G4:G26)</f>
        <v>34572.412714285703</v>
      </c>
    </row>
    <row r="28" spans="1:8" ht="18" customHeight="1" thickBot="1" x14ac:dyDescent="0.35"/>
    <row r="29" spans="1:8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8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  <c r="H30"/>
    </row>
    <row r="31" spans="1:8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  <c r="H31"/>
    </row>
    <row r="32" spans="1:8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  <c r="H32"/>
    </row>
    <row r="33" spans="1:8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500</v>
      </c>
      <c r="G33" s="51">
        <f>D33*F33</f>
        <v>500</v>
      </c>
      <c r="H33"/>
    </row>
    <row r="34" spans="1:8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49">
        <v>700</v>
      </c>
      <c r="G34" s="51">
        <f t="shared" ref="G34:G46" si="1">D34*F34</f>
        <v>700</v>
      </c>
      <c r="H34"/>
    </row>
    <row r="35" spans="1:8" ht="18" customHeight="1" x14ac:dyDescent="0.3">
      <c r="A35" s="82">
        <v>4</v>
      </c>
      <c r="B35" s="46" t="s">
        <v>348</v>
      </c>
      <c r="C35" s="47" t="s">
        <v>349</v>
      </c>
      <c r="D35" s="49">
        <v>1</v>
      </c>
      <c r="E35" s="49" t="s">
        <v>169</v>
      </c>
      <c r="F35" s="49">
        <v>2322</v>
      </c>
      <c r="G35" s="153">
        <f t="shared" si="1"/>
        <v>2322</v>
      </c>
      <c r="H35"/>
    </row>
    <row r="36" spans="1:8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  <c r="H36"/>
    </row>
    <row r="37" spans="1:8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  <c r="H37"/>
    </row>
    <row r="38" spans="1:8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  <c r="H38"/>
    </row>
    <row r="39" spans="1:8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  <c r="H39"/>
    </row>
    <row r="40" spans="1:8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  <c r="H40"/>
    </row>
    <row r="41" spans="1:8" ht="18" customHeight="1" x14ac:dyDescent="0.3">
      <c r="A41" s="82">
        <v>10</v>
      </c>
      <c r="B41" s="46" t="s">
        <v>328</v>
      </c>
      <c r="C41" s="47" t="s">
        <v>329</v>
      </c>
      <c r="D41" s="49">
        <v>5</v>
      </c>
      <c r="E41" s="49" t="s">
        <v>169</v>
      </c>
      <c r="F41" s="49">
        <v>42.76</v>
      </c>
      <c r="G41" s="51">
        <f t="shared" si="1"/>
        <v>213.79999999999998</v>
      </c>
      <c r="H41"/>
    </row>
    <row r="42" spans="1:8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  <c r="H42"/>
    </row>
    <row r="43" spans="1:8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  <c r="H43"/>
    </row>
    <row r="44" spans="1:8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  <c r="H44"/>
    </row>
    <row r="45" spans="1:8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  <c r="H45"/>
    </row>
    <row r="46" spans="1:8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  <c r="H46"/>
    </row>
    <row r="47" spans="1:8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100</v>
      </c>
      <c r="G47" s="84">
        <f>D47*F47</f>
        <v>100</v>
      </c>
      <c r="H47"/>
    </row>
    <row r="48" spans="1:8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4131.528571428571</v>
      </c>
      <c r="H48"/>
    </row>
    <row r="49" spans="1:8" ht="18" customHeight="1" thickBot="1" x14ac:dyDescent="0.35">
      <c r="H49"/>
    </row>
    <row r="50" spans="1:8" ht="18" hidden="1" customHeight="1" thickBot="1" x14ac:dyDescent="0.35">
      <c r="H50"/>
    </row>
    <row r="51" spans="1:8" ht="18" customHeight="1" thickBot="1" x14ac:dyDescent="0.35">
      <c r="A51" s="419" t="s">
        <v>258</v>
      </c>
      <c r="B51" s="420"/>
      <c r="C51" s="420"/>
      <c r="D51" s="421"/>
      <c r="E51" s="86">
        <f>G48+G27</f>
        <v>38703.941285714274</v>
      </c>
      <c r="H51"/>
    </row>
    <row r="52" spans="1:8" x14ac:dyDescent="0.3">
      <c r="H52"/>
    </row>
    <row r="53" spans="1:8" x14ac:dyDescent="0.3">
      <c r="A53" t="s">
        <v>259</v>
      </c>
      <c r="B53" s="4">
        <v>43450</v>
      </c>
      <c r="H53"/>
    </row>
    <row r="54" spans="1:8" x14ac:dyDescent="0.3">
      <c r="H54"/>
    </row>
    <row r="55" spans="1:8" x14ac:dyDescent="0.3"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</sheetData>
  <mergeCells count="9">
    <mergeCell ref="A29:G29"/>
    <mergeCell ref="A48:F48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350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351</v>
      </c>
      <c r="C3" s="154"/>
      <c r="D3" s="432">
        <v>1</v>
      </c>
      <c r="E3" s="432" t="s">
        <v>169</v>
      </c>
      <c r="F3" s="434">
        <f>H3</f>
        <v>37658.399999999994</v>
      </c>
      <c r="G3" s="436">
        <f>F3*D3</f>
        <v>37658.399999999994</v>
      </c>
      <c r="H3" s="48">
        <f>I3*'Prices without ATS'!$K$2</f>
        <v>37658.399999999994</v>
      </c>
      <c r="I3" s="88">
        <v>7384</v>
      </c>
      <c r="J3" s="88"/>
      <c r="K3" s="88"/>
    </row>
    <row r="4" spans="1:11" ht="18" customHeight="1" x14ac:dyDescent="0.3">
      <c r="A4" s="45" t="s">
        <v>171</v>
      </c>
      <c r="B4" s="132" t="s">
        <v>352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18</v>
      </c>
      <c r="E5" s="99" t="s">
        <v>176</v>
      </c>
      <c r="F5" s="100">
        <f>6.5/1.05</f>
        <v>6.1904761904761898</v>
      </c>
      <c r="G5" s="101">
        <f t="shared" ref="G5:G20" si="0">D5*F5</f>
        <v>111.42857142857142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14</v>
      </c>
      <c r="E6" s="99" t="s">
        <v>176</v>
      </c>
      <c r="F6" s="100">
        <f>0.9/1.05</f>
        <v>0.8571428571428571</v>
      </c>
      <c r="G6" s="101">
        <f t="shared" si="0"/>
        <v>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7</v>
      </c>
      <c r="E7" s="99" t="s">
        <v>176</v>
      </c>
      <c r="F7" s="100">
        <f>2.9/1.05</f>
        <v>2.7619047619047619</v>
      </c>
      <c r="G7" s="101">
        <f t="shared" si="0"/>
        <v>19.333333333333332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187</v>
      </c>
      <c r="C9" s="157" t="s">
        <v>188</v>
      </c>
      <c r="D9" s="158">
        <v>1</v>
      </c>
      <c r="E9" s="158" t="s">
        <v>169</v>
      </c>
      <c r="F9" s="159">
        <v>785.10952380952381</v>
      </c>
      <c r="G9" s="160">
        <f t="shared" si="0"/>
        <v>785.10952380952381</v>
      </c>
    </row>
    <row r="10" spans="1:11" ht="18" customHeight="1" x14ac:dyDescent="0.3">
      <c r="A10" s="45" t="s">
        <v>189</v>
      </c>
      <c r="B10" s="156" t="s">
        <v>190</v>
      </c>
      <c r="C10" s="157" t="s">
        <v>191</v>
      </c>
      <c r="D10" s="158">
        <v>4</v>
      </c>
      <c r="E10" s="158" t="s">
        <v>169</v>
      </c>
      <c r="F10" s="159">
        <f>17.7/1.05</f>
        <v>16.857142857142854</v>
      </c>
      <c r="G10" s="160">
        <f t="shared" si="0"/>
        <v>67.428571428571416</v>
      </c>
    </row>
    <row r="11" spans="1:11" ht="18" customHeight="1" x14ac:dyDescent="0.3">
      <c r="A11" s="45" t="s">
        <v>192</v>
      </c>
      <c r="B11" s="161" t="s">
        <v>355</v>
      </c>
      <c r="C11" s="162" t="s">
        <v>356</v>
      </c>
      <c r="D11" s="158">
        <v>1</v>
      </c>
      <c r="E11" s="158" t="s">
        <v>169</v>
      </c>
      <c r="F11" s="159">
        <v>848.70866666666666</v>
      </c>
      <c r="G11" s="160">
        <f t="shared" si="0"/>
        <v>848.70866666666666</v>
      </c>
    </row>
    <row r="12" spans="1:11" ht="18" customHeight="1" x14ac:dyDescent="0.3">
      <c r="A12" s="45" t="s">
        <v>195</v>
      </c>
      <c r="B12" s="161" t="s">
        <v>357</v>
      </c>
      <c r="C12" s="162" t="s">
        <v>188</v>
      </c>
      <c r="D12" s="158">
        <v>1</v>
      </c>
      <c r="E12" s="158" t="s">
        <v>169</v>
      </c>
      <c r="F12" s="159">
        <v>257.14857142857142</v>
      </c>
      <c r="G12" s="160">
        <f t="shared" si="0"/>
        <v>257.14857142857142</v>
      </c>
    </row>
    <row r="13" spans="1:11" ht="18" customHeight="1" x14ac:dyDescent="0.3">
      <c r="A13" s="45" t="s">
        <v>197</v>
      </c>
      <c r="B13" s="161" t="s">
        <v>358</v>
      </c>
      <c r="C13" s="157" t="s">
        <v>359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360</v>
      </c>
      <c r="C14" s="157" t="s">
        <v>361</v>
      </c>
      <c r="D14" s="163">
        <v>1</v>
      </c>
      <c r="E14" s="163" t="s">
        <v>169</v>
      </c>
      <c r="F14" s="159">
        <v>296.75</v>
      </c>
      <c r="G14" s="164">
        <f t="shared" si="0"/>
        <v>296.75</v>
      </c>
    </row>
    <row r="15" spans="1:11" ht="18" customHeight="1" x14ac:dyDescent="0.3">
      <c r="A15" s="45" t="s">
        <v>204</v>
      </c>
      <c r="B15" s="161" t="s">
        <v>362</v>
      </c>
      <c r="C15" s="157" t="s">
        <v>363</v>
      </c>
      <c r="D15" s="163" t="s">
        <v>183</v>
      </c>
      <c r="E15" s="165" t="s">
        <v>200</v>
      </c>
      <c r="F15" s="159">
        <v>25.74</v>
      </c>
      <c r="G15" s="164">
        <f t="shared" si="0"/>
        <v>154.44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2</v>
      </c>
      <c r="E16" s="158" t="s">
        <v>169</v>
      </c>
      <c r="F16" s="159">
        <v>7</v>
      </c>
      <c r="G16" s="164">
        <f t="shared" si="0"/>
        <v>14</v>
      </c>
    </row>
    <row r="17" spans="1:7" ht="18" customHeight="1" x14ac:dyDescent="0.3">
      <c r="A17" s="45" t="s">
        <v>210</v>
      </c>
      <c r="B17" s="161" t="s">
        <v>364</v>
      </c>
      <c r="C17" s="157" t="s">
        <v>365</v>
      </c>
      <c r="D17" s="165" t="s">
        <v>167</v>
      </c>
      <c r="E17" s="165" t="s">
        <v>169</v>
      </c>
      <c r="F17" s="159">
        <f>262.5/1.05</f>
        <v>250</v>
      </c>
      <c r="G17" s="164">
        <f t="shared" si="0"/>
        <v>250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292</v>
      </c>
      <c r="E18" s="158" t="s">
        <v>200</v>
      </c>
      <c r="F18" s="159">
        <v>13.8</v>
      </c>
      <c r="G18" s="164">
        <f t="shared" si="0"/>
        <v>20.700000000000003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292</v>
      </c>
      <c r="E19" s="165" t="s">
        <v>200</v>
      </c>
      <c r="F19" s="159">
        <v>13.81</v>
      </c>
      <c r="G19" s="164">
        <f t="shared" si="0"/>
        <v>20.715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545.1</v>
      </c>
      <c r="G21" s="170">
        <f>D21*F21</f>
        <v>545.1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1882.9199999999998</v>
      </c>
      <c r="G22" s="68">
        <f>F22*D22</f>
        <v>1882.9199999999998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5500/18</f>
        <v>305.55555555555554</v>
      </c>
      <c r="G23" s="68">
        <f>F23*D23</f>
        <v>305.55555555555554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1318.0439999999999</v>
      </c>
      <c r="G24" s="68">
        <f>F24*D24</f>
        <v>1318.0439999999999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3000/18</f>
        <v>166.66666666666666</v>
      </c>
      <c r="G25" s="72">
        <f>F25*D25</f>
        <v>166.66666666666666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45000.807031746022</v>
      </c>
    </row>
    <row r="28" spans="1:7" ht="18" customHeight="1" thickBot="1" x14ac:dyDescent="0.35"/>
    <row r="29" spans="1:7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750</v>
      </c>
      <c r="G33" s="51">
        <f>D33*F33</f>
        <v>750</v>
      </c>
    </row>
    <row r="34" spans="1:7" ht="18" customHeight="1" x14ac:dyDescent="0.3">
      <c r="A34" s="82">
        <v>3</v>
      </c>
      <c r="B34" s="46" t="s">
        <v>368</v>
      </c>
      <c r="C34" s="47" t="s">
        <v>188</v>
      </c>
      <c r="D34" s="49">
        <v>1</v>
      </c>
      <c r="E34" s="49" t="s">
        <v>169</v>
      </c>
      <c r="F34" s="49">
        <v>500</v>
      </c>
      <c r="G34" s="51">
        <f t="shared" ref="G34:G46" si="1">D34*F34</f>
        <v>500</v>
      </c>
    </row>
    <row r="35" spans="1:7" ht="18" customHeight="1" x14ac:dyDescent="0.3">
      <c r="A35" s="82">
        <v>4</v>
      </c>
      <c r="B35" s="46" t="s">
        <v>348</v>
      </c>
      <c r="C35" s="47" t="s">
        <v>349</v>
      </c>
      <c r="D35" s="49">
        <v>1</v>
      </c>
      <c r="E35" s="49" t="s">
        <v>169</v>
      </c>
      <c r="F35" s="49">
        <v>2322</v>
      </c>
      <c r="G35" s="153">
        <f t="shared" si="1"/>
        <v>2322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8</v>
      </c>
      <c r="E41" s="49" t="s">
        <v>169</v>
      </c>
      <c r="F41" s="49">
        <v>42.76</v>
      </c>
      <c r="G41" s="51">
        <f t="shared" si="1"/>
        <v>342.08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4409.8085714285726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49410.615603174592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  <row r="115" spans="1:7" x14ac:dyDescent="0.3">
      <c r="A115"/>
      <c r="B115"/>
      <c r="C115"/>
      <c r="D115"/>
      <c r="E115"/>
      <c r="F115"/>
      <c r="G115"/>
    </row>
    <row r="116" spans="1:7" x14ac:dyDescent="0.3">
      <c r="A116"/>
      <c r="B116"/>
      <c r="C116"/>
      <c r="D116"/>
      <c r="E116"/>
      <c r="F116"/>
      <c r="G116"/>
    </row>
    <row r="117" spans="1:7" x14ac:dyDescent="0.3">
      <c r="A117"/>
      <c r="B117"/>
      <c r="C117"/>
      <c r="D117"/>
      <c r="E117"/>
      <c r="F117"/>
      <c r="G117"/>
    </row>
    <row r="118" spans="1:7" x14ac:dyDescent="0.3">
      <c r="A118"/>
      <c r="B118"/>
      <c r="C118"/>
      <c r="D118"/>
      <c r="E118"/>
      <c r="F118"/>
      <c r="G118"/>
    </row>
    <row r="119" spans="1:7" x14ac:dyDescent="0.3">
      <c r="A119"/>
      <c r="B119"/>
      <c r="C119"/>
      <c r="D119"/>
      <c r="E119"/>
      <c r="F119"/>
      <c r="G119"/>
    </row>
    <row r="120" spans="1:7" x14ac:dyDescent="0.3">
      <c r="A120"/>
      <c r="B120"/>
      <c r="C120"/>
      <c r="D120"/>
      <c r="E120"/>
      <c r="F120"/>
      <c r="G120"/>
    </row>
    <row r="121" spans="1:7" x14ac:dyDescent="0.3">
      <c r="A121"/>
      <c r="B121"/>
      <c r="C121"/>
      <c r="D121"/>
      <c r="E121"/>
      <c r="F121"/>
      <c r="G121"/>
    </row>
    <row r="122" spans="1:7" x14ac:dyDescent="0.3">
      <c r="A122"/>
      <c r="B122"/>
      <c r="C122"/>
      <c r="D122"/>
      <c r="E122"/>
      <c r="F122"/>
      <c r="G122"/>
    </row>
    <row r="123" spans="1:7" x14ac:dyDescent="0.3">
      <c r="A123"/>
      <c r="B123"/>
      <c r="C123"/>
      <c r="D123"/>
      <c r="E123"/>
      <c r="F123"/>
      <c r="G123"/>
    </row>
    <row r="124" spans="1:7" x14ac:dyDescent="0.3">
      <c r="A124"/>
      <c r="B124"/>
      <c r="C124"/>
      <c r="D124"/>
      <c r="E124"/>
      <c r="F124"/>
      <c r="G124"/>
    </row>
    <row r="125" spans="1:7" x14ac:dyDescent="0.3">
      <c r="A125"/>
      <c r="B125"/>
      <c r="C125"/>
      <c r="D125"/>
      <c r="E125"/>
      <c r="F125"/>
      <c r="G125"/>
    </row>
    <row r="126" spans="1:7" x14ac:dyDescent="0.3">
      <c r="A126"/>
      <c r="B126"/>
      <c r="C126"/>
      <c r="D126"/>
      <c r="E126"/>
      <c r="F126"/>
      <c r="G126"/>
    </row>
    <row r="127" spans="1:7" x14ac:dyDescent="0.3">
      <c r="A127"/>
      <c r="B127"/>
      <c r="C127"/>
      <c r="D127"/>
      <c r="E127"/>
      <c r="F127"/>
      <c r="G127"/>
    </row>
    <row r="128" spans="1:7" x14ac:dyDescent="0.3">
      <c r="A128"/>
      <c r="B128"/>
      <c r="C128"/>
      <c r="D128"/>
      <c r="E128"/>
      <c r="F128"/>
      <c r="G128"/>
    </row>
    <row r="129" spans="1:7" x14ac:dyDescent="0.3">
      <c r="A129"/>
      <c r="B129"/>
      <c r="C129"/>
      <c r="D129"/>
      <c r="E129"/>
      <c r="F129"/>
      <c r="G129"/>
    </row>
    <row r="130" spans="1:7" x14ac:dyDescent="0.3">
      <c r="A130"/>
      <c r="B130"/>
      <c r="C130"/>
      <c r="D130"/>
      <c r="E130"/>
      <c r="F130"/>
      <c r="G130"/>
    </row>
    <row r="131" spans="1:7" x14ac:dyDescent="0.3">
      <c r="A131"/>
      <c r="B131"/>
      <c r="C131"/>
      <c r="D131"/>
      <c r="E131"/>
      <c r="F131"/>
      <c r="G131"/>
    </row>
    <row r="132" spans="1:7" x14ac:dyDescent="0.3">
      <c r="A132"/>
      <c r="B132"/>
      <c r="C132"/>
      <c r="D132"/>
      <c r="E132"/>
      <c r="F132"/>
      <c r="G132"/>
    </row>
    <row r="133" spans="1:7" x14ac:dyDescent="0.3">
      <c r="A133"/>
      <c r="B133"/>
      <c r="C133"/>
      <c r="D133"/>
      <c r="E133"/>
      <c r="F133"/>
      <c r="G133"/>
    </row>
    <row r="134" spans="1:7" x14ac:dyDescent="0.3">
      <c r="A134"/>
      <c r="B134"/>
      <c r="C134"/>
      <c r="D134"/>
      <c r="E134"/>
      <c r="F134"/>
      <c r="G134"/>
    </row>
    <row r="135" spans="1:7" x14ac:dyDescent="0.3">
      <c r="A135"/>
      <c r="B135"/>
      <c r="C135"/>
      <c r="D135"/>
      <c r="E135"/>
      <c r="F135"/>
      <c r="G135"/>
    </row>
    <row r="136" spans="1:7" x14ac:dyDescent="0.3">
      <c r="A136"/>
      <c r="B136"/>
      <c r="C136"/>
      <c r="D136"/>
      <c r="E136"/>
      <c r="F136"/>
      <c r="G136"/>
    </row>
    <row r="137" spans="1:7" x14ac:dyDescent="0.3">
      <c r="A137"/>
      <c r="B137"/>
      <c r="C137"/>
      <c r="D137"/>
      <c r="E137"/>
      <c r="F137"/>
      <c r="G137"/>
    </row>
    <row r="138" spans="1:7" x14ac:dyDescent="0.3">
      <c r="A138"/>
      <c r="B138"/>
      <c r="C138"/>
      <c r="D138"/>
      <c r="E138"/>
      <c r="F138"/>
      <c r="G138"/>
    </row>
    <row r="139" spans="1:7" x14ac:dyDescent="0.3">
      <c r="A139"/>
      <c r="B139"/>
      <c r="C139"/>
      <c r="D139"/>
      <c r="E139"/>
      <c r="F139"/>
      <c r="G139"/>
    </row>
    <row r="140" spans="1:7" x14ac:dyDescent="0.3">
      <c r="A140"/>
      <c r="B140"/>
      <c r="C140"/>
      <c r="D140"/>
      <c r="E140"/>
      <c r="F140"/>
      <c r="G14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369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370</v>
      </c>
      <c r="C3" s="172" t="s">
        <v>371</v>
      </c>
      <c r="D3" s="432">
        <v>1</v>
      </c>
      <c r="E3" s="432" t="s">
        <v>169</v>
      </c>
      <c r="F3" s="434">
        <f>H3</f>
        <v>42488.1</v>
      </c>
      <c r="G3" s="436">
        <f>F3*D3</f>
        <v>42488.1</v>
      </c>
      <c r="H3" s="48">
        <f>I3*'Prices without ATS'!$K$2</f>
        <v>42488.1</v>
      </c>
      <c r="I3" s="88">
        <v>8331</v>
      </c>
      <c r="J3" s="88"/>
      <c r="K3" s="88"/>
    </row>
    <row r="4" spans="1:11" ht="18" customHeight="1" x14ac:dyDescent="0.3">
      <c r="A4" s="45" t="s">
        <v>171</v>
      </c>
      <c r="B4" s="132" t="s">
        <v>372</v>
      </c>
      <c r="C4" s="157" t="s">
        <v>373</v>
      </c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16.5</v>
      </c>
      <c r="E5" s="99" t="s">
        <v>176</v>
      </c>
      <c r="F5" s="100">
        <f>6.5/1.05</f>
        <v>6.1904761904761898</v>
      </c>
      <c r="G5" s="101">
        <f t="shared" ref="G5:G20" si="0">D5*F5</f>
        <v>102.14285714285714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14</v>
      </c>
      <c r="E6" s="99" t="s">
        <v>176</v>
      </c>
      <c r="F6" s="100">
        <f>0.9/1.05</f>
        <v>0.8571428571428571</v>
      </c>
      <c r="G6" s="101">
        <f t="shared" si="0"/>
        <v>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7</v>
      </c>
      <c r="E7" s="99" t="s">
        <v>176</v>
      </c>
      <c r="F7" s="100">
        <f>2.9/1.05</f>
        <v>2.7619047619047619</v>
      </c>
      <c r="G7" s="101">
        <f t="shared" si="0"/>
        <v>19.333333333333332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785.10952380952381</v>
      </c>
      <c r="G9" s="160">
        <f t="shared" si="0"/>
        <v>785.10952380952381</v>
      </c>
    </row>
    <row r="10" spans="1:11" ht="18" customHeight="1" x14ac:dyDescent="0.3">
      <c r="A10" s="45" t="s">
        <v>189</v>
      </c>
      <c r="B10" s="156" t="s">
        <v>190</v>
      </c>
      <c r="C10" s="157" t="s">
        <v>191</v>
      </c>
      <c r="D10" s="158">
        <v>4</v>
      </c>
      <c r="E10" s="158" t="s">
        <v>169</v>
      </c>
      <c r="F10" s="159">
        <f>17.7/1.05</f>
        <v>16.857142857142854</v>
      </c>
      <c r="G10" s="160">
        <f t="shared" si="0"/>
        <v>67.428571428571416</v>
      </c>
    </row>
    <row r="11" spans="1:11" ht="18" customHeight="1" x14ac:dyDescent="0.3">
      <c r="A11" s="45" t="s">
        <v>192</v>
      </c>
      <c r="B11" s="161" t="s">
        <v>355</v>
      </c>
      <c r="C11" s="162" t="s">
        <v>356</v>
      </c>
      <c r="D11" s="158">
        <v>1</v>
      </c>
      <c r="E11" s="158" t="s">
        <v>169</v>
      </c>
      <c r="F11" s="159">
        <v>848.70866666666666</v>
      </c>
      <c r="G11" s="160">
        <f t="shared" si="0"/>
        <v>848.70866666666666</v>
      </c>
    </row>
    <row r="12" spans="1:11" ht="18" customHeight="1" x14ac:dyDescent="0.3">
      <c r="A12" s="45" t="s">
        <v>195</v>
      </c>
      <c r="B12" s="161" t="s">
        <v>357</v>
      </c>
      <c r="C12" s="162" t="s">
        <v>188</v>
      </c>
      <c r="D12" s="158">
        <v>1</v>
      </c>
      <c r="E12" s="158" t="s">
        <v>169</v>
      </c>
      <c r="F12" s="159">
        <v>257.14857142857142</v>
      </c>
      <c r="G12" s="160">
        <f t="shared" si="0"/>
        <v>257.14857142857142</v>
      </c>
    </row>
    <row r="13" spans="1:11" ht="18" customHeight="1" x14ac:dyDescent="0.3">
      <c r="A13" s="45" t="s">
        <v>197</v>
      </c>
      <c r="B13" s="161" t="s">
        <v>358</v>
      </c>
      <c r="C13" s="157" t="s">
        <v>359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360</v>
      </c>
      <c r="C14" s="157" t="s">
        <v>361</v>
      </c>
      <c r="D14" s="163">
        <v>1</v>
      </c>
      <c r="E14" s="163" t="s">
        <v>169</v>
      </c>
      <c r="F14" s="159">
        <v>296.75</v>
      </c>
      <c r="G14" s="164">
        <f t="shared" si="0"/>
        <v>296.75</v>
      </c>
    </row>
    <row r="15" spans="1:11" ht="18" customHeight="1" x14ac:dyDescent="0.3">
      <c r="A15" s="45" t="s">
        <v>204</v>
      </c>
      <c r="B15" s="161" t="s">
        <v>362</v>
      </c>
      <c r="C15" s="157" t="s">
        <v>363</v>
      </c>
      <c r="D15" s="163" t="s">
        <v>183</v>
      </c>
      <c r="E15" s="165" t="s">
        <v>200</v>
      </c>
      <c r="F15" s="159">
        <v>25.74</v>
      </c>
      <c r="G15" s="164">
        <f t="shared" si="0"/>
        <v>154.44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2</v>
      </c>
      <c r="E16" s="158" t="s">
        <v>169</v>
      </c>
      <c r="F16" s="159">
        <v>7</v>
      </c>
      <c r="G16" s="164">
        <f t="shared" si="0"/>
        <v>14</v>
      </c>
    </row>
    <row r="17" spans="1:7" ht="18" customHeight="1" x14ac:dyDescent="0.3">
      <c r="A17" s="45" t="s">
        <v>210</v>
      </c>
      <c r="B17" s="161" t="s">
        <v>364</v>
      </c>
      <c r="C17" s="157" t="s">
        <v>365</v>
      </c>
      <c r="D17" s="165" t="s">
        <v>167</v>
      </c>
      <c r="E17" s="165" t="s">
        <v>169</v>
      </c>
      <c r="F17" s="159">
        <f>262.5/1.05</f>
        <v>250</v>
      </c>
      <c r="G17" s="164">
        <f t="shared" si="0"/>
        <v>250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292</v>
      </c>
      <c r="E18" s="158" t="s">
        <v>200</v>
      </c>
      <c r="F18" s="159">
        <v>13.8</v>
      </c>
      <c r="G18" s="164">
        <f t="shared" si="0"/>
        <v>20.700000000000003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292</v>
      </c>
      <c r="E19" s="165" t="s">
        <v>200</v>
      </c>
      <c r="F19" s="159">
        <v>13.81</v>
      </c>
      <c r="G19" s="164">
        <f t="shared" si="0"/>
        <v>20.715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545.1</v>
      </c>
      <c r="G21" s="170">
        <f>D21*F21</f>
        <v>545.1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2124.4050000000002</v>
      </c>
      <c r="G22" s="68">
        <f>F22*D22</f>
        <v>2124.4050000000002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5500/18</f>
        <v>305.55555555555554</v>
      </c>
      <c r="G23" s="68">
        <f>F23*D23</f>
        <v>305.55555555555554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1487.0835000000002</v>
      </c>
      <c r="G24" s="68">
        <f>F24*D24</f>
        <v>1487.0835000000002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3000/18</f>
        <v>166.66666666666666</v>
      </c>
      <c r="G25" s="72">
        <f>F25*D25</f>
        <v>166.66666666666666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50231.745817460309</v>
      </c>
    </row>
    <row r="28" spans="1:7" ht="18" customHeight="1" thickBot="1" x14ac:dyDescent="0.35"/>
    <row r="29" spans="1:7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750</v>
      </c>
      <c r="G33" s="51">
        <f>D33*F33</f>
        <v>750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49">
        <v>500</v>
      </c>
      <c r="G34" s="51">
        <f t="shared" ref="G34:G46" si="1">D34*F34</f>
        <v>500</v>
      </c>
    </row>
    <row r="35" spans="1:7" ht="18" customHeight="1" x14ac:dyDescent="0.3">
      <c r="A35" s="82">
        <v>4</v>
      </c>
      <c r="B35" s="46" t="s">
        <v>348</v>
      </c>
      <c r="C35" s="47" t="s">
        <v>349</v>
      </c>
      <c r="D35" s="49">
        <v>1</v>
      </c>
      <c r="E35" s="49" t="s">
        <v>169</v>
      </c>
      <c r="F35" s="49">
        <v>2322</v>
      </c>
      <c r="G35" s="153">
        <f t="shared" si="1"/>
        <v>2322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8</v>
      </c>
      <c r="E41" s="49" t="s">
        <v>169</v>
      </c>
      <c r="F41" s="49">
        <v>42.76</v>
      </c>
      <c r="G41" s="51">
        <f t="shared" si="1"/>
        <v>342.08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4409.8085714285726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54641.554388888879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375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376</v>
      </c>
      <c r="C3" s="154"/>
      <c r="D3" s="432">
        <v>1</v>
      </c>
      <c r="E3" s="432" t="s">
        <v>169</v>
      </c>
      <c r="F3" s="434">
        <f>H3</f>
        <v>46797.599999999999</v>
      </c>
      <c r="G3" s="436">
        <f>F3*D3</f>
        <v>46797.599999999999</v>
      </c>
      <c r="H3" s="48">
        <f>I3*'Prices without ATS'!$K$2</f>
        <v>46797.599999999999</v>
      </c>
      <c r="I3" s="88">
        <v>9176</v>
      </c>
      <c r="J3" s="88"/>
      <c r="K3" s="88"/>
    </row>
    <row r="4" spans="1:11" ht="18" customHeight="1" x14ac:dyDescent="0.3">
      <c r="A4" s="45" t="s">
        <v>171</v>
      </c>
      <c r="B4" s="132" t="s">
        <v>377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16.5</v>
      </c>
      <c r="E5" s="99" t="s">
        <v>176</v>
      </c>
      <c r="F5" s="100">
        <f>6.5/1.05</f>
        <v>6.1904761904761898</v>
      </c>
      <c r="G5" s="101">
        <f t="shared" ref="G5:G20" si="0">D5*F5</f>
        <v>102.14285714285714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14</v>
      </c>
      <c r="E6" s="99" t="s">
        <v>176</v>
      </c>
      <c r="F6" s="100">
        <f>0.9/1.05</f>
        <v>0.8571428571428571</v>
      </c>
      <c r="G6" s="101">
        <f t="shared" si="0"/>
        <v>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7</v>
      </c>
      <c r="E7" s="99" t="s">
        <v>176</v>
      </c>
      <c r="F7" s="100">
        <f>2.9/1.05</f>
        <v>2.7619047619047619</v>
      </c>
      <c r="G7" s="101">
        <f t="shared" si="0"/>
        <v>19.333333333333332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785.10952380952381</v>
      </c>
      <c r="G9" s="160">
        <f t="shared" si="0"/>
        <v>785.10952380952381</v>
      </c>
    </row>
    <row r="10" spans="1:11" ht="18" customHeight="1" x14ac:dyDescent="0.3">
      <c r="A10" s="45" t="s">
        <v>189</v>
      </c>
      <c r="B10" s="156" t="s">
        <v>190</v>
      </c>
      <c r="C10" s="157" t="s">
        <v>191</v>
      </c>
      <c r="D10" s="158">
        <v>4</v>
      </c>
      <c r="E10" s="158" t="s">
        <v>169</v>
      </c>
      <c r="F10" s="159">
        <f>17.7/1.05</f>
        <v>16.857142857142854</v>
      </c>
      <c r="G10" s="160">
        <f t="shared" si="0"/>
        <v>67.428571428571416</v>
      </c>
    </row>
    <row r="11" spans="1:11" ht="18" customHeight="1" x14ac:dyDescent="0.3">
      <c r="A11" s="45" t="s">
        <v>192</v>
      </c>
      <c r="B11" s="161" t="s">
        <v>355</v>
      </c>
      <c r="C11" s="162" t="s">
        <v>356</v>
      </c>
      <c r="D11" s="158">
        <v>1</v>
      </c>
      <c r="E11" s="158" t="s">
        <v>169</v>
      </c>
      <c r="F11" s="159">
        <v>848.70866666666666</v>
      </c>
      <c r="G11" s="160">
        <f t="shared" si="0"/>
        <v>848.70866666666666</v>
      </c>
    </row>
    <row r="12" spans="1:11" ht="18" customHeight="1" x14ac:dyDescent="0.3">
      <c r="A12" s="45" t="s">
        <v>195</v>
      </c>
      <c r="B12" s="161" t="s">
        <v>290</v>
      </c>
      <c r="C12" s="162" t="s">
        <v>188</v>
      </c>
      <c r="D12" s="158">
        <v>1</v>
      </c>
      <c r="E12" s="158" t="s">
        <v>169</v>
      </c>
      <c r="F12" s="159">
        <v>257.14857142857142</v>
      </c>
      <c r="G12" s="160">
        <f t="shared" si="0"/>
        <v>257.14857142857142</v>
      </c>
    </row>
    <row r="13" spans="1:11" ht="18" customHeight="1" x14ac:dyDescent="0.3">
      <c r="A13" s="45" t="s">
        <v>197</v>
      </c>
      <c r="B13" s="161" t="s">
        <v>358</v>
      </c>
      <c r="C13" s="157" t="s">
        <v>359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378</v>
      </c>
      <c r="C14" s="157" t="s">
        <v>379</v>
      </c>
      <c r="D14" s="163">
        <v>1</v>
      </c>
      <c r="E14" s="163" t="s">
        <v>169</v>
      </c>
      <c r="F14" s="159">
        <v>644.79999999999995</v>
      </c>
      <c r="G14" s="164">
        <f t="shared" si="0"/>
        <v>644.79999999999995</v>
      </c>
    </row>
    <row r="15" spans="1:11" ht="18" customHeight="1" x14ac:dyDescent="0.3">
      <c r="A15" s="45" t="s">
        <v>204</v>
      </c>
      <c r="B15" s="161" t="s">
        <v>380</v>
      </c>
      <c r="C15" s="157" t="s">
        <v>381</v>
      </c>
      <c r="D15" s="163" t="s">
        <v>183</v>
      </c>
      <c r="E15" s="165" t="s">
        <v>200</v>
      </c>
      <c r="F15" s="159">
        <v>45.5</v>
      </c>
      <c r="G15" s="164">
        <f t="shared" si="0"/>
        <v>273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2</v>
      </c>
      <c r="E16" s="158" t="s">
        <v>169</v>
      </c>
      <c r="F16" s="159">
        <v>7</v>
      </c>
      <c r="G16" s="164">
        <f t="shared" si="0"/>
        <v>14</v>
      </c>
    </row>
    <row r="17" spans="1:7" ht="18" customHeight="1" x14ac:dyDescent="0.3">
      <c r="A17" s="45" t="s">
        <v>210</v>
      </c>
      <c r="B17" s="161" t="s">
        <v>364</v>
      </c>
      <c r="C17" s="157" t="s">
        <v>365</v>
      </c>
      <c r="D17" s="165" t="s">
        <v>167</v>
      </c>
      <c r="E17" s="165" t="s">
        <v>169</v>
      </c>
      <c r="F17" s="159">
        <f>262.5/1.05</f>
        <v>250</v>
      </c>
      <c r="G17" s="164">
        <f t="shared" si="0"/>
        <v>250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292</v>
      </c>
      <c r="E18" s="158" t="s">
        <v>200</v>
      </c>
      <c r="F18" s="159">
        <v>13.8</v>
      </c>
      <c r="G18" s="164">
        <f t="shared" si="0"/>
        <v>20.700000000000003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292</v>
      </c>
      <c r="E19" s="165" t="s">
        <v>200</v>
      </c>
      <c r="F19" s="159">
        <v>13.81</v>
      </c>
      <c r="G19" s="164">
        <f t="shared" si="0"/>
        <v>20.715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545.1</v>
      </c>
      <c r="G21" s="170">
        <f>D21*F21</f>
        <v>545.1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2339.88</v>
      </c>
      <c r="G22" s="68">
        <f>F22*D22</f>
        <v>2339.88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5500/18</f>
        <v>305.55555555555554</v>
      </c>
      <c r="G23" s="68">
        <f>F23*D23</f>
        <v>305.55555555555554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1637.9160000000002</v>
      </c>
      <c r="G24" s="68">
        <f>F24*D24</f>
        <v>1637.9160000000002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3000/18</f>
        <v>166.66666666666666</v>
      </c>
      <c r="G25" s="72">
        <f>F25*D25</f>
        <v>166.66666666666666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55374.163317460305</v>
      </c>
    </row>
    <row r="28" spans="1:7" ht="18" customHeight="1" thickBot="1" x14ac:dyDescent="0.35">
      <c r="A28"/>
      <c r="B28"/>
      <c r="C28"/>
      <c r="D28"/>
      <c r="E28"/>
      <c r="F28"/>
      <c r="G28"/>
    </row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750</v>
      </c>
      <c r="G33" s="51">
        <f>D33*F33</f>
        <v>750</v>
      </c>
    </row>
    <row r="34" spans="1:7" ht="18" customHeight="1" x14ac:dyDescent="0.3">
      <c r="A34" s="82">
        <v>3</v>
      </c>
      <c r="B34" s="46" t="s">
        <v>382</v>
      </c>
      <c r="C34" s="47" t="s">
        <v>188</v>
      </c>
      <c r="D34" s="49">
        <v>1</v>
      </c>
      <c r="E34" s="49" t="s">
        <v>169</v>
      </c>
      <c r="F34" s="49">
        <v>500</v>
      </c>
      <c r="G34" s="51">
        <f t="shared" ref="G34:G46" si="1">D34*F34</f>
        <v>500</v>
      </c>
    </row>
    <row r="35" spans="1:7" ht="18" customHeight="1" x14ac:dyDescent="0.3">
      <c r="A35" s="82">
        <v>4</v>
      </c>
      <c r="B35" s="46" t="s">
        <v>383</v>
      </c>
      <c r="C35" s="47" t="s">
        <v>349</v>
      </c>
      <c r="D35" s="49">
        <v>1</v>
      </c>
      <c r="E35" s="49" t="s">
        <v>169</v>
      </c>
      <c r="F35" s="49">
        <v>3165</v>
      </c>
      <c r="G35" s="153">
        <f t="shared" si="1"/>
        <v>3165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5423.6438095238091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60797.807126984117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M65" sqref="M65"/>
    </sheetView>
  </sheetViews>
  <sheetFormatPr defaultColWidth="9.109375" defaultRowHeight="14.4" x14ac:dyDescent="0.3"/>
  <cols>
    <col min="1" max="16384" width="9.109375" style="1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384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385</v>
      </c>
      <c r="C3" s="154"/>
      <c r="D3" s="432">
        <v>1</v>
      </c>
      <c r="E3" s="432" t="s">
        <v>169</v>
      </c>
      <c r="F3" s="434">
        <f>H3</f>
        <v>52178.1</v>
      </c>
      <c r="G3" s="436">
        <f>F3*D3</f>
        <v>52178.1</v>
      </c>
      <c r="H3" s="48">
        <f>I3*'Prices without ATS'!$K$2</f>
        <v>52178.1</v>
      </c>
      <c r="I3" s="88">
        <v>10231</v>
      </c>
      <c r="J3" s="88"/>
      <c r="K3" s="88"/>
    </row>
    <row r="4" spans="1:11" ht="18" customHeight="1" x14ac:dyDescent="0.3">
      <c r="A4" s="45" t="s">
        <v>171</v>
      </c>
      <c r="B4" s="132" t="s">
        <v>386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16.5</v>
      </c>
      <c r="E5" s="99" t="s">
        <v>176</v>
      </c>
      <c r="F5" s="100">
        <f>6.5/1.05</f>
        <v>6.1904761904761898</v>
      </c>
      <c r="G5" s="101">
        <f t="shared" ref="G5:G20" si="0">D5*F5</f>
        <v>102.14285714285714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14</v>
      </c>
      <c r="E6" s="99" t="s">
        <v>176</v>
      </c>
      <c r="F6" s="100">
        <f>0.9/1.05</f>
        <v>0.8571428571428571</v>
      </c>
      <c r="G6" s="101">
        <f t="shared" si="0"/>
        <v>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7</v>
      </c>
      <c r="E7" s="99" t="s">
        <v>176</v>
      </c>
      <c r="F7" s="100">
        <f>2.9/1.05</f>
        <v>2.7619047619047619</v>
      </c>
      <c r="G7" s="101">
        <f t="shared" si="0"/>
        <v>19.333333333333332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260.86</v>
      </c>
      <c r="G8" s="160">
        <f t="shared" si="0"/>
        <v>260.86</v>
      </c>
    </row>
    <row r="9" spans="1:11" ht="18" customHeight="1" x14ac:dyDescent="0.3">
      <c r="A9" s="45" t="s">
        <v>186</v>
      </c>
      <c r="B9" s="156" t="s">
        <v>387</v>
      </c>
      <c r="C9" s="157" t="s">
        <v>188</v>
      </c>
      <c r="D9" s="158">
        <v>1</v>
      </c>
      <c r="E9" s="158" t="s">
        <v>169</v>
      </c>
      <c r="F9" s="159">
        <v>906.25</v>
      </c>
      <c r="G9" s="160">
        <f t="shared" si="0"/>
        <v>906.25</v>
      </c>
    </row>
    <row r="10" spans="1:11" ht="18" customHeight="1" x14ac:dyDescent="0.3">
      <c r="A10" s="45" t="s">
        <v>189</v>
      </c>
      <c r="B10" s="156" t="s">
        <v>190</v>
      </c>
      <c r="C10" s="157" t="s">
        <v>191</v>
      </c>
      <c r="D10" s="158">
        <v>4</v>
      </c>
      <c r="E10" s="158" t="s">
        <v>169</v>
      </c>
      <c r="F10" s="159">
        <f>17.7/1.05</f>
        <v>16.857142857142854</v>
      </c>
      <c r="G10" s="160">
        <f t="shared" si="0"/>
        <v>67.428571428571416</v>
      </c>
    </row>
    <row r="11" spans="1:11" ht="18" customHeight="1" x14ac:dyDescent="0.3">
      <c r="A11" s="45" t="s">
        <v>192</v>
      </c>
      <c r="B11" s="161" t="s">
        <v>355</v>
      </c>
      <c r="C11" s="162" t="s">
        <v>356</v>
      </c>
      <c r="D11" s="158">
        <v>1</v>
      </c>
      <c r="E11" s="158" t="s">
        <v>169</v>
      </c>
      <c r="F11" s="159">
        <v>966.05</v>
      </c>
      <c r="G11" s="160">
        <f t="shared" si="0"/>
        <v>966.05</v>
      </c>
    </row>
    <row r="12" spans="1:11" ht="18" customHeight="1" x14ac:dyDescent="0.3">
      <c r="A12" s="45" t="s">
        <v>195</v>
      </c>
      <c r="B12" s="161" t="s">
        <v>290</v>
      </c>
      <c r="C12" s="162" t="s">
        <v>188</v>
      </c>
      <c r="D12" s="158">
        <v>1</v>
      </c>
      <c r="E12" s="158" t="s">
        <v>169</v>
      </c>
      <c r="F12" s="159">
        <v>299.69</v>
      </c>
      <c r="G12" s="160">
        <f t="shared" si="0"/>
        <v>299.69</v>
      </c>
    </row>
    <row r="13" spans="1:11" ht="18" customHeight="1" x14ac:dyDescent="0.3">
      <c r="A13" s="45" t="s">
        <v>197</v>
      </c>
      <c r="B13" s="161" t="s">
        <v>388</v>
      </c>
      <c r="C13" s="157" t="s">
        <v>389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390</v>
      </c>
      <c r="C14" s="157" t="s">
        <v>391</v>
      </c>
      <c r="D14" s="163">
        <v>1</v>
      </c>
      <c r="E14" s="163" t="s">
        <v>169</v>
      </c>
      <c r="F14" s="159">
        <v>644.79999999999995</v>
      </c>
      <c r="G14" s="160">
        <f t="shared" si="0"/>
        <v>644.79999999999995</v>
      </c>
    </row>
    <row r="15" spans="1:11" ht="18" customHeight="1" x14ac:dyDescent="0.3">
      <c r="A15" s="45" t="s">
        <v>204</v>
      </c>
      <c r="B15" s="161" t="s">
        <v>380</v>
      </c>
      <c r="C15" s="157" t="s">
        <v>381</v>
      </c>
      <c r="D15" s="163" t="s">
        <v>183</v>
      </c>
      <c r="E15" s="165" t="s">
        <v>200</v>
      </c>
      <c r="F15" s="159">
        <v>45.5</v>
      </c>
      <c r="G15" s="164">
        <f t="shared" si="0"/>
        <v>273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2</v>
      </c>
      <c r="E16" s="158" t="s">
        <v>169</v>
      </c>
      <c r="F16" s="159">
        <v>7</v>
      </c>
      <c r="G16" s="164">
        <f t="shared" si="0"/>
        <v>14</v>
      </c>
    </row>
    <row r="17" spans="1:7" ht="18" customHeight="1" x14ac:dyDescent="0.3">
      <c r="A17" s="45" t="s">
        <v>210</v>
      </c>
      <c r="B17" s="161" t="s">
        <v>364</v>
      </c>
      <c r="C17" s="157" t="s">
        <v>365</v>
      </c>
      <c r="D17" s="165" t="s">
        <v>167</v>
      </c>
      <c r="E17" s="165" t="s">
        <v>169</v>
      </c>
      <c r="F17" s="159">
        <f>262.5/1.05</f>
        <v>250</v>
      </c>
      <c r="G17" s="164">
        <f t="shared" si="0"/>
        <v>250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292</v>
      </c>
      <c r="E18" s="158" t="s">
        <v>200</v>
      </c>
      <c r="F18" s="159">
        <v>13.8</v>
      </c>
      <c r="G18" s="164">
        <f t="shared" si="0"/>
        <v>20.700000000000003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292</v>
      </c>
      <c r="E19" s="165" t="s">
        <v>200</v>
      </c>
      <c r="F19" s="159">
        <v>13.81</v>
      </c>
      <c r="G19" s="164">
        <f t="shared" si="0"/>
        <v>20.715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545.1</v>
      </c>
      <c r="G21" s="170">
        <f>D21*F21</f>
        <v>545.1</v>
      </c>
    </row>
    <row r="22" spans="1:7" ht="18" customHeight="1" x14ac:dyDescent="0.3">
      <c r="A22" s="53" t="s">
        <v>223</v>
      </c>
      <c r="B22" s="64" t="s">
        <v>222</v>
      </c>
      <c r="C22" s="65" t="s">
        <v>188</v>
      </c>
      <c r="D22" s="66">
        <v>1</v>
      </c>
      <c r="E22" s="67"/>
      <c r="F22" s="67">
        <f>H3*0.05</f>
        <v>2608.9050000000002</v>
      </c>
      <c r="G22" s="68">
        <f>F22*D22</f>
        <v>2608.9050000000002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5500/18</f>
        <v>305.55555555555554</v>
      </c>
      <c r="G23" s="68">
        <f>F23*D23</f>
        <v>305.55555555555554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1826.2335</v>
      </c>
      <c r="G24" s="68">
        <f>F24*D24</f>
        <v>1826.2335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3000/18</f>
        <v>166.66666666666666</v>
      </c>
      <c r="G25" s="72">
        <f>F25*D25</f>
        <v>166.66666666666666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61551.530484126983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750</v>
      </c>
      <c r="G33" s="51">
        <f>D33*F33</f>
        <v>750</v>
      </c>
    </row>
    <row r="34" spans="1:7" ht="18" customHeight="1" x14ac:dyDescent="0.3">
      <c r="A34" s="82">
        <v>3</v>
      </c>
      <c r="B34" s="46" t="s">
        <v>368</v>
      </c>
      <c r="C34" s="47" t="s">
        <v>188</v>
      </c>
      <c r="D34" s="49">
        <v>1</v>
      </c>
      <c r="E34" s="49" t="s">
        <v>169</v>
      </c>
      <c r="F34" s="49">
        <v>500</v>
      </c>
      <c r="G34" s="51">
        <f t="shared" ref="G34:G46" si="1">D34*F34</f>
        <v>500</v>
      </c>
    </row>
    <row r="35" spans="1:7" ht="18" customHeight="1" x14ac:dyDescent="0.3">
      <c r="A35" s="82">
        <v>4</v>
      </c>
      <c r="B35" s="46" t="s">
        <v>383</v>
      </c>
      <c r="C35" s="47" t="s">
        <v>349</v>
      </c>
      <c r="D35" s="49">
        <v>1</v>
      </c>
      <c r="E35" s="49" t="s">
        <v>169</v>
      </c>
      <c r="F35" s="49">
        <v>3165</v>
      </c>
      <c r="G35" s="153">
        <f t="shared" si="1"/>
        <v>3165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153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5423.6438095238091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66975.174293650794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0" width="9.109375" style="34"/>
    <col min="11" max="11" width="13.44140625" style="34" customWidth="1"/>
    <col min="12" max="16384" width="9.109375" style="34"/>
  </cols>
  <sheetData>
    <row r="1" spans="1:11" ht="18" customHeight="1" thickTop="1" thickBot="1" x14ac:dyDescent="0.35">
      <c r="A1" s="422" t="s">
        <v>392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393</v>
      </c>
      <c r="C3" s="154"/>
      <c r="D3" s="432">
        <v>1</v>
      </c>
      <c r="E3" s="432" t="s">
        <v>169</v>
      </c>
      <c r="F3" s="434">
        <f>H3</f>
        <v>60674.7</v>
      </c>
      <c r="G3" s="436">
        <f>F3*D3</f>
        <v>60674.7</v>
      </c>
      <c r="H3" s="48">
        <f>I3*'Prices without ATS'!$K$2</f>
        <v>60674.7</v>
      </c>
      <c r="I3" s="88">
        <v>11897</v>
      </c>
      <c r="J3" s="88"/>
      <c r="K3" s="88"/>
    </row>
    <row r="4" spans="1:11" ht="18" customHeight="1" x14ac:dyDescent="0.3">
      <c r="A4" s="45" t="s">
        <v>171</v>
      </c>
      <c r="B4" s="132" t="s">
        <v>386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41</v>
      </c>
      <c r="E5" s="99" t="s">
        <v>176</v>
      </c>
      <c r="F5" s="100">
        <f>6.5/1.05</f>
        <v>6.1904761904761898</v>
      </c>
      <c r="G5" s="101">
        <f t="shared" ref="G5:G20" si="0">D5*F5</f>
        <v>253.8095238095238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20</v>
      </c>
      <c r="E6" s="99" t="s">
        <v>176</v>
      </c>
      <c r="F6" s="100">
        <f>0.9/1.05</f>
        <v>0.8571428571428571</v>
      </c>
      <c r="G6" s="101">
        <f t="shared" si="0"/>
        <v>17.142857142857142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10</v>
      </c>
      <c r="E7" s="99" t="s">
        <v>176</v>
      </c>
      <c r="F7" s="100">
        <f>2.9/1.05</f>
        <v>2.7619047619047619</v>
      </c>
      <c r="G7" s="101">
        <f t="shared" si="0"/>
        <v>27.61904761904762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1508.8095238095239</v>
      </c>
      <c r="G9" s="160">
        <f t="shared" si="0"/>
        <v>1508.8095238095239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4</v>
      </c>
      <c r="E10" s="158" t="s">
        <v>169</v>
      </c>
      <c r="F10" s="159">
        <f>31.36/1.05</f>
        <v>29.866666666666664</v>
      </c>
      <c r="G10" s="160">
        <f t="shared" si="0"/>
        <v>119.46666666666665</v>
      </c>
    </row>
    <row r="11" spans="1:11" ht="18" customHeight="1" x14ac:dyDescent="0.3">
      <c r="A11" s="45" t="s">
        <v>192</v>
      </c>
      <c r="B11" s="161" t="s">
        <v>395</v>
      </c>
      <c r="C11" s="162" t="s">
        <v>396</v>
      </c>
      <c r="D11" s="158">
        <v>1</v>
      </c>
      <c r="E11" s="158" t="s">
        <v>169</v>
      </c>
      <c r="F11" s="159">
        <v>771.39438095238097</v>
      </c>
      <c r="G11" s="160">
        <f t="shared" si="0"/>
        <v>771.39438095238097</v>
      </c>
    </row>
    <row r="12" spans="1:11" ht="18" customHeight="1" x14ac:dyDescent="0.3">
      <c r="A12" s="45" t="s">
        <v>195</v>
      </c>
      <c r="B12" s="161" t="s">
        <v>290</v>
      </c>
      <c r="C12" s="162" t="s">
        <v>188</v>
      </c>
      <c r="D12" s="158">
        <v>1</v>
      </c>
      <c r="E12" s="158" t="s">
        <v>169</v>
      </c>
      <c r="F12" s="159">
        <v>352.09333333333331</v>
      </c>
      <c r="G12" s="160">
        <f t="shared" si="0"/>
        <v>352.09333333333331</v>
      </c>
    </row>
    <row r="13" spans="1:11" ht="18" customHeight="1" x14ac:dyDescent="0.3">
      <c r="A13" s="45" t="s">
        <v>197</v>
      </c>
      <c r="B13" s="161" t="s">
        <v>388</v>
      </c>
      <c r="C13" s="157" t="s">
        <v>389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390</v>
      </c>
      <c r="C14" s="157" t="s">
        <v>391</v>
      </c>
      <c r="D14" s="163">
        <v>1</v>
      </c>
      <c r="E14" s="163" t="s">
        <v>169</v>
      </c>
      <c r="F14" s="159">
        <v>644.79999999999995</v>
      </c>
      <c r="G14" s="160">
        <f t="shared" si="0"/>
        <v>644.79999999999995</v>
      </c>
    </row>
    <row r="15" spans="1:11" ht="18" customHeight="1" x14ac:dyDescent="0.3">
      <c r="A15" s="45" t="s">
        <v>204</v>
      </c>
      <c r="B15" s="161" t="s">
        <v>380</v>
      </c>
      <c r="C15" s="157" t="s">
        <v>381</v>
      </c>
      <c r="D15" s="163" t="s">
        <v>183</v>
      </c>
      <c r="E15" s="165" t="s">
        <v>200</v>
      </c>
      <c r="F15" s="159">
        <v>45.5</v>
      </c>
      <c r="G15" s="160">
        <f t="shared" si="0"/>
        <v>273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397</v>
      </c>
      <c r="C17" s="157" t="s">
        <v>398</v>
      </c>
      <c r="D17" s="165" t="s">
        <v>171</v>
      </c>
      <c r="E17" s="165" t="s">
        <v>169</v>
      </c>
      <c r="F17" s="159">
        <v>355</v>
      </c>
      <c r="G17" s="164">
        <f t="shared" si="0"/>
        <v>710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726.13</v>
      </c>
      <c r="G21" s="170">
        <f>D21*F21</f>
        <v>726.13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3033.7350000000001</v>
      </c>
      <c r="G22" s="68">
        <f>F22*D22</f>
        <v>3033.7350000000001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5500/10</f>
        <v>550</v>
      </c>
      <c r="G23" s="68">
        <f>F23*D23</f>
        <v>550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2123.6145000000001</v>
      </c>
      <c r="G24" s="68">
        <f>F24*D24</f>
        <v>2123.6145000000001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3000/10</f>
        <v>300</v>
      </c>
      <c r="G25" s="72">
        <f>F25*D25</f>
        <v>300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72435.893404761911</v>
      </c>
    </row>
    <row r="28" spans="1:7" ht="18" customHeight="1" thickBot="1" x14ac:dyDescent="0.35"/>
    <row r="29" spans="1:7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1400</v>
      </c>
      <c r="G33" s="51">
        <f>D33*F33</f>
        <v>1400</v>
      </c>
    </row>
    <row r="34" spans="1:7" ht="18" customHeight="1" x14ac:dyDescent="0.3">
      <c r="A34" s="82">
        <v>3</v>
      </c>
      <c r="B34" s="46" t="s">
        <v>336</v>
      </c>
      <c r="C34" s="47" t="s">
        <v>188</v>
      </c>
      <c r="D34" s="49">
        <v>1</v>
      </c>
      <c r="E34" s="49" t="s">
        <v>169</v>
      </c>
      <c r="F34" s="49">
        <v>600</v>
      </c>
      <c r="G34" s="51">
        <f t="shared" ref="G34:G46" si="1">D34*F34</f>
        <v>600</v>
      </c>
    </row>
    <row r="35" spans="1:7" ht="18" customHeight="1" x14ac:dyDescent="0.3">
      <c r="A35" s="82">
        <v>4</v>
      </c>
      <c r="B35" s="46" t="s">
        <v>383</v>
      </c>
      <c r="C35" s="47" t="s">
        <v>399</v>
      </c>
      <c r="D35" s="49">
        <v>1</v>
      </c>
      <c r="E35" s="49" t="s">
        <v>169</v>
      </c>
      <c r="F35" s="49">
        <v>3165</v>
      </c>
      <c r="G35" s="153">
        <f t="shared" si="1"/>
        <v>3165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6221.2628571428568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78657.156261904762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402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403</v>
      </c>
      <c r="C3" s="154"/>
      <c r="D3" s="432">
        <v>1</v>
      </c>
      <c r="E3" s="432" t="s">
        <v>169</v>
      </c>
      <c r="F3" s="434">
        <f>H3</f>
        <v>67044.599999999991</v>
      </c>
      <c r="G3" s="436">
        <f>F3*D3</f>
        <v>67044.599999999991</v>
      </c>
      <c r="H3" s="48">
        <f>I3*'Prices without ATS'!$K$2</f>
        <v>67044.599999999991</v>
      </c>
      <c r="I3" s="88">
        <v>13146</v>
      </c>
      <c r="J3" s="88"/>
      <c r="K3" s="88"/>
    </row>
    <row r="4" spans="1:11" ht="18" customHeight="1" x14ac:dyDescent="0.3">
      <c r="A4" s="45" t="s">
        <v>171</v>
      </c>
      <c r="B4" s="132" t="s">
        <v>404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41</v>
      </c>
      <c r="E5" s="99" t="s">
        <v>176</v>
      </c>
      <c r="F5" s="100">
        <f>6.5/1.05</f>
        <v>6.1904761904761898</v>
      </c>
      <c r="G5" s="101">
        <f t="shared" ref="G5:G20" si="0">D5*F5</f>
        <v>253.8095238095238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20</v>
      </c>
      <c r="E6" s="99" t="s">
        <v>176</v>
      </c>
      <c r="F6" s="100">
        <f>0.9/1.05</f>
        <v>0.8571428571428571</v>
      </c>
      <c r="G6" s="101">
        <f t="shared" si="0"/>
        <v>17.142857142857142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10</v>
      </c>
      <c r="E7" s="99" t="s">
        <v>176</v>
      </c>
      <c r="F7" s="100">
        <f>2.9/1.05</f>
        <v>2.7619047619047619</v>
      </c>
      <c r="G7" s="101">
        <f t="shared" si="0"/>
        <v>27.61904761904762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1508.8095238095239</v>
      </c>
      <c r="G9" s="160">
        <f t="shared" si="0"/>
        <v>1508.8095238095239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4</v>
      </c>
      <c r="E10" s="158" t="s">
        <v>169</v>
      </c>
      <c r="F10" s="159">
        <f>31.36/1.05</f>
        <v>29.866666666666664</v>
      </c>
      <c r="G10" s="160">
        <f t="shared" si="0"/>
        <v>119.46666666666665</v>
      </c>
    </row>
    <row r="11" spans="1:11" ht="18" customHeight="1" x14ac:dyDescent="0.3">
      <c r="A11" s="45" t="s">
        <v>192</v>
      </c>
      <c r="B11" s="161" t="s">
        <v>395</v>
      </c>
      <c r="C11" s="162" t="s">
        <v>396</v>
      </c>
      <c r="D11" s="158">
        <v>1</v>
      </c>
      <c r="E11" s="158" t="s">
        <v>169</v>
      </c>
      <c r="F11" s="159">
        <v>771.39438095238097</v>
      </c>
      <c r="G11" s="160">
        <f t="shared" si="0"/>
        <v>771.39438095238097</v>
      </c>
    </row>
    <row r="12" spans="1:11" ht="18" customHeight="1" x14ac:dyDescent="0.3">
      <c r="A12" s="45" t="s">
        <v>195</v>
      </c>
      <c r="B12" s="161" t="s">
        <v>405</v>
      </c>
      <c r="C12" s="162" t="s">
        <v>188</v>
      </c>
      <c r="D12" s="158">
        <v>1</v>
      </c>
      <c r="E12" s="158" t="s">
        <v>169</v>
      </c>
      <c r="F12" s="159">
        <v>352.09333333333331</v>
      </c>
      <c r="G12" s="160">
        <f t="shared" si="0"/>
        <v>352.09333333333331</v>
      </c>
    </row>
    <row r="13" spans="1:11" ht="18" customHeight="1" x14ac:dyDescent="0.3">
      <c r="A13" s="45" t="s">
        <v>197</v>
      </c>
      <c r="B13" s="161" t="s">
        <v>388</v>
      </c>
      <c r="C13" s="157" t="s">
        <v>389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406</v>
      </c>
      <c r="C14" s="157" t="s">
        <v>407</v>
      </c>
      <c r="D14" s="163">
        <v>1</v>
      </c>
      <c r="E14" s="163" t="s">
        <v>169</v>
      </c>
      <c r="F14" s="159">
        <v>644.79999999999995</v>
      </c>
      <c r="G14" s="160">
        <f t="shared" si="0"/>
        <v>644.79999999999995</v>
      </c>
    </row>
    <row r="15" spans="1:11" ht="18" customHeight="1" x14ac:dyDescent="0.3">
      <c r="A15" s="45" t="s">
        <v>204</v>
      </c>
      <c r="B15" s="161" t="s">
        <v>380</v>
      </c>
      <c r="C15" s="157" t="s">
        <v>381</v>
      </c>
      <c r="D15" s="163" t="s">
        <v>183</v>
      </c>
      <c r="E15" s="165" t="s">
        <v>200</v>
      </c>
      <c r="F15" s="159">
        <v>45.5</v>
      </c>
      <c r="G15" s="160">
        <f t="shared" si="0"/>
        <v>273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0">
        <f t="shared" si="0"/>
        <v>28</v>
      </c>
    </row>
    <row r="17" spans="1:7" ht="18" customHeight="1" x14ac:dyDescent="0.3">
      <c r="A17" s="45" t="s">
        <v>210</v>
      </c>
      <c r="B17" s="161" t="s">
        <v>397</v>
      </c>
      <c r="C17" s="157" t="s">
        <v>398</v>
      </c>
      <c r="D17" s="165" t="s">
        <v>171</v>
      </c>
      <c r="E17" s="165" t="s">
        <v>169</v>
      </c>
      <c r="F17" s="159">
        <v>355</v>
      </c>
      <c r="G17" s="164">
        <f t="shared" si="0"/>
        <v>710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726.13</v>
      </c>
      <c r="G21" s="170">
        <f>D21*F21</f>
        <v>726.13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3352.2299999999996</v>
      </c>
      <c r="G22" s="68">
        <f>F22*D22</f>
        <v>3352.2299999999996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5500/10</f>
        <v>550</v>
      </c>
      <c r="G23" s="68">
        <f>F23*D23</f>
        <v>550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2346.5609999999997</v>
      </c>
      <c r="G24" s="68">
        <f>F24*D24</f>
        <v>2346.5609999999997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3000/10</f>
        <v>300</v>
      </c>
      <c r="G25" s="72">
        <f>F25*D25</f>
        <v>300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79347.234904761906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1400</v>
      </c>
      <c r="G33" s="51">
        <f>D33*F33</f>
        <v>1400</v>
      </c>
    </row>
    <row r="34" spans="1:7" ht="18" customHeight="1" x14ac:dyDescent="0.3">
      <c r="A34" s="82">
        <v>3</v>
      </c>
      <c r="B34" s="46" t="s">
        <v>382</v>
      </c>
      <c r="C34" s="47" t="s">
        <v>188</v>
      </c>
      <c r="D34" s="49">
        <v>1</v>
      </c>
      <c r="E34" s="49" t="s">
        <v>169</v>
      </c>
      <c r="F34" s="49">
        <v>600</v>
      </c>
      <c r="G34" s="51">
        <f t="shared" ref="G34:G46" si="1">D34*F34</f>
        <v>600</v>
      </c>
    </row>
    <row r="35" spans="1:7" ht="18" customHeight="1" x14ac:dyDescent="0.3">
      <c r="A35" s="82">
        <v>4</v>
      </c>
      <c r="B35" s="46" t="s">
        <v>383</v>
      </c>
      <c r="C35" s="47" t="s">
        <v>399</v>
      </c>
      <c r="D35" s="49">
        <v>1</v>
      </c>
      <c r="E35" s="49" t="s">
        <v>169</v>
      </c>
      <c r="F35" s="49">
        <v>3165</v>
      </c>
      <c r="G35" s="153">
        <f t="shared" si="1"/>
        <v>3165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6221.2628571428568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85568.497761904757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408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409</v>
      </c>
      <c r="C3" s="154"/>
      <c r="D3" s="432">
        <v>1</v>
      </c>
      <c r="E3" s="432" t="s">
        <v>169</v>
      </c>
      <c r="F3" s="434">
        <f>H3</f>
        <v>67967.7</v>
      </c>
      <c r="G3" s="436">
        <f>F3*D3</f>
        <v>67967.7</v>
      </c>
      <c r="H3" s="48">
        <f>I3*'Prices without ATS'!$K$2</f>
        <v>67967.7</v>
      </c>
      <c r="I3" s="88">
        <v>13327</v>
      </c>
      <c r="J3" s="88"/>
      <c r="K3" s="88"/>
    </row>
    <row r="4" spans="1:11" ht="18" customHeight="1" x14ac:dyDescent="0.3">
      <c r="A4" s="45" t="s">
        <v>171</v>
      </c>
      <c r="B4" s="132" t="s">
        <v>410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41</v>
      </c>
      <c r="E5" s="99" t="s">
        <v>176</v>
      </c>
      <c r="F5" s="100">
        <f>6.5/1.05</f>
        <v>6.1904761904761898</v>
      </c>
      <c r="G5" s="101">
        <f t="shared" ref="G5:G20" si="0">D5*F5</f>
        <v>253.8095238095238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20</v>
      </c>
      <c r="E6" s="99" t="s">
        <v>176</v>
      </c>
      <c r="F6" s="100">
        <f>0.9/1.05</f>
        <v>0.8571428571428571</v>
      </c>
      <c r="G6" s="101">
        <f t="shared" si="0"/>
        <v>17.142857142857142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10</v>
      </c>
      <c r="E7" s="99" t="s">
        <v>176</v>
      </c>
      <c r="F7" s="100">
        <f>2.9/1.05</f>
        <v>2.7619047619047619</v>
      </c>
      <c r="G7" s="101">
        <f t="shared" si="0"/>
        <v>27.61904761904762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1508.8095238095239</v>
      </c>
      <c r="G9" s="160">
        <f t="shared" si="0"/>
        <v>1508.8095238095239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4</v>
      </c>
      <c r="E10" s="158" t="s">
        <v>169</v>
      </c>
      <c r="F10" s="159">
        <f>31.36/1.05</f>
        <v>29.866666666666664</v>
      </c>
      <c r="G10" s="160">
        <f t="shared" si="0"/>
        <v>119.46666666666665</v>
      </c>
    </row>
    <row r="11" spans="1:11" ht="18" customHeight="1" x14ac:dyDescent="0.3">
      <c r="A11" s="45" t="s">
        <v>192</v>
      </c>
      <c r="B11" s="161" t="s">
        <v>395</v>
      </c>
      <c r="C11" s="162" t="s">
        <v>396</v>
      </c>
      <c r="D11" s="158">
        <v>1</v>
      </c>
      <c r="E11" s="158" t="s">
        <v>169</v>
      </c>
      <c r="F11" s="159">
        <v>771.39438095238097</v>
      </c>
      <c r="G11" s="160">
        <f t="shared" si="0"/>
        <v>771.39438095238097</v>
      </c>
    </row>
    <row r="12" spans="1:11" ht="18" customHeight="1" x14ac:dyDescent="0.3">
      <c r="A12" s="45" t="s">
        <v>195</v>
      </c>
      <c r="B12" s="161" t="s">
        <v>276</v>
      </c>
      <c r="C12" s="162" t="s">
        <v>188</v>
      </c>
      <c r="D12" s="158">
        <v>1</v>
      </c>
      <c r="E12" s="158" t="s">
        <v>169</v>
      </c>
      <c r="F12" s="159">
        <v>352.09333333333331</v>
      </c>
      <c r="G12" s="160">
        <f t="shared" si="0"/>
        <v>352.09333333333331</v>
      </c>
    </row>
    <row r="13" spans="1:11" ht="18" customHeight="1" x14ac:dyDescent="0.3">
      <c r="A13" s="45" t="s">
        <v>197</v>
      </c>
      <c r="B13" s="161" t="s">
        <v>388</v>
      </c>
      <c r="C13" s="157" t="s">
        <v>389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406</v>
      </c>
      <c r="C14" s="157" t="s">
        <v>407</v>
      </c>
      <c r="D14" s="163">
        <v>1</v>
      </c>
      <c r="E14" s="163" t="s">
        <v>169</v>
      </c>
      <c r="F14" s="159">
        <v>644.79999999999995</v>
      </c>
      <c r="G14" s="160">
        <f t="shared" si="0"/>
        <v>644.79999999999995</v>
      </c>
    </row>
    <row r="15" spans="1:11" ht="18" customHeight="1" x14ac:dyDescent="0.3">
      <c r="A15" s="45" t="s">
        <v>204</v>
      </c>
      <c r="B15" s="161" t="s">
        <v>380</v>
      </c>
      <c r="C15" s="157" t="s">
        <v>381</v>
      </c>
      <c r="D15" s="163" t="s">
        <v>183</v>
      </c>
      <c r="E15" s="165" t="s">
        <v>200</v>
      </c>
      <c r="F15" s="159">
        <v>45.5</v>
      </c>
      <c r="G15" s="164">
        <f t="shared" si="0"/>
        <v>273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397</v>
      </c>
      <c r="C17" s="157" t="s">
        <v>398</v>
      </c>
      <c r="D17" s="165" t="s">
        <v>171</v>
      </c>
      <c r="E17" s="165" t="s">
        <v>169</v>
      </c>
      <c r="F17" s="159">
        <v>355</v>
      </c>
      <c r="G17" s="164">
        <f t="shared" si="0"/>
        <v>710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726.13</v>
      </c>
      <c r="G21" s="170">
        <f>D21*F21</f>
        <v>726.13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3398.3850000000002</v>
      </c>
      <c r="G22" s="68">
        <f>F22*D22</f>
        <v>3398.3850000000002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5500/10</f>
        <v>550</v>
      </c>
      <c r="G23" s="68">
        <f>F23*D23</f>
        <v>550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2378.8695000000002</v>
      </c>
      <c r="G24" s="68">
        <f>F24*D24</f>
        <v>2378.8695000000002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3000/10</f>
        <v>300</v>
      </c>
      <c r="G25" s="72">
        <f>F25*D25</f>
        <v>300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80348.79840476191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1400</v>
      </c>
      <c r="G33" s="51">
        <f>D33*F33</f>
        <v>1400</v>
      </c>
    </row>
    <row r="34" spans="1:7" ht="18" customHeight="1" x14ac:dyDescent="0.3">
      <c r="A34" s="82">
        <v>3</v>
      </c>
      <c r="B34" s="46" t="s">
        <v>411</v>
      </c>
      <c r="C34" s="47" t="s">
        <v>188</v>
      </c>
      <c r="D34" s="49">
        <v>1</v>
      </c>
      <c r="E34" s="49" t="s">
        <v>169</v>
      </c>
      <c r="F34" s="49">
        <v>600</v>
      </c>
      <c r="G34" s="51">
        <f t="shared" ref="G34:G46" si="1">D34*F34</f>
        <v>600</v>
      </c>
    </row>
    <row r="35" spans="1:7" ht="18" customHeight="1" x14ac:dyDescent="0.3">
      <c r="A35" s="82">
        <v>4</v>
      </c>
      <c r="B35" s="46" t="s">
        <v>383</v>
      </c>
      <c r="C35" s="47" t="s">
        <v>399</v>
      </c>
      <c r="D35" s="49">
        <v>1</v>
      </c>
      <c r="E35" s="49" t="s">
        <v>169</v>
      </c>
      <c r="F35" s="49">
        <v>3165</v>
      </c>
      <c r="G35" s="153">
        <f t="shared" si="1"/>
        <v>3165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6221.2628571428568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86570.061261904761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412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413</v>
      </c>
      <c r="C3" s="154"/>
      <c r="D3" s="432">
        <v>1</v>
      </c>
      <c r="E3" s="432" t="s">
        <v>169</v>
      </c>
      <c r="F3" s="434">
        <f>H3</f>
        <v>84864</v>
      </c>
      <c r="G3" s="436">
        <f>F3*D3</f>
        <v>84864</v>
      </c>
      <c r="H3" s="48">
        <f>I3*'Prices without ATS'!$K$2</f>
        <v>84864</v>
      </c>
      <c r="I3" s="88">
        <v>16640</v>
      </c>
      <c r="J3" s="88"/>
      <c r="K3" s="88"/>
    </row>
    <row r="4" spans="1:11" ht="18" customHeight="1" x14ac:dyDescent="0.3">
      <c r="A4" s="45" t="s">
        <v>171</v>
      </c>
      <c r="B4" s="132" t="s">
        <v>414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41</v>
      </c>
      <c r="E5" s="99" t="s">
        <v>176</v>
      </c>
      <c r="F5" s="100">
        <f>6.5/1.05</f>
        <v>6.1904761904761898</v>
      </c>
      <c r="G5" s="101">
        <f t="shared" ref="G5:G20" si="0">D5*F5</f>
        <v>253.8095238095238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21</v>
      </c>
      <c r="E6" s="99" t="s">
        <v>176</v>
      </c>
      <c r="F6" s="100">
        <f>0.9/1.05</f>
        <v>0.8571428571428571</v>
      </c>
      <c r="G6" s="101">
        <f t="shared" si="0"/>
        <v>18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12</v>
      </c>
      <c r="E7" s="99" t="s">
        <v>176</v>
      </c>
      <c r="F7" s="100">
        <f>2.9/1.05</f>
        <v>2.7619047619047619</v>
      </c>
      <c r="G7" s="101">
        <f t="shared" si="0"/>
        <v>33.142857142857139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387</v>
      </c>
      <c r="C9" s="157" t="s">
        <v>188</v>
      </c>
      <c r="D9" s="158">
        <v>1</v>
      </c>
      <c r="E9" s="158" t="s">
        <v>169</v>
      </c>
      <c r="F9" s="159">
        <v>1508.8095238095239</v>
      </c>
      <c r="G9" s="160">
        <f t="shared" si="0"/>
        <v>1508.8095238095239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395</v>
      </c>
      <c r="C11" s="162" t="s">
        <v>396</v>
      </c>
      <c r="D11" s="158">
        <v>1</v>
      </c>
      <c r="E11" s="158" t="s">
        <v>169</v>
      </c>
      <c r="F11" s="159">
        <v>771.39438095238097</v>
      </c>
      <c r="G11" s="160">
        <f t="shared" si="0"/>
        <v>771.39438095238097</v>
      </c>
    </row>
    <row r="12" spans="1:11" ht="18" customHeight="1" x14ac:dyDescent="0.3">
      <c r="A12" s="45" t="s">
        <v>195</v>
      </c>
      <c r="B12" s="161" t="s">
        <v>307</v>
      </c>
      <c r="C12" s="162" t="s">
        <v>188</v>
      </c>
      <c r="D12" s="158">
        <v>1</v>
      </c>
      <c r="E12" s="158" t="s">
        <v>169</v>
      </c>
      <c r="F12" s="159">
        <v>352.09333333333331</v>
      </c>
      <c r="G12" s="160">
        <f t="shared" si="0"/>
        <v>352.09333333333331</v>
      </c>
    </row>
    <row r="13" spans="1:11" ht="18" customHeight="1" x14ac:dyDescent="0.3">
      <c r="A13" s="45" t="s">
        <v>197</v>
      </c>
      <c r="B13" s="161" t="s">
        <v>415</v>
      </c>
      <c r="C13" s="157" t="s">
        <v>416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417</v>
      </c>
      <c r="C14" s="157" t="s">
        <v>418</v>
      </c>
      <c r="D14" s="163">
        <v>1</v>
      </c>
      <c r="E14" s="163" t="s">
        <v>169</v>
      </c>
      <c r="F14" s="159">
        <v>1120.96</v>
      </c>
      <c r="G14" s="160">
        <f t="shared" si="0"/>
        <v>1120.96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0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8" ht="18" customHeight="1" x14ac:dyDescent="0.3">
      <c r="A17" s="45" t="s">
        <v>210</v>
      </c>
      <c r="B17" s="161" t="s">
        <v>397</v>
      </c>
      <c r="C17" s="157" t="s">
        <v>398</v>
      </c>
      <c r="D17" s="165" t="s">
        <v>171</v>
      </c>
      <c r="E17" s="165" t="s">
        <v>169</v>
      </c>
      <c r="F17" s="159">
        <v>355</v>
      </c>
      <c r="G17" s="164">
        <f t="shared" si="0"/>
        <v>710</v>
      </c>
    </row>
    <row r="18" spans="1:8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8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8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8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726.13</v>
      </c>
      <c r="G21" s="170">
        <f>D21*F21</f>
        <v>726.13</v>
      </c>
    </row>
    <row r="22" spans="1:8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4243.2</v>
      </c>
      <c r="G22" s="68">
        <f>F22*D22</f>
        <v>4243.2</v>
      </c>
    </row>
    <row r="23" spans="1:8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5500/9</f>
        <v>611.11111111111109</v>
      </c>
      <c r="G23" s="68">
        <f>F23*D23</f>
        <v>611.11111111111109</v>
      </c>
    </row>
    <row r="24" spans="1:8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2970.2400000000002</v>
      </c>
      <c r="G24" s="68">
        <f>F24*D24</f>
        <v>2970.2400000000002</v>
      </c>
    </row>
    <row r="25" spans="1:8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3000/9</f>
        <v>333.33333333333331</v>
      </c>
      <c r="G25" s="72">
        <f>F25*D25</f>
        <v>333.33333333333331</v>
      </c>
    </row>
    <row r="26" spans="1:8" ht="18" customHeight="1" x14ac:dyDescent="0.3">
      <c r="A26" s="149"/>
      <c r="B26" s="64"/>
      <c r="C26" s="47"/>
      <c r="D26" s="48"/>
      <c r="E26" s="29"/>
      <c r="F26" s="74"/>
      <c r="G26" s="150"/>
    </row>
    <row r="27" spans="1:8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99480.822634920652</v>
      </c>
    </row>
    <row r="28" spans="1:8" ht="18" customHeight="1" thickBot="1" x14ac:dyDescent="0.35"/>
    <row r="29" spans="1:8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</row>
    <row r="30" spans="1:8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8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  <c r="H31"/>
    </row>
    <row r="32" spans="1:8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  <c r="H32"/>
    </row>
    <row r="33" spans="1:8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1400</v>
      </c>
      <c r="G33" s="51">
        <f>D33*F33</f>
        <v>1400</v>
      </c>
      <c r="H33"/>
    </row>
    <row r="34" spans="1:8" ht="18" customHeight="1" x14ac:dyDescent="0.3">
      <c r="A34" s="82">
        <v>3</v>
      </c>
      <c r="B34" s="46" t="s">
        <v>339</v>
      </c>
      <c r="C34" s="47" t="s">
        <v>188</v>
      </c>
      <c r="D34" s="49">
        <v>1</v>
      </c>
      <c r="E34" s="49" t="s">
        <v>169</v>
      </c>
      <c r="F34" s="49">
        <v>600</v>
      </c>
      <c r="G34" s="51">
        <f t="shared" ref="G34:G46" si="1">D34*F34</f>
        <v>600</v>
      </c>
      <c r="H34"/>
    </row>
    <row r="35" spans="1:8" ht="18" customHeight="1" x14ac:dyDescent="0.3">
      <c r="A35" s="82">
        <v>4</v>
      </c>
      <c r="B35" s="46" t="s">
        <v>421</v>
      </c>
      <c r="C35" s="47" t="s">
        <v>422</v>
      </c>
      <c r="D35" s="49">
        <v>1</v>
      </c>
      <c r="E35" s="49" t="s">
        <v>169</v>
      </c>
      <c r="F35" s="49">
        <v>4000</v>
      </c>
      <c r="G35" s="153">
        <f t="shared" si="1"/>
        <v>4000</v>
      </c>
      <c r="H35"/>
    </row>
    <row r="36" spans="1:8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  <c r="H36"/>
    </row>
    <row r="37" spans="1:8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  <c r="H37"/>
    </row>
    <row r="38" spans="1:8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  <c r="H38"/>
    </row>
    <row r="39" spans="1:8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  <c r="H39"/>
    </row>
    <row r="40" spans="1:8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  <c r="H40"/>
    </row>
    <row r="41" spans="1:8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  <c r="H41"/>
    </row>
    <row r="42" spans="1:8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  <c r="H42"/>
    </row>
    <row r="43" spans="1:8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  <c r="H43"/>
    </row>
    <row r="44" spans="1:8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  <c r="H44"/>
    </row>
    <row r="45" spans="1:8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  <c r="H45"/>
    </row>
    <row r="46" spans="1:8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  <c r="H46"/>
    </row>
    <row r="47" spans="1:8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  <c r="H47"/>
    </row>
    <row r="48" spans="1:8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7056.2628571428568</v>
      </c>
      <c r="H48"/>
    </row>
    <row r="49" spans="1:8" ht="18" customHeight="1" x14ac:dyDescent="0.3">
      <c r="H49"/>
    </row>
    <row r="50" spans="1:8" ht="18" customHeight="1" thickBot="1" x14ac:dyDescent="0.35">
      <c r="H50"/>
    </row>
    <row r="51" spans="1:8" ht="18" customHeight="1" thickBot="1" x14ac:dyDescent="0.35">
      <c r="A51" s="419" t="s">
        <v>258</v>
      </c>
      <c r="B51" s="420"/>
      <c r="C51" s="420"/>
      <c r="D51" s="421"/>
      <c r="E51" s="86">
        <f>G48+G27</f>
        <v>106537.0854920635</v>
      </c>
      <c r="H51"/>
    </row>
    <row r="52" spans="1:8" x14ac:dyDescent="0.3">
      <c r="H52"/>
    </row>
    <row r="53" spans="1:8" x14ac:dyDescent="0.3">
      <c r="A53" t="s">
        <v>259</v>
      </c>
      <c r="B53" s="4">
        <v>43450</v>
      </c>
      <c r="H53"/>
    </row>
    <row r="54" spans="1:8" x14ac:dyDescent="0.3">
      <c r="H54"/>
    </row>
    <row r="55" spans="1:8" x14ac:dyDescent="0.3">
      <c r="H55"/>
    </row>
    <row r="56" spans="1:8" x14ac:dyDescent="0.3">
      <c r="A56"/>
      <c r="B56"/>
      <c r="C56"/>
      <c r="D56"/>
      <c r="E56"/>
      <c r="F56"/>
      <c r="G56"/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  <row r="62" spans="1:8" x14ac:dyDescent="0.3">
      <c r="A62"/>
      <c r="B62"/>
      <c r="C62"/>
      <c r="D62"/>
      <c r="E62"/>
      <c r="F62"/>
      <c r="G62"/>
      <c r="H62"/>
    </row>
    <row r="63" spans="1:8" x14ac:dyDescent="0.3">
      <c r="A63"/>
      <c r="B63"/>
      <c r="C63"/>
      <c r="D63"/>
      <c r="E63"/>
      <c r="F63"/>
      <c r="G63"/>
      <c r="H63"/>
    </row>
    <row r="64" spans="1:8" x14ac:dyDescent="0.3">
      <c r="A64"/>
      <c r="B64"/>
      <c r="C64"/>
      <c r="D64"/>
      <c r="E64"/>
      <c r="F64"/>
      <c r="G64"/>
      <c r="H64"/>
    </row>
    <row r="65" spans="1:8" x14ac:dyDescent="0.3">
      <c r="A65"/>
      <c r="B65"/>
      <c r="C65"/>
      <c r="D65"/>
      <c r="E65"/>
      <c r="F65"/>
      <c r="G65"/>
      <c r="H65"/>
    </row>
    <row r="66" spans="1:8" x14ac:dyDescent="0.3">
      <c r="A66"/>
      <c r="B66"/>
      <c r="C66"/>
      <c r="D66"/>
      <c r="E66"/>
      <c r="F66"/>
      <c r="G66"/>
      <c r="H66"/>
    </row>
    <row r="67" spans="1:8" x14ac:dyDescent="0.3">
      <c r="A67"/>
      <c r="B67"/>
      <c r="C67"/>
      <c r="D67"/>
      <c r="E67"/>
      <c r="F67"/>
      <c r="G67"/>
      <c r="H67"/>
    </row>
    <row r="68" spans="1:8" x14ac:dyDescent="0.3">
      <c r="A68"/>
      <c r="B68"/>
      <c r="C68"/>
      <c r="D68"/>
      <c r="E68"/>
      <c r="F68"/>
      <c r="G68"/>
      <c r="H68"/>
    </row>
    <row r="69" spans="1:8" x14ac:dyDescent="0.3">
      <c r="A69"/>
      <c r="B69"/>
      <c r="C69"/>
      <c r="D69"/>
      <c r="E69"/>
      <c r="F69"/>
      <c r="G69"/>
      <c r="H69"/>
    </row>
    <row r="70" spans="1:8" x14ac:dyDescent="0.3">
      <c r="A70"/>
      <c r="B70"/>
      <c r="C70"/>
      <c r="D70"/>
      <c r="E70"/>
      <c r="F70"/>
      <c r="G70"/>
      <c r="H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  <c r="H72"/>
    </row>
    <row r="73" spans="1:8" x14ac:dyDescent="0.3">
      <c r="A73"/>
      <c r="B73"/>
      <c r="C73"/>
      <c r="D73"/>
      <c r="E73"/>
      <c r="F73"/>
      <c r="G73"/>
      <c r="H73"/>
    </row>
    <row r="74" spans="1:8" x14ac:dyDescent="0.3">
      <c r="A74"/>
      <c r="B74"/>
      <c r="C74"/>
      <c r="D74"/>
      <c r="E74"/>
      <c r="F74"/>
      <c r="G74"/>
      <c r="H74"/>
    </row>
    <row r="75" spans="1:8" x14ac:dyDescent="0.3">
      <c r="A75"/>
      <c r="B75"/>
      <c r="C75"/>
      <c r="D75"/>
      <c r="E75"/>
      <c r="F75"/>
      <c r="G75"/>
      <c r="H75"/>
    </row>
    <row r="76" spans="1:8" x14ac:dyDescent="0.3">
      <c r="A76"/>
      <c r="B76"/>
      <c r="C76"/>
      <c r="D76"/>
      <c r="E76"/>
      <c r="F76"/>
      <c r="G76"/>
      <c r="H76"/>
    </row>
    <row r="77" spans="1:8" x14ac:dyDescent="0.3">
      <c r="A77"/>
      <c r="B77"/>
      <c r="C77"/>
      <c r="D77"/>
      <c r="E77"/>
      <c r="F77"/>
      <c r="G77"/>
      <c r="H77"/>
    </row>
    <row r="78" spans="1:8" x14ac:dyDescent="0.3">
      <c r="A78"/>
      <c r="B78"/>
      <c r="C78"/>
      <c r="D78"/>
      <c r="E78"/>
      <c r="F78"/>
      <c r="G78"/>
      <c r="H78"/>
    </row>
    <row r="79" spans="1:8" x14ac:dyDescent="0.3">
      <c r="A79"/>
      <c r="B79"/>
      <c r="C79"/>
      <c r="D79"/>
      <c r="E79"/>
      <c r="F79"/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/>
      <c r="C83"/>
      <c r="D83"/>
      <c r="E83"/>
      <c r="F83"/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/>
      <c r="C85"/>
      <c r="D85"/>
      <c r="E85"/>
      <c r="F85"/>
      <c r="G85"/>
      <c r="H85"/>
    </row>
    <row r="86" spans="1:8" x14ac:dyDescent="0.3">
      <c r="A86"/>
      <c r="B86"/>
      <c r="C86"/>
      <c r="D86"/>
      <c r="E86"/>
      <c r="F86"/>
      <c r="G86"/>
      <c r="H86"/>
    </row>
    <row r="87" spans="1:8" x14ac:dyDescent="0.3">
      <c r="A87"/>
      <c r="B87"/>
      <c r="C87"/>
      <c r="D87"/>
      <c r="E87"/>
      <c r="F87"/>
      <c r="G87"/>
      <c r="H87"/>
    </row>
    <row r="88" spans="1:8" x14ac:dyDescent="0.3">
      <c r="A88"/>
      <c r="B88"/>
      <c r="C88"/>
      <c r="D88"/>
      <c r="E88"/>
      <c r="F88"/>
      <c r="G88"/>
      <c r="H88"/>
    </row>
    <row r="89" spans="1:8" x14ac:dyDescent="0.3">
      <c r="A89"/>
      <c r="B89"/>
      <c r="C89"/>
      <c r="D89"/>
      <c r="E89"/>
      <c r="F89"/>
      <c r="G89"/>
      <c r="H89"/>
    </row>
    <row r="90" spans="1:8" x14ac:dyDescent="0.3">
      <c r="A90"/>
      <c r="B90"/>
      <c r="C90"/>
      <c r="D90"/>
      <c r="E90"/>
      <c r="F90"/>
      <c r="G90"/>
      <c r="H90"/>
    </row>
    <row r="91" spans="1:8" x14ac:dyDescent="0.3">
      <c r="A91"/>
      <c r="B91"/>
      <c r="C91"/>
      <c r="D91"/>
      <c r="E91"/>
      <c r="F91"/>
      <c r="G91"/>
      <c r="H91"/>
    </row>
    <row r="92" spans="1:8" x14ac:dyDescent="0.3">
      <c r="A92"/>
      <c r="B92"/>
      <c r="C92"/>
      <c r="D92"/>
      <c r="E92"/>
      <c r="F92"/>
      <c r="G92"/>
      <c r="H92"/>
    </row>
    <row r="93" spans="1:8" x14ac:dyDescent="0.3">
      <c r="A93"/>
      <c r="B93"/>
      <c r="C93"/>
      <c r="D93"/>
      <c r="E93"/>
      <c r="F93"/>
      <c r="G93"/>
      <c r="H93"/>
    </row>
    <row r="94" spans="1:8" x14ac:dyDescent="0.3">
      <c r="A94"/>
      <c r="B94"/>
      <c r="C94"/>
      <c r="D94"/>
      <c r="E94"/>
      <c r="F94"/>
      <c r="G94"/>
      <c r="H94"/>
    </row>
    <row r="95" spans="1:8" x14ac:dyDescent="0.3">
      <c r="A95"/>
      <c r="B95"/>
      <c r="C95"/>
      <c r="D95"/>
      <c r="E95"/>
      <c r="F95"/>
      <c r="G95"/>
      <c r="H95"/>
    </row>
    <row r="96" spans="1:8" x14ac:dyDescent="0.3">
      <c r="A96"/>
      <c r="B96"/>
      <c r="C96"/>
      <c r="D96"/>
      <c r="E96"/>
      <c r="F96"/>
      <c r="G96"/>
      <c r="H96"/>
    </row>
    <row r="97" spans="1:8" x14ac:dyDescent="0.3">
      <c r="A97"/>
      <c r="B97"/>
      <c r="C97"/>
      <c r="D97"/>
      <c r="E97"/>
      <c r="F97"/>
      <c r="G97"/>
      <c r="H97"/>
    </row>
    <row r="98" spans="1:8" x14ac:dyDescent="0.3">
      <c r="A98"/>
      <c r="B98"/>
      <c r="C98"/>
      <c r="D98"/>
      <c r="E98"/>
      <c r="F98"/>
      <c r="G98"/>
      <c r="H98"/>
    </row>
    <row r="99" spans="1:8" x14ac:dyDescent="0.3">
      <c r="A99"/>
      <c r="B99"/>
      <c r="C99"/>
      <c r="D99"/>
      <c r="E99"/>
      <c r="F99"/>
      <c r="G99"/>
      <c r="H99"/>
    </row>
    <row r="100" spans="1:8" x14ac:dyDescent="0.3">
      <c r="A100"/>
      <c r="B100"/>
      <c r="C100"/>
      <c r="D100"/>
      <c r="E100"/>
      <c r="F100"/>
      <c r="G100"/>
      <c r="H100"/>
    </row>
    <row r="101" spans="1:8" x14ac:dyDescent="0.3">
      <c r="A101"/>
      <c r="B101"/>
      <c r="C101"/>
      <c r="D101"/>
      <c r="E101"/>
      <c r="F101"/>
      <c r="G101"/>
      <c r="H101"/>
    </row>
    <row r="102" spans="1:8" x14ac:dyDescent="0.3">
      <c r="A102"/>
      <c r="B102"/>
      <c r="C102"/>
      <c r="D102"/>
      <c r="E102"/>
      <c r="F102"/>
      <c r="G102"/>
      <c r="H102"/>
    </row>
    <row r="103" spans="1:8" x14ac:dyDescent="0.3">
      <c r="A103"/>
      <c r="B103"/>
      <c r="C103"/>
      <c r="D103"/>
      <c r="E103"/>
      <c r="F103"/>
      <c r="G103"/>
      <c r="H103"/>
    </row>
    <row r="104" spans="1:8" x14ac:dyDescent="0.3">
      <c r="A104"/>
      <c r="B104"/>
      <c r="C104"/>
      <c r="D104"/>
      <c r="E104"/>
      <c r="F104"/>
      <c r="G104"/>
      <c r="H104"/>
    </row>
    <row r="105" spans="1:8" x14ac:dyDescent="0.3">
      <c r="A105"/>
      <c r="B105"/>
      <c r="C105"/>
      <c r="D105"/>
      <c r="E105"/>
      <c r="F105"/>
      <c r="G105"/>
      <c r="H105"/>
    </row>
    <row r="106" spans="1:8" x14ac:dyDescent="0.3">
      <c r="A106"/>
      <c r="B106"/>
      <c r="C106"/>
      <c r="D106"/>
      <c r="E106"/>
      <c r="F106"/>
      <c r="G106"/>
      <c r="H106"/>
    </row>
    <row r="107" spans="1:8" x14ac:dyDescent="0.3">
      <c r="A107"/>
      <c r="B107"/>
      <c r="C107"/>
      <c r="D107"/>
      <c r="E107"/>
      <c r="F107"/>
      <c r="G107"/>
      <c r="H107"/>
    </row>
    <row r="108" spans="1:8" x14ac:dyDescent="0.3">
      <c r="A108"/>
      <c r="B108"/>
      <c r="C108"/>
      <c r="D108"/>
      <c r="E108"/>
      <c r="F108"/>
      <c r="G108"/>
      <c r="H108"/>
    </row>
    <row r="109" spans="1:8" x14ac:dyDescent="0.3">
      <c r="A109"/>
      <c r="B109"/>
      <c r="C109"/>
      <c r="D109"/>
      <c r="E109"/>
      <c r="F109"/>
      <c r="G109"/>
      <c r="H109"/>
    </row>
    <row r="110" spans="1:8" x14ac:dyDescent="0.3">
      <c r="A110"/>
      <c r="B110"/>
      <c r="C110"/>
      <c r="D110"/>
      <c r="E110"/>
      <c r="F110"/>
      <c r="G110"/>
      <c r="H110"/>
    </row>
    <row r="111" spans="1:8" x14ac:dyDescent="0.3">
      <c r="A111"/>
      <c r="B111"/>
      <c r="C111"/>
      <c r="D111"/>
      <c r="E111"/>
      <c r="F111"/>
      <c r="G111"/>
      <c r="H111"/>
    </row>
    <row r="112" spans="1:8" x14ac:dyDescent="0.3">
      <c r="A112"/>
      <c r="B112"/>
      <c r="C112"/>
      <c r="D112"/>
      <c r="E112"/>
      <c r="F112"/>
      <c r="G112"/>
      <c r="H112"/>
    </row>
    <row r="113" spans="1:8" x14ac:dyDescent="0.3">
      <c r="A113"/>
      <c r="B113"/>
      <c r="C113"/>
      <c r="D113"/>
      <c r="E113"/>
      <c r="F113"/>
      <c r="G113"/>
      <c r="H113"/>
    </row>
    <row r="114" spans="1:8" x14ac:dyDescent="0.3">
      <c r="A114"/>
      <c r="B114"/>
      <c r="C114"/>
      <c r="D114"/>
      <c r="E114"/>
      <c r="F114"/>
      <c r="G114"/>
      <c r="H114"/>
    </row>
    <row r="115" spans="1:8" x14ac:dyDescent="0.3">
      <c r="A115"/>
      <c r="B115"/>
      <c r="C115"/>
      <c r="D115"/>
      <c r="E115"/>
      <c r="F115"/>
      <c r="G115"/>
      <c r="H115"/>
    </row>
    <row r="116" spans="1:8" x14ac:dyDescent="0.3">
      <c r="A116"/>
      <c r="B116"/>
      <c r="C116"/>
      <c r="D116"/>
      <c r="E116"/>
      <c r="F116"/>
      <c r="G116"/>
      <c r="H116"/>
    </row>
    <row r="117" spans="1:8" x14ac:dyDescent="0.3">
      <c r="A117"/>
      <c r="B117"/>
      <c r="C117"/>
      <c r="D117"/>
      <c r="E117"/>
      <c r="F117"/>
      <c r="G117"/>
      <c r="H117"/>
    </row>
    <row r="118" spans="1:8" x14ac:dyDescent="0.3">
      <c r="A118"/>
      <c r="B118"/>
      <c r="C118"/>
      <c r="D118"/>
      <c r="E118"/>
      <c r="F118"/>
      <c r="G118"/>
      <c r="H118"/>
    </row>
    <row r="119" spans="1:8" x14ac:dyDescent="0.3">
      <c r="A119"/>
      <c r="B119"/>
      <c r="C119"/>
      <c r="D119"/>
      <c r="E119"/>
      <c r="F119"/>
      <c r="G119"/>
      <c r="H119"/>
    </row>
    <row r="120" spans="1:8" x14ac:dyDescent="0.3">
      <c r="A120"/>
      <c r="B120"/>
      <c r="C120"/>
      <c r="D120"/>
      <c r="E120"/>
      <c r="F120"/>
      <c r="G120"/>
      <c r="H120"/>
    </row>
    <row r="121" spans="1:8" x14ac:dyDescent="0.3">
      <c r="A121"/>
      <c r="B121"/>
      <c r="C121"/>
      <c r="D121"/>
      <c r="E121"/>
      <c r="F121"/>
      <c r="G121"/>
      <c r="H121"/>
    </row>
    <row r="122" spans="1:8" x14ac:dyDescent="0.3">
      <c r="A122"/>
      <c r="B122"/>
      <c r="C122"/>
      <c r="D122"/>
      <c r="E122"/>
      <c r="F122"/>
      <c r="G122"/>
      <c r="H122"/>
    </row>
    <row r="123" spans="1:8" x14ac:dyDescent="0.3">
      <c r="A123"/>
      <c r="B123"/>
      <c r="C123"/>
      <c r="D123"/>
      <c r="E123"/>
      <c r="F123"/>
      <c r="G123"/>
      <c r="H123"/>
    </row>
    <row r="124" spans="1:8" x14ac:dyDescent="0.3">
      <c r="A124"/>
      <c r="B124"/>
      <c r="C124"/>
      <c r="D124"/>
      <c r="E124"/>
      <c r="F124"/>
      <c r="G124"/>
      <c r="H124"/>
    </row>
    <row r="125" spans="1:8" x14ac:dyDescent="0.3">
      <c r="A125"/>
      <c r="B125"/>
      <c r="C125"/>
      <c r="D125"/>
      <c r="E125"/>
      <c r="F125"/>
      <c r="G125"/>
      <c r="H125"/>
    </row>
    <row r="126" spans="1:8" x14ac:dyDescent="0.3">
      <c r="A126"/>
      <c r="B126"/>
      <c r="C126"/>
      <c r="D126"/>
      <c r="E126"/>
      <c r="F126"/>
      <c r="G126"/>
      <c r="H126"/>
    </row>
    <row r="127" spans="1:8" x14ac:dyDescent="0.3">
      <c r="A127"/>
      <c r="B127"/>
      <c r="C127"/>
      <c r="D127"/>
      <c r="E127"/>
      <c r="F127"/>
      <c r="G127"/>
      <c r="H127"/>
    </row>
    <row r="128" spans="1:8" x14ac:dyDescent="0.3">
      <c r="A128"/>
      <c r="B128"/>
      <c r="C128"/>
      <c r="D128"/>
      <c r="E128"/>
      <c r="F128"/>
      <c r="G128"/>
      <c r="H128"/>
    </row>
    <row r="129" spans="1:8" x14ac:dyDescent="0.3">
      <c r="A129"/>
      <c r="B129"/>
      <c r="C129"/>
      <c r="D129"/>
      <c r="E129"/>
      <c r="F129"/>
      <c r="G129"/>
      <c r="H129"/>
    </row>
    <row r="130" spans="1:8" x14ac:dyDescent="0.3">
      <c r="A130"/>
      <c r="B130"/>
      <c r="C130"/>
      <c r="D130"/>
      <c r="E130"/>
      <c r="F130"/>
      <c r="G130"/>
      <c r="H130"/>
    </row>
    <row r="131" spans="1:8" x14ac:dyDescent="0.3">
      <c r="A131"/>
      <c r="B131"/>
      <c r="C131"/>
      <c r="D131"/>
      <c r="E131"/>
      <c r="F131"/>
      <c r="G131"/>
      <c r="H131"/>
    </row>
    <row r="132" spans="1:8" x14ac:dyDescent="0.3">
      <c r="A132"/>
      <c r="B132"/>
      <c r="C132"/>
      <c r="D132"/>
      <c r="E132"/>
      <c r="F132"/>
      <c r="G132"/>
      <c r="H132"/>
    </row>
    <row r="133" spans="1:8" x14ac:dyDescent="0.3">
      <c r="A133"/>
      <c r="B133"/>
      <c r="C133"/>
      <c r="D133"/>
      <c r="E133"/>
      <c r="F133"/>
      <c r="G133"/>
      <c r="H133"/>
    </row>
    <row r="134" spans="1:8" x14ac:dyDescent="0.3">
      <c r="A134"/>
      <c r="B134"/>
      <c r="C134"/>
      <c r="D134"/>
      <c r="E134"/>
      <c r="F134"/>
      <c r="G134"/>
      <c r="H134"/>
    </row>
    <row r="135" spans="1:8" x14ac:dyDescent="0.3">
      <c r="A135"/>
      <c r="B135"/>
      <c r="C135"/>
      <c r="D135"/>
      <c r="E135"/>
      <c r="F135"/>
      <c r="G135"/>
      <c r="H135"/>
    </row>
    <row r="136" spans="1:8" x14ac:dyDescent="0.3">
      <c r="A136"/>
      <c r="B136"/>
      <c r="C136"/>
      <c r="D136"/>
      <c r="E136"/>
      <c r="F136"/>
      <c r="G136"/>
      <c r="H136"/>
    </row>
    <row r="137" spans="1:8" x14ac:dyDescent="0.3">
      <c r="A137"/>
      <c r="B137"/>
      <c r="C137"/>
      <c r="D137"/>
      <c r="E137"/>
      <c r="F137"/>
      <c r="G137"/>
      <c r="H137"/>
    </row>
    <row r="138" spans="1:8" x14ac:dyDescent="0.3">
      <c r="A138"/>
      <c r="B138"/>
      <c r="C138"/>
      <c r="D138"/>
      <c r="E138"/>
      <c r="F138"/>
      <c r="G138"/>
      <c r="H138"/>
    </row>
    <row r="139" spans="1:8" x14ac:dyDescent="0.3">
      <c r="A139"/>
      <c r="B139"/>
      <c r="C139"/>
      <c r="D139"/>
      <c r="E139"/>
      <c r="F139"/>
      <c r="G139"/>
      <c r="H139"/>
    </row>
    <row r="140" spans="1:8" x14ac:dyDescent="0.3">
      <c r="A140"/>
      <c r="B140"/>
      <c r="C140"/>
      <c r="D140"/>
      <c r="E140"/>
      <c r="F140"/>
      <c r="G140"/>
      <c r="H140"/>
    </row>
    <row r="141" spans="1:8" x14ac:dyDescent="0.3">
      <c r="A141"/>
      <c r="B141"/>
      <c r="C141"/>
      <c r="D141"/>
      <c r="E141"/>
      <c r="F141"/>
      <c r="G141"/>
      <c r="H141"/>
    </row>
    <row r="142" spans="1:8" x14ac:dyDescent="0.3">
      <c r="A142"/>
      <c r="B142"/>
      <c r="C142"/>
      <c r="D142"/>
      <c r="E142"/>
      <c r="F142"/>
      <c r="G142"/>
      <c r="H142"/>
    </row>
    <row r="143" spans="1:8" x14ac:dyDescent="0.3">
      <c r="A143"/>
      <c r="B143"/>
      <c r="C143"/>
      <c r="D143"/>
      <c r="E143"/>
      <c r="F143"/>
      <c r="G143"/>
      <c r="H143"/>
    </row>
    <row r="144" spans="1:8" x14ac:dyDescent="0.3">
      <c r="A144"/>
      <c r="B144"/>
      <c r="C144"/>
      <c r="D144"/>
      <c r="E144"/>
      <c r="F144"/>
      <c r="G144"/>
      <c r="H144"/>
    </row>
    <row r="145" spans="1:8" x14ac:dyDescent="0.3">
      <c r="A145"/>
      <c r="B145"/>
      <c r="C145"/>
      <c r="D145"/>
      <c r="E145"/>
      <c r="F145"/>
      <c r="G145"/>
      <c r="H145"/>
    </row>
    <row r="146" spans="1:8" x14ac:dyDescent="0.3">
      <c r="A146"/>
      <c r="B146"/>
      <c r="C146"/>
      <c r="D146"/>
      <c r="E146"/>
      <c r="F146"/>
      <c r="G146"/>
      <c r="H146"/>
    </row>
    <row r="147" spans="1:8" x14ac:dyDescent="0.3">
      <c r="A147"/>
      <c r="B147"/>
      <c r="C147"/>
      <c r="D147"/>
      <c r="E147"/>
      <c r="F147"/>
      <c r="G147"/>
      <c r="H147"/>
    </row>
    <row r="148" spans="1:8" x14ac:dyDescent="0.3">
      <c r="A148"/>
      <c r="B148"/>
      <c r="C148"/>
      <c r="D148"/>
      <c r="E148"/>
      <c r="F148"/>
      <c r="G148"/>
      <c r="H148"/>
    </row>
    <row r="149" spans="1:8" x14ac:dyDescent="0.3">
      <c r="A149"/>
      <c r="B149"/>
      <c r="C149"/>
      <c r="D149"/>
      <c r="E149"/>
      <c r="F149"/>
      <c r="G149"/>
      <c r="H149"/>
    </row>
    <row r="150" spans="1:8" x14ac:dyDescent="0.3">
      <c r="A150"/>
      <c r="B150"/>
      <c r="C150"/>
      <c r="D150"/>
      <c r="E150"/>
      <c r="F150"/>
      <c r="G150"/>
      <c r="H150"/>
    </row>
    <row r="151" spans="1:8" x14ac:dyDescent="0.3">
      <c r="A151"/>
      <c r="B151"/>
      <c r="C151"/>
      <c r="D151"/>
      <c r="E151"/>
      <c r="F151"/>
      <c r="G151"/>
      <c r="H151"/>
    </row>
    <row r="152" spans="1:8" x14ac:dyDescent="0.3">
      <c r="A152"/>
      <c r="B152"/>
      <c r="C152"/>
      <c r="D152"/>
      <c r="E152"/>
      <c r="F152"/>
      <c r="G152"/>
      <c r="H152"/>
    </row>
    <row r="153" spans="1:8" x14ac:dyDescent="0.3">
      <c r="A153"/>
      <c r="B153"/>
      <c r="C153"/>
      <c r="D153"/>
      <c r="E153"/>
      <c r="F153"/>
      <c r="G153"/>
      <c r="H153"/>
    </row>
    <row r="154" spans="1:8" x14ac:dyDescent="0.3">
      <c r="A154"/>
      <c r="B154"/>
      <c r="C154"/>
      <c r="D154"/>
      <c r="E154"/>
      <c r="F154"/>
      <c r="G154"/>
      <c r="H154"/>
    </row>
    <row r="155" spans="1:8" x14ac:dyDescent="0.3">
      <c r="A155"/>
      <c r="B155"/>
      <c r="C155"/>
      <c r="D155"/>
      <c r="E155"/>
      <c r="F155"/>
      <c r="G155"/>
      <c r="H155"/>
    </row>
    <row r="156" spans="1:8" x14ac:dyDescent="0.3">
      <c r="A156"/>
      <c r="B156"/>
      <c r="C156"/>
      <c r="D156"/>
      <c r="E156"/>
      <c r="F156"/>
      <c r="G156"/>
      <c r="H156"/>
    </row>
    <row r="157" spans="1:8" x14ac:dyDescent="0.3">
      <c r="A157"/>
      <c r="B157"/>
      <c r="C157"/>
      <c r="D157"/>
      <c r="E157"/>
      <c r="F157"/>
      <c r="G157"/>
      <c r="H157"/>
    </row>
    <row r="158" spans="1:8" x14ac:dyDescent="0.3">
      <c r="A158"/>
      <c r="B158"/>
      <c r="C158"/>
      <c r="D158"/>
      <c r="E158"/>
      <c r="F158"/>
      <c r="G158"/>
      <c r="H158"/>
    </row>
    <row r="159" spans="1:8" x14ac:dyDescent="0.3">
      <c r="A159"/>
      <c r="B159"/>
      <c r="C159"/>
      <c r="D159"/>
      <c r="E159"/>
      <c r="F159"/>
      <c r="G159"/>
      <c r="H159"/>
    </row>
    <row r="160" spans="1:8" x14ac:dyDescent="0.3">
      <c r="A160"/>
      <c r="B160"/>
      <c r="C160"/>
      <c r="D160"/>
      <c r="E160"/>
      <c r="F160"/>
      <c r="G160"/>
      <c r="H160"/>
    </row>
    <row r="161" spans="1:8" x14ac:dyDescent="0.3">
      <c r="A161"/>
      <c r="B161"/>
      <c r="C161"/>
      <c r="D161"/>
      <c r="E161"/>
      <c r="F161"/>
      <c r="G161"/>
      <c r="H161"/>
    </row>
    <row r="162" spans="1:8" x14ac:dyDescent="0.3">
      <c r="A162"/>
      <c r="B162"/>
      <c r="C162"/>
      <c r="D162"/>
      <c r="E162"/>
      <c r="F162"/>
      <c r="G162"/>
      <c r="H162"/>
    </row>
    <row r="163" spans="1:8" x14ac:dyDescent="0.3">
      <c r="A163"/>
      <c r="B163"/>
      <c r="C163"/>
      <c r="D163"/>
      <c r="E163"/>
      <c r="F163"/>
      <c r="G163"/>
      <c r="H163"/>
    </row>
    <row r="164" spans="1:8" x14ac:dyDescent="0.3">
      <c r="A164"/>
      <c r="B164"/>
      <c r="C164"/>
      <c r="D164"/>
      <c r="E164"/>
      <c r="F164"/>
      <c r="G164"/>
      <c r="H164"/>
    </row>
    <row r="165" spans="1:8" x14ac:dyDescent="0.3">
      <c r="A165"/>
      <c r="B165"/>
      <c r="C165"/>
      <c r="D165"/>
      <c r="E165"/>
      <c r="F165"/>
      <c r="G165"/>
      <c r="H165"/>
    </row>
    <row r="166" spans="1:8" x14ac:dyDescent="0.3">
      <c r="A166"/>
      <c r="B166"/>
      <c r="C166"/>
      <c r="D166"/>
      <c r="E166"/>
      <c r="F166"/>
      <c r="G166"/>
      <c r="H166"/>
    </row>
    <row r="167" spans="1:8" x14ac:dyDescent="0.3">
      <c r="A167"/>
      <c r="B167"/>
      <c r="C167"/>
      <c r="D167"/>
      <c r="E167"/>
      <c r="F167"/>
      <c r="G167"/>
      <c r="H167"/>
    </row>
    <row r="168" spans="1:8" x14ac:dyDescent="0.3">
      <c r="A168"/>
      <c r="B168"/>
      <c r="C168"/>
      <c r="D168"/>
      <c r="E168"/>
      <c r="F168"/>
      <c r="G168"/>
      <c r="H168"/>
    </row>
    <row r="169" spans="1:8" x14ac:dyDescent="0.3">
      <c r="A169"/>
      <c r="B169"/>
      <c r="C169"/>
      <c r="D169"/>
      <c r="E169"/>
      <c r="F169"/>
      <c r="G169"/>
      <c r="H169"/>
    </row>
    <row r="170" spans="1:8" x14ac:dyDescent="0.3">
      <c r="A170"/>
      <c r="B170"/>
      <c r="C170"/>
      <c r="D170"/>
      <c r="E170"/>
      <c r="F170"/>
      <c r="G170"/>
      <c r="H17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423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424</v>
      </c>
      <c r="C3" s="154"/>
      <c r="D3" s="432">
        <v>1</v>
      </c>
      <c r="E3" s="432" t="s">
        <v>169</v>
      </c>
      <c r="F3" s="434">
        <f>H3</f>
        <v>87286.5</v>
      </c>
      <c r="G3" s="436">
        <f>F3*D3</f>
        <v>87286.5</v>
      </c>
      <c r="H3" s="48">
        <f>I3*'Prices without ATS'!$K$2</f>
        <v>87286.5</v>
      </c>
      <c r="I3" s="88">
        <v>17115</v>
      </c>
      <c r="J3" s="88"/>
      <c r="K3" s="88"/>
    </row>
    <row r="4" spans="1:11" ht="18" customHeight="1" x14ac:dyDescent="0.3">
      <c r="A4" s="45" t="s">
        <v>171</v>
      </c>
      <c r="B4" s="132" t="s">
        <v>414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41</v>
      </c>
      <c r="E5" s="99" t="s">
        <v>176</v>
      </c>
      <c r="F5" s="100">
        <f>6.5/1.05</f>
        <v>6.1904761904761898</v>
      </c>
      <c r="G5" s="101">
        <f t="shared" ref="G5:G20" si="0">D5*F5</f>
        <v>253.8095238095238</v>
      </c>
      <c r="I5" s="88"/>
      <c r="J5" s="88"/>
      <c r="K5" s="88"/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21</v>
      </c>
      <c r="E6" s="99" t="s">
        <v>176</v>
      </c>
      <c r="F6" s="100">
        <f>0.9/1.05</f>
        <v>0.8571428571428571</v>
      </c>
      <c r="G6" s="101">
        <f t="shared" si="0"/>
        <v>18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12</v>
      </c>
      <c r="E7" s="99" t="s">
        <v>176</v>
      </c>
      <c r="F7" s="100">
        <f>2.9/1.05</f>
        <v>2.7619047619047619</v>
      </c>
      <c r="G7" s="101">
        <f t="shared" si="0"/>
        <v>33.142857142857139</v>
      </c>
    </row>
    <row r="8" spans="1:11" ht="18" customHeight="1" x14ac:dyDescent="0.3">
      <c r="A8" s="45" t="s">
        <v>183</v>
      </c>
      <c r="B8" s="156" t="s">
        <v>353</v>
      </c>
      <c r="C8" s="157" t="s">
        <v>354</v>
      </c>
      <c r="D8" s="158">
        <v>1</v>
      </c>
      <c r="E8" s="158" t="s">
        <v>169</v>
      </c>
      <c r="F8" s="159">
        <v>202.35857142857145</v>
      </c>
      <c r="G8" s="160">
        <f t="shared" si="0"/>
        <v>202.35857142857145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1508.8095238095239</v>
      </c>
      <c r="G9" s="160">
        <f t="shared" si="0"/>
        <v>1508.8095238095239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395</v>
      </c>
      <c r="C11" s="162" t="s">
        <v>396</v>
      </c>
      <c r="D11" s="158">
        <v>1</v>
      </c>
      <c r="E11" s="158" t="s">
        <v>169</v>
      </c>
      <c r="F11" s="159">
        <v>771.39438095238097</v>
      </c>
      <c r="G11" s="160">
        <f t="shared" si="0"/>
        <v>771.39438095238097</v>
      </c>
    </row>
    <row r="12" spans="1:11" ht="18" customHeight="1" x14ac:dyDescent="0.3">
      <c r="A12" s="45" t="s">
        <v>195</v>
      </c>
      <c r="B12" s="161" t="s">
        <v>264</v>
      </c>
      <c r="C12" s="162" t="s">
        <v>188</v>
      </c>
      <c r="D12" s="158">
        <v>1</v>
      </c>
      <c r="E12" s="158" t="s">
        <v>169</v>
      </c>
      <c r="F12" s="159">
        <v>352.09333333333331</v>
      </c>
      <c r="G12" s="160">
        <f t="shared" si="0"/>
        <v>352.09333333333331</v>
      </c>
    </row>
    <row r="13" spans="1:11" ht="18" customHeight="1" x14ac:dyDescent="0.3">
      <c r="A13" s="45" t="s">
        <v>197</v>
      </c>
      <c r="B13" s="161" t="s">
        <v>415</v>
      </c>
      <c r="C13" s="157" t="s">
        <v>416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417</v>
      </c>
      <c r="C14" s="157" t="s">
        <v>418</v>
      </c>
      <c r="D14" s="163">
        <v>1</v>
      </c>
      <c r="E14" s="163" t="s">
        <v>169</v>
      </c>
      <c r="F14" s="159">
        <v>1120.96</v>
      </c>
      <c r="G14" s="164">
        <f t="shared" si="0"/>
        <v>1120.96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4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397</v>
      </c>
      <c r="C17" s="157" t="s">
        <v>398</v>
      </c>
      <c r="D17" s="165" t="s">
        <v>171</v>
      </c>
      <c r="E17" s="165" t="s">
        <v>169</v>
      </c>
      <c r="F17" s="159">
        <v>355</v>
      </c>
      <c r="G17" s="164">
        <f t="shared" si="0"/>
        <v>710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726.13</v>
      </c>
      <c r="G21" s="170">
        <f>D21*F21</f>
        <v>726.13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4364.3249999999998</v>
      </c>
      <c r="G22" s="68">
        <f>F22*D22</f>
        <v>4364.3249999999998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5500/9</f>
        <v>611.11111111111109</v>
      </c>
      <c r="G23" s="68">
        <f>F23*D23</f>
        <v>611.11111111111109</v>
      </c>
    </row>
    <row r="24" spans="1:7" ht="18" customHeight="1" x14ac:dyDescent="0.3">
      <c r="A24" s="53" t="s">
        <v>227</v>
      </c>
      <c r="B24" s="64" t="s">
        <v>226</v>
      </c>
      <c r="C24" s="65" t="s">
        <v>188</v>
      </c>
      <c r="D24" s="66">
        <v>1</v>
      </c>
      <c r="E24" s="67"/>
      <c r="F24" s="67">
        <f>H3*0.035</f>
        <v>3055.0275000000001</v>
      </c>
      <c r="G24" s="68">
        <f>F24*D24</f>
        <v>3055.0275000000001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3000/9</f>
        <v>333.33333333333331</v>
      </c>
      <c r="G25" s="72">
        <f>F25*D25</f>
        <v>333.33333333333331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SUM(G3:G26)</f>
        <v>102109.23513492064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1400</v>
      </c>
      <c r="G33" s="51">
        <f>D33*F33</f>
        <v>1400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49">
        <v>600</v>
      </c>
      <c r="G34" s="51">
        <f t="shared" ref="G34:G46" si="1">D34*F34</f>
        <v>600</v>
      </c>
    </row>
    <row r="35" spans="1:7" ht="18" customHeight="1" x14ac:dyDescent="0.3">
      <c r="A35" s="82">
        <v>4</v>
      </c>
      <c r="B35" s="46" t="s">
        <v>421</v>
      </c>
      <c r="C35" s="47" t="s">
        <v>422</v>
      </c>
      <c r="D35" s="49">
        <v>1</v>
      </c>
      <c r="E35" s="49" t="s">
        <v>169</v>
      </c>
      <c r="F35" s="49">
        <v>4000</v>
      </c>
      <c r="G35" s="153">
        <f t="shared" si="1"/>
        <v>4000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328</v>
      </c>
      <c r="C41" s="47" t="s">
        <v>329</v>
      </c>
      <c r="D41" s="49">
        <v>12</v>
      </c>
      <c r="E41" s="49" t="s">
        <v>169</v>
      </c>
      <c r="F41" s="49">
        <v>42.76</v>
      </c>
      <c r="G41" s="51">
        <f t="shared" si="1"/>
        <v>513.12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200</v>
      </c>
      <c r="G47" s="84">
        <f>D47*F47</f>
        <v>200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7056.2628571428568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109165.49799206349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109375" style="34"/>
    <col min="9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425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426</v>
      </c>
      <c r="C3" s="154"/>
      <c r="D3" s="432">
        <v>1</v>
      </c>
      <c r="E3" s="432" t="s">
        <v>169</v>
      </c>
      <c r="F3" s="434">
        <f>H3</f>
        <v>92146.799999999988</v>
      </c>
      <c r="G3" s="436">
        <f>F3*D3</f>
        <v>92146.799999999988</v>
      </c>
      <c r="H3" s="48">
        <f>I3*'Prices without ATS'!$K$2</f>
        <v>92146.799999999988</v>
      </c>
      <c r="I3" s="88">
        <v>18068</v>
      </c>
      <c r="J3" s="88"/>
      <c r="K3" s="88"/>
    </row>
    <row r="4" spans="1:11" ht="18" customHeight="1" x14ac:dyDescent="0.3">
      <c r="A4" s="45" t="s">
        <v>171</v>
      </c>
      <c r="B4" s="132" t="s">
        <v>427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40</v>
      </c>
      <c r="E5" s="99" t="s">
        <v>176</v>
      </c>
      <c r="F5" s="100">
        <f>6.5/1.05</f>
        <v>6.1904761904761898</v>
      </c>
      <c r="G5" s="101">
        <f t="shared" ref="G5:G20" si="0">D5*F5</f>
        <v>247.61904761904759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30</v>
      </c>
      <c r="E6" s="99" t="s">
        <v>176</v>
      </c>
      <c r="F6" s="100">
        <f>0.9/1.05</f>
        <v>0.8571428571428571</v>
      </c>
      <c r="G6" s="101">
        <f t="shared" si="0"/>
        <v>25.714285714285712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21</v>
      </c>
      <c r="E7" s="99" t="s">
        <v>176</v>
      </c>
      <c r="F7" s="100">
        <f>2.9/1.05</f>
        <v>2.7619047619047619</v>
      </c>
      <c r="G7" s="101">
        <f t="shared" si="0"/>
        <v>58</v>
      </c>
    </row>
    <row r="8" spans="1:11" ht="18" customHeight="1" x14ac:dyDescent="0.3">
      <c r="A8" s="45" t="s">
        <v>183</v>
      </c>
      <c r="B8" s="156" t="s">
        <v>428</v>
      </c>
      <c r="C8" s="157" t="s">
        <v>429</v>
      </c>
      <c r="D8" s="158">
        <v>1</v>
      </c>
      <c r="E8" s="158" t="s">
        <v>169</v>
      </c>
      <c r="F8" s="159">
        <v>540.59</v>
      </c>
      <c r="G8" s="160">
        <f t="shared" si="0"/>
        <v>540.59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1788.5595238095239</v>
      </c>
      <c r="G9" s="160">
        <f t="shared" si="0"/>
        <v>1788.5595238095239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430</v>
      </c>
      <c r="C11" s="162" t="s">
        <v>431</v>
      </c>
      <c r="D11" s="158">
        <v>1</v>
      </c>
      <c r="E11" s="158" t="s">
        <v>169</v>
      </c>
      <c r="F11" s="159">
        <v>863.36619047619047</v>
      </c>
      <c r="G11" s="160">
        <f t="shared" si="0"/>
        <v>863.36619047619047</v>
      </c>
    </row>
    <row r="12" spans="1:11" ht="18" customHeight="1" x14ac:dyDescent="0.3">
      <c r="A12" s="45" t="s">
        <v>195</v>
      </c>
      <c r="B12" s="161" t="s">
        <v>264</v>
      </c>
      <c r="C12" s="162" t="s">
        <v>188</v>
      </c>
      <c r="D12" s="158">
        <v>1</v>
      </c>
      <c r="E12" s="158" t="s">
        <v>169</v>
      </c>
      <c r="F12" s="159">
        <v>490.84428571428566</v>
      </c>
      <c r="G12" s="160">
        <f t="shared" si="0"/>
        <v>490.84428571428566</v>
      </c>
    </row>
    <row r="13" spans="1:11" ht="18" customHeight="1" x14ac:dyDescent="0.3">
      <c r="A13" s="45" t="s">
        <v>197</v>
      </c>
      <c r="B13" s="161" t="s">
        <v>432</v>
      </c>
      <c r="C13" s="157" t="s">
        <v>433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434</v>
      </c>
      <c r="C14" s="157" t="s">
        <v>435</v>
      </c>
      <c r="D14" s="163">
        <v>1</v>
      </c>
      <c r="E14" s="163" t="s">
        <v>169</v>
      </c>
      <c r="F14" s="159">
        <v>1120.96</v>
      </c>
      <c r="G14" s="160">
        <f t="shared" si="0"/>
        <v>1120.96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4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8" ht="18" customHeight="1" x14ac:dyDescent="0.3">
      <c r="A17" s="45" t="s">
        <v>210</v>
      </c>
      <c r="B17" s="161" t="s">
        <v>436</v>
      </c>
      <c r="C17" s="157" t="s">
        <v>437</v>
      </c>
      <c r="D17" s="165" t="s">
        <v>171</v>
      </c>
      <c r="E17" s="165" t="s">
        <v>169</v>
      </c>
      <c r="F17" s="159">
        <f>433.65/1.05</f>
        <v>412.99999999999994</v>
      </c>
      <c r="G17" s="164">
        <f t="shared" si="0"/>
        <v>825.99999999999989</v>
      </c>
    </row>
    <row r="18" spans="1:8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8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8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8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997.81</v>
      </c>
      <c r="G21" s="170">
        <f>D21*F21</f>
        <v>997.81</v>
      </c>
    </row>
    <row r="22" spans="1:8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4607.3399999999992</v>
      </c>
      <c r="G22" s="68">
        <f>F22*D22</f>
        <v>4607.3399999999992</v>
      </c>
    </row>
    <row r="23" spans="1:8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5500/9</f>
        <v>611.11111111111109</v>
      </c>
      <c r="G23" s="68">
        <f>F23*D23</f>
        <v>611.11111111111109</v>
      </c>
    </row>
    <row r="24" spans="1:8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3225.1379999999999</v>
      </c>
      <c r="G24" s="68">
        <f>F24*D24</f>
        <v>3225.1379999999999</v>
      </c>
    </row>
    <row r="25" spans="1:8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3000/9</f>
        <v>333.33333333333331</v>
      </c>
      <c r="G25" s="72">
        <f>F25*D25</f>
        <v>333.33333333333331</v>
      </c>
    </row>
    <row r="26" spans="1:8" ht="18" customHeight="1" x14ac:dyDescent="0.3">
      <c r="A26" s="149"/>
      <c r="B26" s="64"/>
      <c r="C26" s="47"/>
      <c r="D26" s="48"/>
      <c r="E26" s="29"/>
      <c r="F26" s="74"/>
      <c r="G26" s="150"/>
    </row>
    <row r="27" spans="1:8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108645.42577777778</v>
      </c>
    </row>
    <row r="28" spans="1:8" ht="18" customHeight="1" thickBot="1" x14ac:dyDescent="0.35"/>
    <row r="29" spans="1:8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8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8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  <c r="H31"/>
    </row>
    <row r="32" spans="1:8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  <c r="H32"/>
    </row>
    <row r="33" spans="1:8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1800</v>
      </c>
      <c r="G33" s="51">
        <f>D33*F33</f>
        <v>1800</v>
      </c>
      <c r="H33"/>
    </row>
    <row r="34" spans="1:8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34">
        <v>900</v>
      </c>
      <c r="G34" s="51">
        <f t="shared" ref="G34:G46" si="1">D34*F34</f>
        <v>900</v>
      </c>
      <c r="H34"/>
    </row>
    <row r="35" spans="1:8" ht="18" customHeight="1" x14ac:dyDescent="0.3">
      <c r="A35" s="82">
        <v>4</v>
      </c>
      <c r="B35" s="46" t="s">
        <v>421</v>
      </c>
      <c r="C35" s="47" t="s">
        <v>422</v>
      </c>
      <c r="D35" s="49">
        <v>1</v>
      </c>
      <c r="E35" s="49" t="s">
        <v>169</v>
      </c>
      <c r="F35" s="49">
        <v>4000</v>
      </c>
      <c r="G35" s="153">
        <f t="shared" si="1"/>
        <v>4000</v>
      </c>
      <c r="H35"/>
    </row>
    <row r="36" spans="1:8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  <c r="H36"/>
    </row>
    <row r="37" spans="1:8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  <c r="H37"/>
    </row>
    <row r="38" spans="1:8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  <c r="H38"/>
    </row>
    <row r="39" spans="1:8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  <c r="H39"/>
    </row>
    <row r="40" spans="1:8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  <c r="H40"/>
    </row>
    <row r="41" spans="1:8" ht="18" customHeight="1" x14ac:dyDescent="0.3">
      <c r="A41" s="82">
        <v>10</v>
      </c>
      <c r="B41" s="46" t="s">
        <v>438</v>
      </c>
      <c r="C41" s="47" t="s">
        <v>439</v>
      </c>
      <c r="D41" s="49">
        <v>12</v>
      </c>
      <c r="E41" s="49" t="s">
        <v>169</v>
      </c>
      <c r="F41" s="49">
        <v>120.8</v>
      </c>
      <c r="G41" s="51">
        <f t="shared" si="1"/>
        <v>1449.6</v>
      </c>
      <c r="H41"/>
    </row>
    <row r="42" spans="1:8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  <c r="H42"/>
    </row>
    <row r="43" spans="1:8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  <c r="H43"/>
    </row>
    <row r="44" spans="1:8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  <c r="H44"/>
    </row>
    <row r="45" spans="1:8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  <c r="H45"/>
    </row>
    <row r="46" spans="1:8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  <c r="H46"/>
    </row>
    <row r="47" spans="1:8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400</v>
      </c>
      <c r="G47" s="84">
        <f>D47*F47</f>
        <v>400</v>
      </c>
      <c r="H47"/>
    </row>
    <row r="48" spans="1:8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8892.7428571428572</v>
      </c>
      <c r="H48"/>
    </row>
    <row r="49" spans="1:8" ht="18" customHeight="1" x14ac:dyDescent="0.3">
      <c r="H49"/>
    </row>
    <row r="50" spans="1:8" ht="18" customHeight="1" thickBot="1" x14ac:dyDescent="0.35">
      <c r="H50"/>
    </row>
    <row r="51" spans="1:8" ht="18" customHeight="1" thickBot="1" x14ac:dyDescent="0.35">
      <c r="A51" s="419" t="s">
        <v>258</v>
      </c>
      <c r="B51" s="420"/>
      <c r="C51" s="420"/>
      <c r="D51" s="421"/>
      <c r="E51" s="86">
        <f>G48+G27</f>
        <v>117538.16863492064</v>
      </c>
      <c r="H51"/>
    </row>
    <row r="52" spans="1:8" x14ac:dyDescent="0.3">
      <c r="H52"/>
    </row>
    <row r="53" spans="1:8" x14ac:dyDescent="0.3">
      <c r="A53" t="s">
        <v>259</v>
      </c>
      <c r="B53" s="4">
        <v>43450</v>
      </c>
      <c r="H53"/>
    </row>
    <row r="54" spans="1:8" x14ac:dyDescent="0.3">
      <c r="H54"/>
    </row>
    <row r="55" spans="1:8" x14ac:dyDescent="0.3">
      <c r="H55"/>
    </row>
    <row r="56" spans="1:8" x14ac:dyDescent="0.3">
      <c r="H56"/>
    </row>
    <row r="57" spans="1:8" x14ac:dyDescent="0.3">
      <c r="A57"/>
      <c r="B57"/>
      <c r="C57"/>
      <c r="D57"/>
      <c r="E57"/>
      <c r="F57"/>
      <c r="G57"/>
      <c r="H57"/>
    </row>
    <row r="58" spans="1:8" x14ac:dyDescent="0.3">
      <c r="A58"/>
      <c r="B58"/>
      <c r="C58"/>
      <c r="D58"/>
      <c r="E58"/>
      <c r="F58"/>
      <c r="G58"/>
      <c r="H58"/>
    </row>
    <row r="59" spans="1:8" x14ac:dyDescent="0.3">
      <c r="A59"/>
      <c r="B59"/>
      <c r="C59"/>
      <c r="D59"/>
      <c r="E59"/>
      <c r="F59"/>
      <c r="G59"/>
      <c r="H59"/>
    </row>
    <row r="60" spans="1:8" x14ac:dyDescent="0.3">
      <c r="A60"/>
      <c r="B60"/>
      <c r="C60"/>
      <c r="D60"/>
      <c r="E60"/>
      <c r="F60"/>
      <c r="G60"/>
      <c r="H60"/>
    </row>
    <row r="61" spans="1:8" x14ac:dyDescent="0.3">
      <c r="A61"/>
      <c r="B61"/>
      <c r="C61"/>
      <c r="D61"/>
      <c r="E61"/>
      <c r="F61"/>
      <c r="G61"/>
      <c r="H61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440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441</v>
      </c>
      <c r="C3" s="154"/>
      <c r="D3" s="432">
        <v>1</v>
      </c>
      <c r="E3" s="432" t="s">
        <v>169</v>
      </c>
      <c r="F3" s="434">
        <f>H3</f>
        <v>102816</v>
      </c>
      <c r="G3" s="436">
        <f>F3*D3</f>
        <v>102816</v>
      </c>
      <c r="H3" s="48">
        <f>I3*'Prices without ATS'!$K$2</f>
        <v>102816</v>
      </c>
      <c r="I3" s="88">
        <v>20160</v>
      </c>
      <c r="J3" s="88"/>
      <c r="K3" s="88"/>
    </row>
    <row r="4" spans="1:11" ht="18" customHeight="1" x14ac:dyDescent="0.3">
      <c r="A4" s="45" t="s">
        <v>171</v>
      </c>
      <c r="B4" s="132" t="s">
        <v>442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40</v>
      </c>
      <c r="E5" s="99" t="s">
        <v>176</v>
      </c>
      <c r="F5" s="100">
        <f>6.5/1.05</f>
        <v>6.1904761904761898</v>
      </c>
      <c r="G5" s="101">
        <f t="shared" ref="G5:G20" si="0">D5*F5</f>
        <v>247.61904761904759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30</v>
      </c>
      <c r="E6" s="99" t="s">
        <v>176</v>
      </c>
      <c r="F6" s="100">
        <f>0.9/1.05</f>
        <v>0.8571428571428571</v>
      </c>
      <c r="G6" s="101">
        <f t="shared" si="0"/>
        <v>25.714285714285712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21</v>
      </c>
      <c r="E7" s="99" t="s">
        <v>176</v>
      </c>
      <c r="F7" s="100">
        <f>2.9/1.05</f>
        <v>2.7619047619047619</v>
      </c>
      <c r="G7" s="101">
        <f t="shared" si="0"/>
        <v>58</v>
      </c>
    </row>
    <row r="8" spans="1:11" ht="18" customHeight="1" x14ac:dyDescent="0.3">
      <c r="A8" s="45" t="s">
        <v>183</v>
      </c>
      <c r="B8" s="156" t="s">
        <v>428</v>
      </c>
      <c r="C8" s="157" t="s">
        <v>429</v>
      </c>
      <c r="D8" s="158">
        <v>1</v>
      </c>
      <c r="E8" s="158" t="s">
        <v>169</v>
      </c>
      <c r="F8" s="159">
        <v>540.59</v>
      </c>
      <c r="G8" s="160">
        <f t="shared" si="0"/>
        <v>540.59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1788.5595238095239</v>
      </c>
      <c r="G9" s="160">
        <f t="shared" si="0"/>
        <v>1788.5595238095239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430</v>
      </c>
      <c r="C11" s="162" t="s">
        <v>431</v>
      </c>
      <c r="D11" s="158">
        <v>1</v>
      </c>
      <c r="E11" s="158" t="s">
        <v>169</v>
      </c>
      <c r="F11" s="159">
        <v>863.36619047619047</v>
      </c>
      <c r="G11" s="160">
        <f t="shared" si="0"/>
        <v>863.36619047619047</v>
      </c>
    </row>
    <row r="12" spans="1:11" ht="18" customHeight="1" x14ac:dyDescent="0.3">
      <c r="A12" s="45" t="s">
        <v>195</v>
      </c>
      <c r="B12" s="161" t="s">
        <v>290</v>
      </c>
      <c r="C12" s="162" t="s">
        <v>188</v>
      </c>
      <c r="D12" s="158">
        <v>1</v>
      </c>
      <c r="E12" s="158" t="s">
        <v>169</v>
      </c>
      <c r="F12" s="159">
        <v>490.84428571428566</v>
      </c>
      <c r="G12" s="160">
        <f t="shared" si="0"/>
        <v>490.84428571428566</v>
      </c>
    </row>
    <row r="13" spans="1:11" ht="18" customHeight="1" x14ac:dyDescent="0.3">
      <c r="A13" s="45" t="s">
        <v>197</v>
      </c>
      <c r="B13" s="161" t="s">
        <v>443</v>
      </c>
      <c r="C13" s="157" t="s">
        <v>433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444</v>
      </c>
      <c r="C14" s="157" t="s">
        <v>435</v>
      </c>
      <c r="D14" s="163">
        <v>1</v>
      </c>
      <c r="E14" s="163" t="s">
        <v>169</v>
      </c>
      <c r="F14" s="159">
        <v>1278.44</v>
      </c>
      <c r="G14" s="160">
        <f t="shared" si="0"/>
        <v>1278.44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4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436</v>
      </c>
      <c r="C17" s="157" t="s">
        <v>437</v>
      </c>
      <c r="D17" s="165" t="s">
        <v>171</v>
      </c>
      <c r="E17" s="165" t="s">
        <v>169</v>
      </c>
      <c r="F17" s="159">
        <f>433.65/1.05</f>
        <v>412.99999999999994</v>
      </c>
      <c r="G17" s="164">
        <f t="shared" si="0"/>
        <v>825.99999999999989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171</v>
      </c>
      <c r="E18" s="158" t="s">
        <v>200</v>
      </c>
      <c r="F18" s="159">
        <v>13.8</v>
      </c>
      <c r="G18" s="164">
        <f t="shared" si="0"/>
        <v>27.6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997.81</v>
      </c>
      <c r="G21" s="170">
        <f>D21*F21</f>
        <v>997.81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5140.8</v>
      </c>
      <c r="G22" s="68">
        <f>F22*D22</f>
        <v>5140.8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5500/9</f>
        <v>611.11111111111109</v>
      </c>
      <c r="G23" s="68">
        <f>F23*D23</f>
        <v>611.11111111111109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3598.5600000000004</v>
      </c>
      <c r="G24" s="68">
        <f>F24*D24</f>
        <v>3598.5600000000004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3000/9</f>
        <v>333.33333333333331</v>
      </c>
      <c r="G25" s="72">
        <f>F25*D25</f>
        <v>333.33333333333331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120378.98777777779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1800</v>
      </c>
      <c r="G33" s="51">
        <f>D33*F33</f>
        <v>1800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34">
        <v>900</v>
      </c>
      <c r="G34" s="51">
        <f t="shared" ref="G34:G46" si="1">D34*F34</f>
        <v>900</v>
      </c>
    </row>
    <row r="35" spans="1:7" ht="18" customHeight="1" x14ac:dyDescent="0.3">
      <c r="A35" s="82">
        <v>4</v>
      </c>
      <c r="B35" s="46" t="s">
        <v>445</v>
      </c>
      <c r="C35" s="47" t="s">
        <v>446</v>
      </c>
      <c r="D35" s="49">
        <v>1</v>
      </c>
      <c r="E35" s="49" t="s">
        <v>169</v>
      </c>
      <c r="F35" s="49">
        <f>5929.59/1.05</f>
        <v>5647.2285714285717</v>
      </c>
      <c r="G35" s="153">
        <f t="shared" si="1"/>
        <v>5647.2285714285717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438</v>
      </c>
      <c r="C41" s="47" t="s">
        <v>439</v>
      </c>
      <c r="D41" s="49">
        <v>12</v>
      </c>
      <c r="E41" s="49" t="s">
        <v>169</v>
      </c>
      <c r="F41" s="49">
        <v>120.8</v>
      </c>
      <c r="G41" s="51">
        <f t="shared" si="1"/>
        <v>1449.6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400</v>
      </c>
      <c r="G47" s="84">
        <f>D47*F47</f>
        <v>400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10539.971428571429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130918.95920634922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topLeftCell="A4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447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448</v>
      </c>
      <c r="C3" s="154"/>
      <c r="D3" s="432">
        <v>1</v>
      </c>
      <c r="E3" s="432" t="s">
        <v>169</v>
      </c>
      <c r="F3" s="434">
        <f>H3</f>
        <v>114459.29999999999</v>
      </c>
      <c r="G3" s="436">
        <f>F3*D3</f>
        <v>114459.29999999999</v>
      </c>
      <c r="H3" s="48">
        <f>I3*'Prices without ATS'!$K$2</f>
        <v>114459.29999999999</v>
      </c>
      <c r="I3" s="88">
        <v>22443</v>
      </c>
      <c r="J3" s="88"/>
      <c r="K3" s="88"/>
    </row>
    <row r="4" spans="1:11" ht="18" customHeight="1" x14ac:dyDescent="0.3">
      <c r="A4" s="45" t="s">
        <v>171</v>
      </c>
      <c r="B4" s="132" t="s">
        <v>449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62</v>
      </c>
      <c r="E5" s="99" t="s">
        <v>176</v>
      </c>
      <c r="F5" s="100">
        <f>6.5/1.05</f>
        <v>6.1904761904761898</v>
      </c>
      <c r="G5" s="101">
        <f t="shared" ref="G5:G20" si="0">D5*F5</f>
        <v>383.80952380952374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38</v>
      </c>
      <c r="E6" s="99" t="s">
        <v>176</v>
      </c>
      <c r="F6" s="100">
        <f>0.9/1.05</f>
        <v>0.8571428571428571</v>
      </c>
      <c r="G6" s="101">
        <f t="shared" si="0"/>
        <v>32.571428571428569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20</v>
      </c>
      <c r="E7" s="99" t="s">
        <v>176</v>
      </c>
      <c r="F7" s="100">
        <f>2.9/1.05</f>
        <v>2.7619047619047619</v>
      </c>
      <c r="G7" s="101">
        <f t="shared" si="0"/>
        <v>55.238095238095241</v>
      </c>
    </row>
    <row r="8" spans="1:11" ht="18" customHeight="1" x14ac:dyDescent="0.3">
      <c r="A8" s="45" t="s">
        <v>183</v>
      </c>
      <c r="B8" s="156" t="s">
        <v>428</v>
      </c>
      <c r="C8" s="157" t="s">
        <v>429</v>
      </c>
      <c r="D8" s="158">
        <v>1</v>
      </c>
      <c r="E8" s="158" t="s">
        <v>169</v>
      </c>
      <c r="F8" s="100">
        <v>540.59</v>
      </c>
      <c r="G8" s="160">
        <f t="shared" si="0"/>
        <v>540.59</v>
      </c>
    </row>
    <row r="9" spans="1:11" ht="18" customHeight="1" x14ac:dyDescent="0.3">
      <c r="A9" s="45" t="s">
        <v>186</v>
      </c>
      <c r="B9" s="156" t="s">
        <v>387</v>
      </c>
      <c r="C9" s="157" t="s">
        <v>188</v>
      </c>
      <c r="D9" s="158">
        <v>1</v>
      </c>
      <c r="E9" s="158" t="s">
        <v>169</v>
      </c>
      <c r="F9" s="159">
        <v>1788.5595238095239</v>
      </c>
      <c r="G9" s="160">
        <f t="shared" si="0"/>
        <v>1788.5595238095239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430</v>
      </c>
      <c r="C11" s="162" t="s">
        <v>431</v>
      </c>
      <c r="D11" s="158">
        <v>1</v>
      </c>
      <c r="E11" s="158" t="s">
        <v>169</v>
      </c>
      <c r="F11" s="159">
        <v>863.36619047619047</v>
      </c>
      <c r="G11" s="160">
        <f t="shared" si="0"/>
        <v>863.36619047619047</v>
      </c>
    </row>
    <row r="12" spans="1:11" ht="18" customHeight="1" x14ac:dyDescent="0.3">
      <c r="A12" s="45" t="s">
        <v>195</v>
      </c>
      <c r="B12" s="161" t="s">
        <v>450</v>
      </c>
      <c r="C12" s="162" t="s">
        <v>188</v>
      </c>
      <c r="D12" s="158">
        <v>1</v>
      </c>
      <c r="E12" s="158" t="s">
        <v>169</v>
      </c>
      <c r="F12" s="159">
        <v>490.84428571428566</v>
      </c>
      <c r="G12" s="160">
        <f t="shared" si="0"/>
        <v>490.84428571428566</v>
      </c>
    </row>
    <row r="13" spans="1:11" ht="18" customHeight="1" x14ac:dyDescent="0.3">
      <c r="A13" s="45" t="s">
        <v>197</v>
      </c>
      <c r="B13" s="161" t="s">
        <v>443</v>
      </c>
      <c r="C13" s="157" t="s">
        <v>433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444</v>
      </c>
      <c r="C14" s="157" t="s">
        <v>435</v>
      </c>
      <c r="D14" s="163">
        <v>1</v>
      </c>
      <c r="E14" s="163" t="s">
        <v>169</v>
      </c>
      <c r="F14" s="159">
        <v>1278.44</v>
      </c>
      <c r="G14" s="160">
        <f t="shared" si="0"/>
        <v>1278.44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4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436</v>
      </c>
      <c r="C17" s="157" t="s">
        <v>437</v>
      </c>
      <c r="D17" s="165" t="s">
        <v>171</v>
      </c>
      <c r="E17" s="165" t="s">
        <v>169</v>
      </c>
      <c r="F17" s="159">
        <f>433.65/1.05</f>
        <v>412.99999999999994</v>
      </c>
      <c r="G17" s="164">
        <f t="shared" si="0"/>
        <v>825.99999999999989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192</v>
      </c>
      <c r="E18" s="158" t="s">
        <v>200</v>
      </c>
      <c r="F18" s="159">
        <v>13.8</v>
      </c>
      <c r="G18" s="164">
        <f t="shared" si="0"/>
        <v>124.2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997.81</v>
      </c>
      <c r="G21" s="170">
        <f>D21*F21</f>
        <v>997.81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5722.9650000000001</v>
      </c>
      <c r="G22" s="68">
        <f>F22*D22</f>
        <v>5722.9650000000001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5500/9</f>
        <v>611.11111111111109</v>
      </c>
      <c r="G23" s="68">
        <f>F23*D23</f>
        <v>611.11111111111109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4006.0754999999999</v>
      </c>
      <c r="G24" s="68">
        <f>F24*D24</f>
        <v>4006.0754999999999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3000/9</f>
        <v>333.33333333333331</v>
      </c>
      <c r="G25" s="72">
        <f>F25*D25</f>
        <v>333.33333333333331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133248.85399206349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1800</v>
      </c>
      <c r="G33" s="51">
        <f>D33*F33</f>
        <v>1800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34">
        <v>900</v>
      </c>
      <c r="G34" s="51">
        <f t="shared" ref="G34:G46" si="1">D34*F34</f>
        <v>900</v>
      </c>
    </row>
    <row r="35" spans="1:7" ht="18" customHeight="1" x14ac:dyDescent="0.3">
      <c r="A35" s="82">
        <v>4</v>
      </c>
      <c r="B35" s="46" t="s">
        <v>445</v>
      </c>
      <c r="C35" s="47" t="s">
        <v>446</v>
      </c>
      <c r="D35" s="49">
        <v>1</v>
      </c>
      <c r="E35" s="49" t="s">
        <v>169</v>
      </c>
      <c r="F35" s="49">
        <f>5929.59/1.05</f>
        <v>5647.2285714285717</v>
      </c>
      <c r="G35" s="153">
        <f t="shared" si="1"/>
        <v>5647.2285714285717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438</v>
      </c>
      <c r="C41" s="47" t="s">
        <v>439</v>
      </c>
      <c r="D41" s="49">
        <v>12</v>
      </c>
      <c r="E41" s="49" t="s">
        <v>169</v>
      </c>
      <c r="F41" s="49">
        <v>120.8</v>
      </c>
      <c r="G41" s="51">
        <f t="shared" si="1"/>
        <v>1449.6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400</v>
      </c>
      <c r="G47" s="84">
        <f>D47*F47</f>
        <v>400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10539.971428571429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143788.82542063494</v>
      </c>
    </row>
    <row r="53" spans="1:7" x14ac:dyDescent="0.3">
      <c r="A53" t="s">
        <v>259</v>
      </c>
      <c r="B53" s="4">
        <v>43450</v>
      </c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451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452</v>
      </c>
      <c r="C3" s="154"/>
      <c r="D3" s="432">
        <v>1</v>
      </c>
      <c r="E3" s="432" t="s">
        <v>169</v>
      </c>
      <c r="F3" s="434">
        <f>H3</f>
        <v>121277.99999999999</v>
      </c>
      <c r="G3" s="436">
        <f>F3*D3</f>
        <v>121277.99999999999</v>
      </c>
      <c r="H3" s="48">
        <f>I3*'Prices without ATS'!$K$2</f>
        <v>121277.99999999999</v>
      </c>
      <c r="I3" s="88">
        <v>23780</v>
      </c>
      <c r="J3" s="88"/>
      <c r="K3" s="88"/>
    </row>
    <row r="4" spans="1:11" ht="18" customHeight="1" x14ac:dyDescent="0.3">
      <c r="A4" s="45" t="s">
        <v>171</v>
      </c>
      <c r="B4" s="132" t="s">
        <v>449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62</v>
      </c>
      <c r="E5" s="99" t="s">
        <v>176</v>
      </c>
      <c r="F5" s="100">
        <f>6.5/1.05</f>
        <v>6.1904761904761898</v>
      </c>
      <c r="G5" s="101">
        <f t="shared" ref="G5:G20" si="0">D5*F5</f>
        <v>383.80952380952374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38</v>
      </c>
      <c r="E6" s="99" t="s">
        <v>176</v>
      </c>
      <c r="F6" s="100">
        <f>0.9/1.05</f>
        <v>0.8571428571428571</v>
      </c>
      <c r="G6" s="101">
        <f t="shared" si="0"/>
        <v>32.571428571428569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20</v>
      </c>
      <c r="E7" s="99" t="s">
        <v>176</v>
      </c>
      <c r="F7" s="100">
        <f>2.9/1.05</f>
        <v>2.7619047619047619</v>
      </c>
      <c r="G7" s="101">
        <f t="shared" si="0"/>
        <v>55.238095238095241</v>
      </c>
    </row>
    <row r="8" spans="1:11" ht="18" customHeight="1" x14ac:dyDescent="0.3">
      <c r="A8" s="45" t="s">
        <v>183</v>
      </c>
      <c r="B8" s="156" t="s">
        <v>428</v>
      </c>
      <c r="C8" s="157" t="s">
        <v>429</v>
      </c>
      <c r="D8" s="158">
        <v>1</v>
      </c>
      <c r="E8" s="158" t="s">
        <v>169</v>
      </c>
      <c r="F8" s="159">
        <v>540.59</v>
      </c>
      <c r="G8" s="160">
        <f t="shared" si="0"/>
        <v>540.59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1788.5595238095239</v>
      </c>
      <c r="G9" s="160">
        <f t="shared" si="0"/>
        <v>1788.5595238095239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6</v>
      </c>
      <c r="E10" s="158" t="s">
        <v>169</v>
      </c>
      <c r="F10" s="159">
        <f>31.36/1.05</f>
        <v>29.866666666666664</v>
      </c>
      <c r="G10" s="160">
        <f t="shared" si="0"/>
        <v>179.2</v>
      </c>
    </row>
    <row r="11" spans="1:11" ht="18" customHeight="1" x14ac:dyDescent="0.3">
      <c r="A11" s="45" t="s">
        <v>192</v>
      </c>
      <c r="B11" s="161" t="s">
        <v>430</v>
      </c>
      <c r="C11" s="162" t="s">
        <v>431</v>
      </c>
      <c r="D11" s="158">
        <v>1</v>
      </c>
      <c r="E11" s="158" t="s">
        <v>169</v>
      </c>
      <c r="F11" s="159">
        <v>863.36619047619047</v>
      </c>
      <c r="G11" s="160">
        <f t="shared" si="0"/>
        <v>863.36619047619047</v>
      </c>
    </row>
    <row r="12" spans="1:11" ht="18" customHeight="1" x14ac:dyDescent="0.3">
      <c r="A12" s="45" t="s">
        <v>195</v>
      </c>
      <c r="B12" s="161" t="s">
        <v>453</v>
      </c>
      <c r="C12" s="162" t="s">
        <v>188</v>
      </c>
      <c r="D12" s="158">
        <v>1</v>
      </c>
      <c r="E12" s="158" t="s">
        <v>169</v>
      </c>
      <c r="F12" s="159">
        <v>490.84428571428566</v>
      </c>
      <c r="G12" s="160">
        <f t="shared" si="0"/>
        <v>490.84428571428566</v>
      </c>
    </row>
    <row r="13" spans="1:11" ht="18" customHeight="1" x14ac:dyDescent="0.3">
      <c r="A13" s="45" t="s">
        <v>197</v>
      </c>
      <c r="B13" s="161" t="s">
        <v>443</v>
      </c>
      <c r="C13" s="157" t="s">
        <v>433</v>
      </c>
      <c r="D13" s="163">
        <v>3</v>
      </c>
      <c r="E13" s="163" t="s">
        <v>169</v>
      </c>
      <c r="F13" s="159">
        <v>18</v>
      </c>
      <c r="G13" s="160">
        <f t="shared" si="0"/>
        <v>54</v>
      </c>
    </row>
    <row r="14" spans="1:11" ht="18" customHeight="1" x14ac:dyDescent="0.3">
      <c r="A14" s="45" t="s">
        <v>201</v>
      </c>
      <c r="B14" s="161" t="s">
        <v>444</v>
      </c>
      <c r="C14" s="157" t="s">
        <v>435</v>
      </c>
      <c r="D14" s="163">
        <v>1</v>
      </c>
      <c r="E14" s="163" t="s">
        <v>169</v>
      </c>
      <c r="F14" s="159">
        <v>1278.44</v>
      </c>
      <c r="G14" s="160">
        <f t="shared" si="0"/>
        <v>1278.44</v>
      </c>
    </row>
    <row r="15" spans="1:11" ht="18" customHeight="1" x14ac:dyDescent="0.3">
      <c r="A15" s="45" t="s">
        <v>204</v>
      </c>
      <c r="B15" s="161" t="s">
        <v>419</v>
      </c>
      <c r="C15" s="157" t="s">
        <v>420</v>
      </c>
      <c r="D15" s="163" t="s">
        <v>186</v>
      </c>
      <c r="E15" s="165" t="s">
        <v>200</v>
      </c>
      <c r="F15" s="159">
        <v>62.26</v>
      </c>
      <c r="G15" s="160">
        <f t="shared" si="0"/>
        <v>435.82</v>
      </c>
    </row>
    <row r="16" spans="1:11" ht="18" customHeight="1" x14ac:dyDescent="0.3">
      <c r="A16" s="45" t="s">
        <v>207</v>
      </c>
      <c r="B16" s="161" t="s">
        <v>293</v>
      </c>
      <c r="C16" s="157" t="s">
        <v>294</v>
      </c>
      <c r="D16" s="158">
        <v>4</v>
      </c>
      <c r="E16" s="158" t="s">
        <v>169</v>
      </c>
      <c r="F16" s="159">
        <v>7</v>
      </c>
      <c r="G16" s="164">
        <f t="shared" si="0"/>
        <v>28</v>
      </c>
    </row>
    <row r="17" spans="1:7" ht="18" customHeight="1" x14ac:dyDescent="0.3">
      <c r="A17" s="45" t="s">
        <v>210</v>
      </c>
      <c r="B17" s="161" t="s">
        <v>436</v>
      </c>
      <c r="C17" s="157" t="s">
        <v>437</v>
      </c>
      <c r="D17" s="165" t="s">
        <v>171</v>
      </c>
      <c r="E17" s="165" t="s">
        <v>169</v>
      </c>
      <c r="F17" s="159">
        <f>433.65/1.05</f>
        <v>412.99999999999994</v>
      </c>
      <c r="G17" s="164">
        <f t="shared" si="0"/>
        <v>825.99999999999989</v>
      </c>
    </row>
    <row r="18" spans="1:7" ht="18" customHeight="1" x14ac:dyDescent="0.3">
      <c r="A18" s="45" t="s">
        <v>213</v>
      </c>
      <c r="B18" s="156" t="s">
        <v>202</v>
      </c>
      <c r="C18" s="157" t="s">
        <v>203</v>
      </c>
      <c r="D18" s="163" t="s">
        <v>192</v>
      </c>
      <c r="E18" s="158" t="s">
        <v>200</v>
      </c>
      <c r="F18" s="159">
        <v>13.8</v>
      </c>
      <c r="G18" s="164">
        <f t="shared" si="0"/>
        <v>124.2</v>
      </c>
    </row>
    <row r="19" spans="1:7" ht="18" customHeight="1" x14ac:dyDescent="0.3">
      <c r="A19" s="45" t="s">
        <v>216</v>
      </c>
      <c r="B19" s="166" t="s">
        <v>198</v>
      </c>
      <c r="C19" s="167" t="s">
        <v>199</v>
      </c>
      <c r="D19" s="163" t="s">
        <v>171</v>
      </c>
      <c r="E19" s="165" t="s">
        <v>200</v>
      </c>
      <c r="F19" s="159">
        <v>13.81</v>
      </c>
      <c r="G19" s="164">
        <f t="shared" si="0"/>
        <v>27.62</v>
      </c>
    </row>
    <row r="20" spans="1:7" ht="18" customHeight="1" x14ac:dyDescent="0.3">
      <c r="A20" s="53" t="s">
        <v>219</v>
      </c>
      <c r="B20" s="161" t="s">
        <v>366</v>
      </c>
      <c r="C20" s="162" t="s">
        <v>367</v>
      </c>
      <c r="D20" s="163">
        <v>0.8</v>
      </c>
      <c r="E20" s="163" t="s">
        <v>200</v>
      </c>
      <c r="F20" s="168">
        <v>12.5</v>
      </c>
      <c r="G20" s="164">
        <f t="shared" si="0"/>
        <v>10</v>
      </c>
    </row>
    <row r="21" spans="1:7" ht="18" customHeight="1" x14ac:dyDescent="0.3">
      <c r="A21" s="45" t="s">
        <v>221</v>
      </c>
      <c r="B21" s="169" t="s">
        <v>220</v>
      </c>
      <c r="C21" s="144" t="s">
        <v>188</v>
      </c>
      <c r="D21" s="145">
        <v>1</v>
      </c>
      <c r="E21" s="146" t="s">
        <v>169</v>
      </c>
      <c r="F21" s="147">
        <v>997.81</v>
      </c>
      <c r="G21" s="170">
        <f>D21*F21</f>
        <v>997.81</v>
      </c>
    </row>
    <row r="22" spans="1:7" ht="18" customHeight="1" x14ac:dyDescent="0.3">
      <c r="A22" s="53" t="s">
        <v>223</v>
      </c>
      <c r="B22" s="69" t="s">
        <v>222</v>
      </c>
      <c r="C22" s="47" t="s">
        <v>188</v>
      </c>
      <c r="D22" s="48">
        <v>1</v>
      </c>
      <c r="E22" s="67"/>
      <c r="F22" s="67">
        <f>H3*0.05</f>
        <v>6063.9</v>
      </c>
      <c r="G22" s="68">
        <f>F22*D22</f>
        <v>6063.9</v>
      </c>
    </row>
    <row r="23" spans="1:7" ht="18" customHeight="1" x14ac:dyDescent="0.3">
      <c r="A23" s="45" t="s">
        <v>225</v>
      </c>
      <c r="B23" s="64" t="s">
        <v>224</v>
      </c>
      <c r="C23" s="65" t="s">
        <v>188</v>
      </c>
      <c r="D23" s="66">
        <v>1</v>
      </c>
      <c r="E23" s="67"/>
      <c r="F23" s="67">
        <f>5500/8</f>
        <v>687.5</v>
      </c>
      <c r="G23" s="68">
        <f>F23*D23</f>
        <v>687.5</v>
      </c>
    </row>
    <row r="24" spans="1:7" ht="18" customHeight="1" x14ac:dyDescent="0.3">
      <c r="A24" s="53" t="s">
        <v>227</v>
      </c>
      <c r="B24" s="69" t="s">
        <v>226</v>
      </c>
      <c r="C24" s="47" t="s">
        <v>188</v>
      </c>
      <c r="D24" s="48">
        <v>1</v>
      </c>
      <c r="E24" s="67"/>
      <c r="F24" s="67">
        <f>H3*0.035</f>
        <v>4244.7299999999996</v>
      </c>
      <c r="G24" s="68">
        <f>F24*D24</f>
        <v>4244.7299999999996</v>
      </c>
    </row>
    <row r="25" spans="1:7" ht="18" customHeight="1" x14ac:dyDescent="0.3">
      <c r="A25" s="171" t="s">
        <v>303</v>
      </c>
      <c r="B25" s="70" t="s">
        <v>228</v>
      </c>
      <c r="C25" s="47" t="s">
        <v>188</v>
      </c>
      <c r="D25" s="48">
        <v>1</v>
      </c>
      <c r="E25" s="71"/>
      <c r="F25" s="71">
        <f>3000/8</f>
        <v>375</v>
      </c>
      <c r="G25" s="72">
        <f>F25*D25</f>
        <v>375</v>
      </c>
    </row>
    <row r="26" spans="1:7" ht="18" customHeight="1" x14ac:dyDescent="0.3">
      <c r="A26" s="149"/>
      <c r="B26" s="64"/>
      <c r="C26" s="47"/>
      <c r="D26" s="48"/>
      <c r="E26" s="29"/>
      <c r="F26" s="74"/>
      <c r="G26" s="150"/>
    </row>
    <row r="27" spans="1:7" ht="18" customHeight="1" thickBot="1" x14ac:dyDescent="0.35">
      <c r="A27" s="446" t="s">
        <v>265</v>
      </c>
      <c r="B27" s="447"/>
      <c r="C27" s="447"/>
      <c r="D27" s="447"/>
      <c r="E27" s="447"/>
      <c r="F27" s="447"/>
      <c r="G27" s="91">
        <f>SUM(G2:G26)</f>
        <v>140765.19904761904</v>
      </c>
    </row>
    <row r="28" spans="1:7" ht="18" customHeight="1" thickBot="1" x14ac:dyDescent="0.35">
      <c r="A28"/>
      <c r="B28"/>
      <c r="C28"/>
      <c r="D28"/>
      <c r="E28"/>
      <c r="F28"/>
      <c r="G28"/>
    </row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1800</v>
      </c>
      <c r="G33" s="51">
        <f>D33*F33</f>
        <v>1800</v>
      </c>
    </row>
    <row r="34" spans="1:7" ht="18" customHeight="1" x14ac:dyDescent="0.3">
      <c r="A34" s="82">
        <v>3</v>
      </c>
      <c r="B34" s="46" t="s">
        <v>325</v>
      </c>
      <c r="C34" s="47" t="s">
        <v>188</v>
      </c>
      <c r="D34" s="49">
        <v>1</v>
      </c>
      <c r="E34" s="49" t="s">
        <v>169</v>
      </c>
      <c r="F34" s="34">
        <v>900</v>
      </c>
      <c r="G34" s="51">
        <f t="shared" ref="G34:G46" si="1">D34*F34</f>
        <v>900</v>
      </c>
    </row>
    <row r="35" spans="1:7" ht="18" customHeight="1" x14ac:dyDescent="0.3">
      <c r="A35" s="82">
        <v>4</v>
      </c>
      <c r="B35" s="46" t="s">
        <v>445</v>
      </c>
      <c r="C35" s="47" t="s">
        <v>446</v>
      </c>
      <c r="D35" s="49">
        <v>1</v>
      </c>
      <c r="E35" s="49" t="s">
        <v>169</v>
      </c>
      <c r="F35" s="49">
        <f>5929.59/1.05</f>
        <v>5647.2285714285717</v>
      </c>
      <c r="G35" s="153">
        <f t="shared" si="1"/>
        <v>5647.2285714285717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438</v>
      </c>
      <c r="C41" s="47" t="s">
        <v>439</v>
      </c>
      <c r="D41" s="49">
        <v>12</v>
      </c>
      <c r="E41" s="49" t="s">
        <v>169</v>
      </c>
      <c r="F41" s="49">
        <v>120.8</v>
      </c>
      <c r="G41" s="51">
        <f t="shared" si="1"/>
        <v>1449.6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12</v>
      </c>
      <c r="E42" s="49" t="s">
        <v>169</v>
      </c>
      <c r="F42" s="49">
        <v>2.75</v>
      </c>
      <c r="G42" s="51">
        <f t="shared" si="1"/>
        <v>33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400</v>
      </c>
      <c r="G47" s="84">
        <f>D47*F47</f>
        <v>400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10539.971428571429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151305.17047619045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topLeftCell="A31" zoomScale="115" zoomScaleNormal="100" zoomScaleSheetLayoutView="115" workbookViewId="0">
      <selection activeCell="A5" sqref="A5:I5"/>
    </sheetView>
  </sheetViews>
  <sheetFormatPr defaultRowHeight="14.4" x14ac:dyDescent="0.3"/>
  <cols>
    <col min="1" max="1" width="5.6640625" bestFit="1" customWidth="1"/>
    <col min="2" max="2" width="13.33203125" bestFit="1" customWidth="1"/>
    <col min="7" max="7" width="15.44140625" bestFit="1" customWidth="1"/>
    <col min="8" max="8" width="12.5546875" customWidth="1"/>
    <col min="9" max="9" width="10.5546875" customWidth="1"/>
    <col min="10" max="10" width="23.109375" customWidth="1"/>
    <col min="11" max="11" width="6.5546875" customWidth="1"/>
  </cols>
  <sheetData>
    <row r="1" spans="1:12" x14ac:dyDescent="0.3">
      <c r="B1" s="4"/>
      <c r="K1" s="5"/>
    </row>
    <row r="2" spans="1:12" x14ac:dyDescent="0.3">
      <c r="B2" s="4"/>
      <c r="H2" s="6" t="s">
        <v>0</v>
      </c>
      <c r="I2" s="7">
        <v>43500</v>
      </c>
      <c r="J2" s="8" t="s">
        <v>1</v>
      </c>
      <c r="K2" s="8">
        <v>5.0999999999999996</v>
      </c>
      <c r="L2" s="8" t="s">
        <v>2</v>
      </c>
    </row>
    <row r="3" spans="1:12" x14ac:dyDescent="0.3">
      <c r="B3" s="4"/>
      <c r="H3" s="6" t="s">
        <v>3</v>
      </c>
      <c r="I3" s="5" t="s">
        <v>4</v>
      </c>
      <c r="J3" s="8" t="s">
        <v>5</v>
      </c>
      <c r="K3" s="8">
        <v>12</v>
      </c>
      <c r="L3" s="8">
        <f>(100-(K3))/100</f>
        <v>0.88</v>
      </c>
    </row>
    <row r="4" spans="1:12" ht="15.6" x14ac:dyDescent="0.3">
      <c r="A4" s="412" t="s">
        <v>6</v>
      </c>
      <c r="B4" s="412"/>
      <c r="C4" s="412"/>
      <c r="D4" s="412"/>
      <c r="E4" s="412"/>
      <c r="F4" s="412"/>
      <c r="G4" s="412"/>
      <c r="H4" s="412"/>
      <c r="I4" s="412"/>
      <c r="J4" s="8" t="s">
        <v>7</v>
      </c>
      <c r="K4" s="8">
        <v>10</v>
      </c>
      <c r="L4" s="8">
        <f>(100-(K4))/100</f>
        <v>0.9</v>
      </c>
    </row>
    <row r="5" spans="1:12" ht="30.75" customHeight="1" x14ac:dyDescent="0.3">
      <c r="A5" s="413" t="s">
        <v>8</v>
      </c>
      <c r="B5" s="414"/>
      <c r="C5" s="414"/>
      <c r="D5" s="414"/>
      <c r="E5" s="414"/>
      <c r="F5" s="414"/>
      <c r="G5" s="414"/>
      <c r="H5" s="414"/>
      <c r="I5" s="415"/>
      <c r="J5" s="9"/>
    </row>
    <row r="6" spans="1:12" ht="14.25" customHeight="1" x14ac:dyDescent="0.3">
      <c r="A6" s="416" t="s">
        <v>9</v>
      </c>
      <c r="B6" s="416" t="s">
        <v>10</v>
      </c>
      <c r="C6" s="417" t="s">
        <v>11</v>
      </c>
      <c r="D6" s="417"/>
      <c r="E6" s="417"/>
      <c r="F6" s="417"/>
      <c r="G6" s="416" t="s">
        <v>12</v>
      </c>
      <c r="H6" s="416" t="s">
        <v>13</v>
      </c>
      <c r="I6" s="416" t="s">
        <v>14</v>
      </c>
      <c r="J6" s="409" t="s">
        <v>15</v>
      </c>
    </row>
    <row r="7" spans="1:12" x14ac:dyDescent="0.3">
      <c r="A7" s="416"/>
      <c r="B7" s="416"/>
      <c r="C7" s="410" t="s">
        <v>16</v>
      </c>
      <c r="D7" s="410"/>
      <c r="E7" s="411" t="s">
        <v>17</v>
      </c>
      <c r="F7" s="411"/>
      <c r="G7" s="416"/>
      <c r="H7" s="416"/>
      <c r="I7" s="416"/>
      <c r="J7" s="409"/>
    </row>
    <row r="8" spans="1:12" x14ac:dyDescent="0.3">
      <c r="A8" s="416"/>
      <c r="B8" s="416"/>
      <c r="C8" s="10" t="s">
        <v>18</v>
      </c>
      <c r="D8" s="11" t="s">
        <v>19</v>
      </c>
      <c r="E8" s="12" t="s">
        <v>18</v>
      </c>
      <c r="F8" s="11" t="s">
        <v>19</v>
      </c>
      <c r="G8" s="416"/>
      <c r="H8" s="416"/>
      <c r="I8" s="416"/>
      <c r="J8" s="409"/>
    </row>
    <row r="9" spans="1:12" ht="18" customHeight="1" x14ac:dyDescent="0.3">
      <c r="A9" s="13">
        <v>1</v>
      </c>
      <c r="B9" s="14" t="s">
        <v>20</v>
      </c>
      <c r="C9" s="15">
        <v>5.120000000000001</v>
      </c>
      <c r="D9" s="16">
        <v>6.4</v>
      </c>
      <c r="E9" s="17">
        <v>4.6399999999999997</v>
      </c>
      <c r="F9" s="16">
        <v>5.8</v>
      </c>
      <c r="G9" s="18" t="s">
        <v>21</v>
      </c>
      <c r="H9" s="19" t="s">
        <v>22</v>
      </c>
      <c r="I9" s="20"/>
      <c r="J9" s="21"/>
    </row>
    <row r="10" spans="1:12" ht="18" customHeight="1" x14ac:dyDescent="0.3">
      <c r="A10" s="13">
        <v>2</v>
      </c>
      <c r="B10" s="22" t="s">
        <v>23</v>
      </c>
      <c r="C10" s="15">
        <v>6.4</v>
      </c>
      <c r="D10" s="16">
        <v>8</v>
      </c>
      <c r="E10" s="17">
        <v>5.5</v>
      </c>
      <c r="F10" s="16">
        <v>6.8</v>
      </c>
      <c r="G10" s="23" t="s">
        <v>24</v>
      </c>
      <c r="H10" s="22" t="s">
        <v>25</v>
      </c>
      <c r="I10" s="24">
        <f t="shared" ref="I10:I50" si="0">((J10/$L$3)/$L$4)</f>
        <v>16972.982028072936</v>
      </c>
      <c r="J10" s="25">
        <f>AMD9PN5!G27</f>
        <v>13442.601766233765</v>
      </c>
    </row>
    <row r="11" spans="1:12" ht="18" customHeight="1" x14ac:dyDescent="0.3">
      <c r="A11" s="13">
        <v>3</v>
      </c>
      <c r="B11" s="22" t="s">
        <v>26</v>
      </c>
      <c r="C11" s="15">
        <v>11</v>
      </c>
      <c r="D11" s="16">
        <v>15</v>
      </c>
      <c r="E11" s="17">
        <v>10</v>
      </c>
      <c r="F11" s="16">
        <v>13</v>
      </c>
      <c r="G11" s="23" t="s">
        <v>27</v>
      </c>
      <c r="H11" s="22" t="s">
        <v>28</v>
      </c>
      <c r="I11" s="24">
        <f t="shared" si="0"/>
        <v>18846.194995590824</v>
      </c>
      <c r="J11" s="25">
        <f>AMD13PN5!G27</f>
        <v>14926.186436507933</v>
      </c>
    </row>
    <row r="12" spans="1:12" ht="18" customHeight="1" x14ac:dyDescent="0.3">
      <c r="A12" s="13">
        <v>4</v>
      </c>
      <c r="B12" s="22" t="s">
        <v>29</v>
      </c>
      <c r="C12" s="15">
        <v>13</v>
      </c>
      <c r="D12" s="16">
        <v>17</v>
      </c>
      <c r="E12" s="17">
        <v>12</v>
      </c>
      <c r="F12" s="16">
        <v>15</v>
      </c>
      <c r="G12" s="23" t="s">
        <v>30</v>
      </c>
      <c r="H12" s="22" t="s">
        <v>31</v>
      </c>
      <c r="I12" s="24">
        <f t="shared" si="0"/>
        <v>19349.24045013628</v>
      </c>
      <c r="J12" s="25">
        <f>AMD15PN5!G27</f>
        <v>15324.598436507935</v>
      </c>
    </row>
    <row r="13" spans="1:12" ht="18" customHeight="1" x14ac:dyDescent="0.3">
      <c r="A13" s="13">
        <v>5</v>
      </c>
      <c r="B13" s="22" t="s">
        <v>32</v>
      </c>
      <c r="C13" s="15">
        <v>18</v>
      </c>
      <c r="D13" s="16">
        <v>22</v>
      </c>
      <c r="E13" s="17">
        <v>16</v>
      </c>
      <c r="F13" s="26">
        <v>20</v>
      </c>
      <c r="G13" s="23" t="s">
        <v>33</v>
      </c>
      <c r="H13" s="27" t="s">
        <v>34</v>
      </c>
      <c r="I13" s="24">
        <f t="shared" si="0"/>
        <v>23520.101280663785</v>
      </c>
      <c r="J13" s="25">
        <f>AMD20PN5!G27</f>
        <v>18627.920214285718</v>
      </c>
    </row>
    <row r="14" spans="1:12" ht="18" customHeight="1" x14ac:dyDescent="0.3">
      <c r="A14" s="13">
        <v>6</v>
      </c>
      <c r="B14" s="22" t="s">
        <v>35</v>
      </c>
      <c r="C14" s="15">
        <v>26</v>
      </c>
      <c r="D14" s="26">
        <v>33</v>
      </c>
      <c r="E14" s="17">
        <v>24</v>
      </c>
      <c r="F14" s="26">
        <v>30</v>
      </c>
      <c r="G14" s="23" t="s">
        <v>36</v>
      </c>
      <c r="H14" s="27" t="s">
        <v>37</v>
      </c>
      <c r="I14" s="24">
        <f t="shared" si="0"/>
        <v>26337.900834645152</v>
      </c>
      <c r="J14" s="25">
        <f>AMD30PN5!G27</f>
        <v>20859.617461038961</v>
      </c>
    </row>
    <row r="15" spans="1:12" ht="18" customHeight="1" x14ac:dyDescent="0.3">
      <c r="A15" s="13">
        <v>7</v>
      </c>
      <c r="B15" s="22" t="s">
        <v>38</v>
      </c>
      <c r="C15" s="15">
        <v>39</v>
      </c>
      <c r="D15" s="26">
        <v>49</v>
      </c>
      <c r="E15" s="17">
        <v>36</v>
      </c>
      <c r="F15" s="26">
        <v>45</v>
      </c>
      <c r="G15" s="23" t="s">
        <v>39</v>
      </c>
      <c r="H15" s="28" t="s">
        <v>40</v>
      </c>
      <c r="I15" s="24">
        <f t="shared" si="0"/>
        <v>29760.712752525251</v>
      </c>
      <c r="J15" s="25">
        <f>AMD45PN5!G27</f>
        <v>23570.484499999999</v>
      </c>
    </row>
    <row r="16" spans="1:12" ht="18" customHeight="1" x14ac:dyDescent="0.3">
      <c r="A16" s="13">
        <v>8</v>
      </c>
      <c r="B16" s="22" t="s">
        <v>41</v>
      </c>
      <c r="C16" s="15">
        <v>53</v>
      </c>
      <c r="D16" s="26">
        <v>66</v>
      </c>
      <c r="E16" s="17">
        <v>48</v>
      </c>
      <c r="F16" s="26">
        <v>60</v>
      </c>
      <c r="G16" s="23" t="s">
        <v>42</v>
      </c>
      <c r="H16" s="27" t="s">
        <v>43</v>
      </c>
      <c r="I16" s="24">
        <f t="shared" si="0"/>
        <v>33267.593223905722</v>
      </c>
      <c r="J16" s="25">
        <f>AMD60PN5!G27</f>
        <v>26347.933833333333</v>
      </c>
    </row>
    <row r="17" spans="1:10" ht="18" customHeight="1" x14ac:dyDescent="0.3">
      <c r="A17" s="13">
        <v>9</v>
      </c>
      <c r="B17" s="22" t="s">
        <v>44</v>
      </c>
      <c r="C17" s="15">
        <v>57</v>
      </c>
      <c r="D17" s="26">
        <v>72</v>
      </c>
      <c r="E17" s="17">
        <v>52</v>
      </c>
      <c r="F17" s="26">
        <v>65</v>
      </c>
      <c r="G17" s="23" t="s">
        <v>45</v>
      </c>
      <c r="H17" s="27" t="s">
        <v>43</v>
      </c>
      <c r="I17" s="24">
        <f t="shared" si="0"/>
        <v>34240.894209956699</v>
      </c>
      <c r="J17" s="25">
        <f>AMD65PN5!G27</f>
        <v>27118.788214285709</v>
      </c>
    </row>
    <row r="18" spans="1:10" ht="18" customHeight="1" x14ac:dyDescent="0.3">
      <c r="A18" s="13">
        <v>10</v>
      </c>
      <c r="B18" s="22" t="s">
        <v>46</v>
      </c>
      <c r="C18" s="15">
        <v>70</v>
      </c>
      <c r="D18" s="26">
        <v>88</v>
      </c>
      <c r="E18" s="17">
        <v>64</v>
      </c>
      <c r="F18" s="26">
        <v>80</v>
      </c>
      <c r="G18" s="23" t="s">
        <v>47</v>
      </c>
      <c r="H18" s="22" t="s">
        <v>48</v>
      </c>
      <c r="I18" s="24">
        <f t="shared" si="0"/>
        <v>37426.848755411258</v>
      </c>
      <c r="J18" s="25">
        <f>AMD80PN5!G27</f>
        <v>29642.064214285714</v>
      </c>
    </row>
    <row r="19" spans="1:10" ht="18" customHeight="1" x14ac:dyDescent="0.3">
      <c r="A19" s="13">
        <v>11</v>
      </c>
      <c r="B19" s="22" t="s">
        <v>46</v>
      </c>
      <c r="C19" s="15">
        <v>71</v>
      </c>
      <c r="D19" s="26">
        <v>89</v>
      </c>
      <c r="E19" s="17">
        <v>64</v>
      </c>
      <c r="F19" s="26">
        <v>80</v>
      </c>
      <c r="G19" s="23" t="s">
        <v>49</v>
      </c>
      <c r="H19" s="22" t="s">
        <v>48</v>
      </c>
      <c r="I19" s="24">
        <f t="shared" si="0"/>
        <v>41094.888528138523</v>
      </c>
      <c r="J19" s="25">
        <f>'AMD80''PN5'!G27</f>
        <v>32547.151714285708</v>
      </c>
    </row>
    <row r="20" spans="1:10" ht="18" customHeight="1" x14ac:dyDescent="0.3">
      <c r="A20" s="13">
        <v>12</v>
      </c>
      <c r="B20" s="22" t="s">
        <v>50</v>
      </c>
      <c r="C20" s="15">
        <v>90</v>
      </c>
      <c r="D20" s="26">
        <v>112</v>
      </c>
      <c r="E20" s="17">
        <v>81</v>
      </c>
      <c r="F20" s="26">
        <v>101</v>
      </c>
      <c r="G20" s="23" t="s">
        <v>51</v>
      </c>
      <c r="H20" s="22" t="s">
        <v>52</v>
      </c>
      <c r="I20" s="24">
        <f t="shared" si="0"/>
        <v>43652.036255411236</v>
      </c>
      <c r="J20" s="25">
        <f>AMD100PN5!G27</f>
        <v>34572.412714285703</v>
      </c>
    </row>
    <row r="21" spans="1:10" ht="18" customHeight="1" x14ac:dyDescent="0.3">
      <c r="A21" s="13">
        <v>13</v>
      </c>
      <c r="B21" s="22" t="s">
        <v>53</v>
      </c>
      <c r="C21" s="15">
        <v>120</v>
      </c>
      <c r="D21" s="26">
        <v>150</v>
      </c>
      <c r="E21" s="17">
        <v>108</v>
      </c>
      <c r="F21" s="26">
        <v>135</v>
      </c>
      <c r="G21" s="23" t="s">
        <v>54</v>
      </c>
      <c r="H21" s="22" t="s">
        <v>55</v>
      </c>
      <c r="I21" s="24">
        <f t="shared" si="0"/>
        <v>56819.200797659112</v>
      </c>
      <c r="J21" s="25">
        <f>AMD135PN5!G27</f>
        <v>45000.807031746022</v>
      </c>
    </row>
    <row r="22" spans="1:10" ht="18" customHeight="1" x14ac:dyDescent="0.3">
      <c r="A22" s="13">
        <v>14</v>
      </c>
      <c r="B22" s="22" t="s">
        <v>56</v>
      </c>
      <c r="C22" s="15">
        <v>132</v>
      </c>
      <c r="D22" s="26">
        <v>165</v>
      </c>
      <c r="E22" s="17">
        <v>120</v>
      </c>
      <c r="F22" s="26">
        <v>150</v>
      </c>
      <c r="G22" s="23" t="s">
        <v>57</v>
      </c>
      <c r="H22" s="22" t="s">
        <v>58</v>
      </c>
      <c r="I22" s="24">
        <f t="shared" si="0"/>
        <v>63423.921486692307</v>
      </c>
      <c r="J22" s="25">
        <f>AMD150PN5!G27</f>
        <v>50231.745817460309</v>
      </c>
    </row>
    <row r="23" spans="1:10" ht="18" customHeight="1" x14ac:dyDescent="0.3">
      <c r="A23" s="13">
        <v>15</v>
      </c>
      <c r="B23" s="22" t="s">
        <v>59</v>
      </c>
      <c r="C23" s="15">
        <v>160</v>
      </c>
      <c r="D23" s="26">
        <v>200</v>
      </c>
      <c r="E23" s="17">
        <v>144</v>
      </c>
      <c r="F23" s="26">
        <v>180</v>
      </c>
      <c r="G23" s="23" t="s">
        <v>60</v>
      </c>
      <c r="H23" s="22" t="s">
        <v>61</v>
      </c>
      <c r="I23" s="24">
        <f t="shared" si="0"/>
        <v>69916.87287558119</v>
      </c>
      <c r="J23" s="25">
        <f>AMD180PN5!G27</f>
        <v>55374.163317460305</v>
      </c>
    </row>
    <row r="24" spans="1:10" ht="18" customHeight="1" x14ac:dyDescent="0.3">
      <c r="A24" s="13">
        <v>16</v>
      </c>
      <c r="B24" s="22" t="s">
        <v>62</v>
      </c>
      <c r="C24" s="15">
        <v>176</v>
      </c>
      <c r="D24" s="26">
        <v>220</v>
      </c>
      <c r="E24" s="17">
        <v>160</v>
      </c>
      <c r="F24" s="26">
        <v>200</v>
      </c>
      <c r="G24" s="23" t="s">
        <v>63</v>
      </c>
      <c r="H24" s="22" t="s">
        <v>64</v>
      </c>
      <c r="I24" s="24">
        <f t="shared" si="0"/>
        <v>77716.578894099715</v>
      </c>
      <c r="J24" s="25">
        <f>AMD200PN5!G27</f>
        <v>61551.530484126983</v>
      </c>
    </row>
    <row r="25" spans="1:10" ht="18" customHeight="1" x14ac:dyDescent="0.3">
      <c r="A25" s="13">
        <v>17</v>
      </c>
      <c r="B25" s="22" t="s">
        <v>62</v>
      </c>
      <c r="C25" s="15">
        <v>176.04</v>
      </c>
      <c r="D25" s="26">
        <v>220.04</v>
      </c>
      <c r="E25" s="17">
        <v>160.04</v>
      </c>
      <c r="F25" s="26">
        <v>200.04</v>
      </c>
      <c r="G25" s="23" t="s">
        <v>65</v>
      </c>
      <c r="H25" s="22" t="s">
        <v>64</v>
      </c>
      <c r="I25" s="24">
        <f t="shared" si="0"/>
        <v>91459.461369648881</v>
      </c>
      <c r="J25" s="25">
        <f>AMD200.PN5!G27</f>
        <v>72435.893404761911</v>
      </c>
    </row>
    <row r="26" spans="1:10" ht="18" customHeight="1" x14ac:dyDescent="0.3">
      <c r="A26" s="13">
        <v>18</v>
      </c>
      <c r="B26" s="22" t="s">
        <v>66</v>
      </c>
      <c r="C26" s="15">
        <v>200</v>
      </c>
      <c r="D26" s="26">
        <v>250</v>
      </c>
      <c r="E26" s="17">
        <v>185</v>
      </c>
      <c r="F26" s="26">
        <v>230</v>
      </c>
      <c r="G26" s="23" t="s">
        <v>67</v>
      </c>
      <c r="H26" s="22" t="s">
        <v>68</v>
      </c>
      <c r="I26" s="24">
        <f t="shared" si="0"/>
        <v>100185.90265752765</v>
      </c>
      <c r="J26" s="25">
        <f>AMD230PN5!G27</f>
        <v>79347.234904761906</v>
      </c>
    </row>
    <row r="27" spans="1:10" ht="18" customHeight="1" x14ac:dyDescent="0.3">
      <c r="A27" s="13">
        <v>19</v>
      </c>
      <c r="B27" s="22" t="s">
        <v>69</v>
      </c>
      <c r="C27" s="15">
        <v>220</v>
      </c>
      <c r="D27" s="26">
        <v>275</v>
      </c>
      <c r="E27" s="17">
        <v>200</v>
      </c>
      <c r="F27" s="26">
        <v>250</v>
      </c>
      <c r="G27" s="23" t="s">
        <v>70</v>
      </c>
      <c r="H27" s="22" t="s">
        <v>71</v>
      </c>
      <c r="I27" s="24">
        <f t="shared" si="0"/>
        <v>101450.50303631554</v>
      </c>
      <c r="J27" s="25">
        <f>AMD250PN5!G27</f>
        <v>80348.79840476191</v>
      </c>
    </row>
    <row r="28" spans="1:10" ht="18" customHeight="1" x14ac:dyDescent="0.3">
      <c r="A28" s="13">
        <v>20</v>
      </c>
      <c r="B28" s="22" t="s">
        <v>72</v>
      </c>
      <c r="C28" s="15">
        <v>240</v>
      </c>
      <c r="D28" s="26">
        <v>300</v>
      </c>
      <c r="E28" s="17">
        <v>220</v>
      </c>
      <c r="F28" s="26">
        <v>275</v>
      </c>
      <c r="G28" s="23" t="s">
        <v>73</v>
      </c>
      <c r="H28" s="22" t="s">
        <v>74</v>
      </c>
      <c r="I28" s="24">
        <f t="shared" si="0"/>
        <v>125607.09928651596</v>
      </c>
      <c r="J28" s="25">
        <f>AMD275PN5!G27</f>
        <v>99480.822634920652</v>
      </c>
    </row>
    <row r="29" spans="1:10" ht="18" customHeight="1" x14ac:dyDescent="0.3">
      <c r="A29" s="13">
        <v>21</v>
      </c>
      <c r="B29" s="22" t="s">
        <v>75</v>
      </c>
      <c r="C29" s="15">
        <v>270</v>
      </c>
      <c r="D29" s="26">
        <v>330</v>
      </c>
      <c r="E29" s="17">
        <v>250</v>
      </c>
      <c r="F29" s="26">
        <v>300</v>
      </c>
      <c r="G29" s="23" t="s">
        <v>76</v>
      </c>
      <c r="H29" s="22" t="s">
        <v>74</v>
      </c>
      <c r="I29" s="24">
        <f t="shared" si="0"/>
        <v>128925.80193803112</v>
      </c>
      <c r="J29" s="25">
        <f>AMD300PN5!G27</f>
        <v>102109.23513492064</v>
      </c>
    </row>
    <row r="30" spans="1:10" ht="18" customHeight="1" x14ac:dyDescent="0.3">
      <c r="A30" s="13">
        <v>22</v>
      </c>
      <c r="B30" s="22" t="s">
        <v>77</v>
      </c>
      <c r="C30" s="15">
        <v>320</v>
      </c>
      <c r="D30" s="26">
        <v>400</v>
      </c>
      <c r="E30" s="17">
        <v>280</v>
      </c>
      <c r="F30" s="26">
        <v>350</v>
      </c>
      <c r="G30" s="23" t="s">
        <v>78</v>
      </c>
      <c r="H30" s="22" t="s">
        <v>79</v>
      </c>
      <c r="I30" s="24">
        <f t="shared" si="0"/>
        <v>137178.56790123458</v>
      </c>
      <c r="J30" s="25">
        <f>AMD350PN5!G27</f>
        <v>108645.42577777778</v>
      </c>
    </row>
    <row r="31" spans="1:10" ht="18" customHeight="1" x14ac:dyDescent="0.3">
      <c r="A31" s="13">
        <v>23</v>
      </c>
      <c r="B31" s="22" t="s">
        <v>80</v>
      </c>
      <c r="C31" s="15">
        <v>350</v>
      </c>
      <c r="D31" s="26">
        <v>450</v>
      </c>
      <c r="E31" s="17">
        <v>320</v>
      </c>
      <c r="F31" s="26">
        <v>400</v>
      </c>
      <c r="G31" s="23" t="s">
        <v>81</v>
      </c>
      <c r="H31" s="22" t="s">
        <v>82</v>
      </c>
      <c r="I31" s="24">
        <f t="shared" si="0"/>
        <v>151993.67143658811</v>
      </c>
      <c r="J31" s="25">
        <f>AMD400PN5!G27</f>
        <v>120378.98777777779</v>
      </c>
    </row>
    <row r="32" spans="1:10" ht="18" customHeight="1" x14ac:dyDescent="0.3">
      <c r="A32" s="13">
        <v>24</v>
      </c>
      <c r="B32" s="22" t="s">
        <v>83</v>
      </c>
      <c r="C32" s="15">
        <v>400</v>
      </c>
      <c r="D32" s="26">
        <v>500</v>
      </c>
      <c r="E32" s="17">
        <v>364</v>
      </c>
      <c r="F32" s="26">
        <v>455</v>
      </c>
      <c r="G32" s="23" t="s">
        <v>84</v>
      </c>
      <c r="H32" s="22" t="s">
        <v>85</v>
      </c>
      <c r="I32" s="24">
        <f t="shared" si="0"/>
        <v>168243.5025152317</v>
      </c>
      <c r="J32" s="25">
        <f>AMD450PN5!G27</f>
        <v>133248.85399206349</v>
      </c>
    </row>
    <row r="33" spans="1:10" ht="18" customHeight="1" x14ac:dyDescent="0.3">
      <c r="A33" s="13">
        <v>25</v>
      </c>
      <c r="B33" s="22" t="s">
        <v>86</v>
      </c>
      <c r="C33" s="15">
        <v>440</v>
      </c>
      <c r="D33" s="26">
        <v>550</v>
      </c>
      <c r="E33" s="17">
        <v>400</v>
      </c>
      <c r="F33" s="26">
        <v>500</v>
      </c>
      <c r="G33" s="23" t="s">
        <v>87</v>
      </c>
      <c r="H33" s="22" t="s">
        <v>85</v>
      </c>
      <c r="I33" s="24">
        <f t="shared" si="0"/>
        <v>177733.83718133715</v>
      </c>
      <c r="J33" s="25">
        <f>AMD500PN5!G27</f>
        <v>140765.19904761904</v>
      </c>
    </row>
    <row r="34" spans="1:10" ht="18" customHeight="1" x14ac:dyDescent="0.3">
      <c r="A34" s="13">
        <v>26</v>
      </c>
      <c r="B34" s="22" t="s">
        <v>88</v>
      </c>
      <c r="C34" s="15">
        <v>528</v>
      </c>
      <c r="D34" s="26">
        <v>660</v>
      </c>
      <c r="E34" s="17">
        <v>480</v>
      </c>
      <c r="F34" s="26">
        <v>600</v>
      </c>
      <c r="G34" s="23" t="s">
        <v>89</v>
      </c>
      <c r="H34" s="22" t="s">
        <v>90</v>
      </c>
      <c r="I34" s="24">
        <f t="shared" si="0"/>
        <v>232850.87076118332</v>
      </c>
      <c r="J34" s="25">
        <f>AMD600PN5!G27</f>
        <v>184417.88964285719</v>
      </c>
    </row>
    <row r="35" spans="1:10" ht="18" customHeight="1" x14ac:dyDescent="0.3">
      <c r="A35" s="13">
        <v>27</v>
      </c>
      <c r="B35" s="22" t="s">
        <v>91</v>
      </c>
      <c r="C35" s="15">
        <v>560</v>
      </c>
      <c r="D35" s="26">
        <v>700</v>
      </c>
      <c r="E35" s="17">
        <v>520</v>
      </c>
      <c r="F35" s="26">
        <v>650</v>
      </c>
      <c r="G35" s="23" t="s">
        <v>92</v>
      </c>
      <c r="H35" s="22" t="s">
        <v>93</v>
      </c>
      <c r="I35" s="24">
        <f t="shared" si="0"/>
        <v>250645.33694083692</v>
      </c>
      <c r="J35" s="25">
        <f>AMD650PN5!G27</f>
        <v>198511.10685714285</v>
      </c>
    </row>
    <row r="36" spans="1:10" ht="18" customHeight="1" x14ac:dyDescent="0.3">
      <c r="A36" s="13">
        <v>28</v>
      </c>
      <c r="B36" s="22" t="s">
        <v>94</v>
      </c>
      <c r="C36" s="15">
        <v>656</v>
      </c>
      <c r="D36" s="26">
        <v>820</v>
      </c>
      <c r="E36" s="17">
        <v>597</v>
      </c>
      <c r="F36" s="26">
        <v>746</v>
      </c>
      <c r="G36" s="23" t="s">
        <v>95</v>
      </c>
      <c r="H36" s="22" t="s">
        <v>96</v>
      </c>
      <c r="I36" s="24">
        <f t="shared" si="0"/>
        <v>336682.98286435782</v>
      </c>
      <c r="J36" s="25">
        <f>AMD750PN5!G27</f>
        <v>266652.92242857139</v>
      </c>
    </row>
    <row r="37" spans="1:10" ht="18" customHeight="1" x14ac:dyDescent="0.3">
      <c r="A37" s="13">
        <v>29</v>
      </c>
      <c r="B37" s="22" t="s">
        <v>97</v>
      </c>
      <c r="C37" s="15">
        <v>718</v>
      </c>
      <c r="D37" s="26">
        <v>900</v>
      </c>
      <c r="E37" s="17">
        <v>641</v>
      </c>
      <c r="F37" s="26">
        <v>800</v>
      </c>
      <c r="G37" s="23" t="s">
        <v>98</v>
      </c>
      <c r="H37" s="22" t="s">
        <v>96</v>
      </c>
      <c r="I37" s="24">
        <f t="shared" si="0"/>
        <v>346869.24233405484</v>
      </c>
      <c r="J37" s="25">
        <f>AMD800PN5!G27</f>
        <v>274720.4399285714</v>
      </c>
    </row>
    <row r="38" spans="1:10" ht="18" customHeight="1" x14ac:dyDescent="0.3">
      <c r="A38" s="13">
        <v>30</v>
      </c>
      <c r="B38" s="22" t="s">
        <v>99</v>
      </c>
      <c r="C38" s="15">
        <v>800</v>
      </c>
      <c r="D38" s="26">
        <v>1000</v>
      </c>
      <c r="E38" s="17">
        <v>720</v>
      </c>
      <c r="F38" s="26">
        <v>900</v>
      </c>
      <c r="G38" s="23" t="s">
        <v>100</v>
      </c>
      <c r="H38" s="22" t="s">
        <v>101</v>
      </c>
      <c r="I38" s="24">
        <f t="shared" si="0"/>
        <v>459582.95382395381</v>
      </c>
      <c r="J38" s="25">
        <f>AMD900PN5!G27</f>
        <v>363989.69942857139</v>
      </c>
    </row>
    <row r="39" spans="1:10" ht="18" customHeight="1" x14ac:dyDescent="0.3">
      <c r="A39" s="13">
        <v>31</v>
      </c>
      <c r="B39" s="22" t="s">
        <v>102</v>
      </c>
      <c r="C39" s="15">
        <v>880</v>
      </c>
      <c r="D39" s="26">
        <v>1100</v>
      </c>
      <c r="E39" s="17">
        <v>800</v>
      </c>
      <c r="F39" s="26">
        <v>1000</v>
      </c>
      <c r="G39" s="23" t="s">
        <v>103</v>
      </c>
      <c r="H39" s="22" t="s">
        <v>104</v>
      </c>
      <c r="I39" s="24">
        <f t="shared" si="0"/>
        <v>461783.7776875901</v>
      </c>
      <c r="J39" s="25">
        <f>AMD1000PN5!G27</f>
        <v>365732.75192857138</v>
      </c>
    </row>
    <row r="40" spans="1:10" ht="18" customHeight="1" x14ac:dyDescent="0.3">
      <c r="A40" s="13">
        <v>32</v>
      </c>
      <c r="B40" s="22" t="s">
        <v>105</v>
      </c>
      <c r="C40" s="15">
        <v>1000</v>
      </c>
      <c r="D40" s="26">
        <v>1250</v>
      </c>
      <c r="E40" s="17">
        <v>900</v>
      </c>
      <c r="F40" s="26">
        <v>1125</v>
      </c>
      <c r="G40" s="23" t="s">
        <v>106</v>
      </c>
      <c r="H40" s="22" t="s">
        <v>107</v>
      </c>
      <c r="I40" s="24">
        <f t="shared" si="0"/>
        <v>574990.80672799412</v>
      </c>
      <c r="J40" s="25">
        <f>AMD1125PN5!G27</f>
        <v>455392.71892857138</v>
      </c>
    </row>
    <row r="41" spans="1:10" ht="18" customHeight="1" x14ac:dyDescent="0.3">
      <c r="A41" s="13">
        <v>33</v>
      </c>
      <c r="B41" s="22" t="s">
        <v>108</v>
      </c>
      <c r="C41" s="15">
        <v>1100</v>
      </c>
      <c r="D41" s="26">
        <v>1385</v>
      </c>
      <c r="E41" s="17">
        <v>1000</v>
      </c>
      <c r="F41" s="26">
        <v>1250</v>
      </c>
      <c r="G41" s="23" t="s">
        <v>109</v>
      </c>
      <c r="H41" s="22" t="s">
        <v>110</v>
      </c>
      <c r="I41" s="24">
        <f t="shared" si="0"/>
        <v>650058.6626082249</v>
      </c>
      <c r="J41" s="25">
        <f>AMD1250PN5!G27</f>
        <v>514846.46078571409</v>
      </c>
    </row>
    <row r="42" spans="1:10" ht="18" customHeight="1" x14ac:dyDescent="0.3">
      <c r="A42" s="13">
        <v>34</v>
      </c>
      <c r="B42" s="22" t="s">
        <v>111</v>
      </c>
      <c r="C42" s="15">
        <v>1200</v>
      </c>
      <c r="D42" s="26">
        <v>1500</v>
      </c>
      <c r="E42" s="17">
        <v>1100</v>
      </c>
      <c r="F42" s="26">
        <v>1350</v>
      </c>
      <c r="G42" s="23" t="s">
        <v>112</v>
      </c>
      <c r="H42" s="22" t="s">
        <v>113</v>
      </c>
      <c r="I42" s="24">
        <f t="shared" si="0"/>
        <v>704055.51984126971</v>
      </c>
      <c r="J42" s="25">
        <f>'AMD1350''PN5'!G27</f>
        <v>557611.97171428567</v>
      </c>
    </row>
    <row r="43" spans="1:10" ht="18" customHeight="1" x14ac:dyDescent="0.3">
      <c r="A43" s="13">
        <v>35</v>
      </c>
      <c r="B43" s="22" t="s">
        <v>111</v>
      </c>
      <c r="C43" s="15">
        <v>1200.04</v>
      </c>
      <c r="D43" s="26">
        <v>1500.04</v>
      </c>
      <c r="E43" s="17">
        <v>1100.04</v>
      </c>
      <c r="F43" s="26">
        <v>1350.04</v>
      </c>
      <c r="G43" s="23" t="s">
        <v>114</v>
      </c>
      <c r="H43" s="22" t="s">
        <v>113</v>
      </c>
      <c r="I43" s="24">
        <f t="shared" si="0"/>
        <v>725562.57927489153</v>
      </c>
      <c r="J43" s="25">
        <f>AMD1350PN5!G27</f>
        <v>574645.56278571417</v>
      </c>
    </row>
    <row r="44" spans="1:10" ht="18" customHeight="1" x14ac:dyDescent="0.3">
      <c r="A44" s="13">
        <v>36</v>
      </c>
      <c r="B44" s="22" t="s">
        <v>115</v>
      </c>
      <c r="C44" s="15">
        <v>1320</v>
      </c>
      <c r="D44" s="26">
        <v>1650</v>
      </c>
      <c r="E44" s="17">
        <v>1200</v>
      </c>
      <c r="F44" s="26">
        <v>1500</v>
      </c>
      <c r="G44" s="23" t="s">
        <v>116</v>
      </c>
      <c r="H44" s="22" t="s">
        <v>117</v>
      </c>
      <c r="I44" s="24">
        <f t="shared" si="0"/>
        <v>736028.71942640666</v>
      </c>
      <c r="J44" s="25">
        <f>AMD1500PN5!G27</f>
        <v>582934.74578571413</v>
      </c>
    </row>
    <row r="45" spans="1:10" ht="18" customHeight="1" x14ac:dyDescent="0.3">
      <c r="A45" s="13">
        <v>37</v>
      </c>
      <c r="B45" s="22" t="s">
        <v>118</v>
      </c>
      <c r="C45" s="15">
        <v>1500</v>
      </c>
      <c r="D45" s="26">
        <v>1875</v>
      </c>
      <c r="E45" s="17">
        <v>1350</v>
      </c>
      <c r="F45" s="26">
        <v>1710</v>
      </c>
      <c r="G45" s="23" t="s">
        <v>119</v>
      </c>
      <c r="H45" s="22" t="s">
        <v>120</v>
      </c>
      <c r="I45" s="24">
        <f t="shared" si="0"/>
        <v>831520.20953583438</v>
      </c>
      <c r="J45" s="25">
        <f>AMD1700PN5!G27</f>
        <v>658564.00595238083</v>
      </c>
    </row>
    <row r="46" spans="1:10" ht="18" customHeight="1" x14ac:dyDescent="0.3">
      <c r="A46" s="13">
        <v>38</v>
      </c>
      <c r="B46" s="22" t="s">
        <v>121</v>
      </c>
      <c r="C46" s="15">
        <v>1600</v>
      </c>
      <c r="D46" s="26">
        <v>2000</v>
      </c>
      <c r="E46" s="17">
        <v>1480</v>
      </c>
      <c r="F46" s="26">
        <v>1850</v>
      </c>
      <c r="G46" s="23" t="s">
        <v>122</v>
      </c>
      <c r="H46" s="22" t="s">
        <v>120</v>
      </c>
      <c r="I46" s="24">
        <f t="shared" si="0"/>
        <v>1114325.0087481963</v>
      </c>
      <c r="J46" s="25">
        <f>AMD1850PN5!G27</f>
        <v>882545.40692857152</v>
      </c>
    </row>
    <row r="47" spans="1:10" ht="18" customHeight="1" x14ac:dyDescent="0.3">
      <c r="A47" s="13">
        <v>39</v>
      </c>
      <c r="B47" s="22" t="s">
        <v>121</v>
      </c>
      <c r="C47" s="15">
        <v>1600.04</v>
      </c>
      <c r="D47" s="26">
        <v>2000.04</v>
      </c>
      <c r="E47" s="17">
        <v>1480.04</v>
      </c>
      <c r="F47" s="26">
        <v>1850.04</v>
      </c>
      <c r="G47" s="23" t="s">
        <v>123</v>
      </c>
      <c r="H47" s="22" t="s">
        <v>120</v>
      </c>
      <c r="I47" s="24">
        <f t="shared" si="0"/>
        <v>1111788.8212481963</v>
      </c>
      <c r="J47" s="25">
        <f>'AMD1850''PN5'!G27</f>
        <v>880536.74642857153</v>
      </c>
    </row>
    <row r="48" spans="1:10" ht="18" customHeight="1" x14ac:dyDescent="0.3">
      <c r="A48" s="13">
        <v>40</v>
      </c>
      <c r="B48" s="22" t="s">
        <v>124</v>
      </c>
      <c r="C48" s="15">
        <v>1800</v>
      </c>
      <c r="D48" s="26">
        <v>2250</v>
      </c>
      <c r="E48" s="17">
        <v>1600</v>
      </c>
      <c r="F48" s="26">
        <v>2000</v>
      </c>
      <c r="G48" s="23" t="s">
        <v>125</v>
      </c>
      <c r="H48" s="22" t="s">
        <v>126</v>
      </c>
      <c r="I48" s="24">
        <f t="shared" si="0"/>
        <v>1153627.320616883</v>
      </c>
      <c r="J48" s="25">
        <f>AMD2000PN5!G27</f>
        <v>913672.83792857139</v>
      </c>
    </row>
    <row r="49" spans="1:10" ht="18" customHeight="1" x14ac:dyDescent="0.3">
      <c r="A49" s="13">
        <v>41</v>
      </c>
      <c r="B49" s="22" t="s">
        <v>124</v>
      </c>
      <c r="C49" s="15">
        <v>1800.04</v>
      </c>
      <c r="D49" s="26">
        <v>2250.04</v>
      </c>
      <c r="E49" s="17">
        <v>1600.04</v>
      </c>
      <c r="F49" s="26">
        <v>2000.04</v>
      </c>
      <c r="G49" s="23" t="s">
        <v>127</v>
      </c>
      <c r="H49" s="22" t="s">
        <v>126</v>
      </c>
      <c r="I49" s="24">
        <f t="shared" si="0"/>
        <v>1186527.8906926408</v>
      </c>
      <c r="J49" s="25">
        <f>'AMD2000''PN5'!G27</f>
        <v>939730.08942857152</v>
      </c>
    </row>
    <row r="50" spans="1:10" ht="18" customHeight="1" x14ac:dyDescent="0.3">
      <c r="A50" s="13">
        <v>42</v>
      </c>
      <c r="B50" s="22" t="s">
        <v>128</v>
      </c>
      <c r="C50" s="15">
        <v>2000</v>
      </c>
      <c r="D50" s="16">
        <v>2500</v>
      </c>
      <c r="E50" s="17">
        <v>1800</v>
      </c>
      <c r="F50" s="16">
        <v>2250</v>
      </c>
      <c r="G50" s="23" t="s">
        <v>129</v>
      </c>
      <c r="H50" s="22" t="s">
        <v>130</v>
      </c>
      <c r="I50" s="24">
        <f t="shared" si="0"/>
        <v>1224396.0346320346</v>
      </c>
      <c r="J50" s="25">
        <f>AMD2250PN5!G27</f>
        <v>969721.65942857147</v>
      </c>
    </row>
    <row r="51" spans="1:10" ht="18" customHeight="1" x14ac:dyDescent="0.3"/>
    <row r="52" spans="1:10" ht="18" customHeight="1" x14ac:dyDescent="0.3"/>
  </sheetData>
  <mergeCells count="11">
    <mergeCell ref="J6:J8"/>
    <mergeCell ref="C7:D7"/>
    <mergeCell ref="E7:F7"/>
    <mergeCell ref="A4:I4"/>
    <mergeCell ref="A5:I5"/>
    <mergeCell ref="A6:A8"/>
    <mergeCell ref="B6:B8"/>
    <mergeCell ref="C6:F6"/>
    <mergeCell ref="G6:G8"/>
    <mergeCell ref="H6:H8"/>
    <mergeCell ref="I6:I8"/>
  </mergeCells>
  <pageMargins left="0.7" right="0.7" top="0.75" bottom="0.75" header="0.3" footer="0.3"/>
  <pageSetup scale="6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454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455</v>
      </c>
      <c r="C3" s="154"/>
      <c r="D3" s="432">
        <v>1</v>
      </c>
      <c r="E3" s="432" t="s">
        <v>169</v>
      </c>
      <c r="F3" s="434">
        <f>H3</f>
        <v>156136.5</v>
      </c>
      <c r="G3" s="436">
        <f>F3*D3</f>
        <v>156136.5</v>
      </c>
      <c r="H3" s="48">
        <f>I3*'Prices without ATS'!$K$2</f>
        <v>156136.5</v>
      </c>
      <c r="I3" s="88">
        <v>30615</v>
      </c>
      <c r="J3" s="88"/>
      <c r="K3" s="88"/>
    </row>
    <row r="4" spans="1:11" ht="18" customHeight="1" x14ac:dyDescent="0.3">
      <c r="A4" s="45" t="s">
        <v>171</v>
      </c>
      <c r="B4" s="132" t="s">
        <v>456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62</v>
      </c>
      <c r="E5" s="99" t="s">
        <v>176</v>
      </c>
      <c r="F5" s="100">
        <f>6.5/1.05</f>
        <v>6.1904761904761898</v>
      </c>
      <c r="G5" s="101">
        <f t="shared" ref="G5:G21" si="0">D5*F5</f>
        <v>383.80952380952374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40</v>
      </c>
      <c r="E6" s="99" t="s">
        <v>176</v>
      </c>
      <c r="F6" s="100">
        <f>0.9/1.05</f>
        <v>0.8571428571428571</v>
      </c>
      <c r="G6" s="101">
        <f t="shared" si="0"/>
        <v>34.285714285714285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21</v>
      </c>
      <c r="E7" s="99" t="s">
        <v>176</v>
      </c>
      <c r="F7" s="100">
        <f>2.9/1.05</f>
        <v>2.7619047619047619</v>
      </c>
      <c r="G7" s="101">
        <f t="shared" si="0"/>
        <v>58</v>
      </c>
    </row>
    <row r="8" spans="1:11" ht="18" customHeight="1" x14ac:dyDescent="0.3">
      <c r="A8" s="45" t="s">
        <v>183</v>
      </c>
      <c r="B8" s="156" t="s">
        <v>457</v>
      </c>
      <c r="C8" s="157" t="s">
        <v>458</v>
      </c>
      <c r="D8" s="158">
        <v>1</v>
      </c>
      <c r="E8" s="158" t="s">
        <v>169</v>
      </c>
      <c r="F8" s="159">
        <v>866.1</v>
      </c>
      <c r="G8" s="160">
        <f t="shared" si="0"/>
        <v>866.1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3850.0523809523811</v>
      </c>
      <c r="G9" s="160">
        <f t="shared" si="0"/>
        <v>3850.0523809523811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4</v>
      </c>
      <c r="E10" s="158" t="s">
        <v>169</v>
      </c>
      <c r="F10" s="159">
        <f>31.36/1.05</f>
        <v>29.866666666666664</v>
      </c>
      <c r="G10" s="160">
        <f t="shared" si="0"/>
        <v>119.46666666666665</v>
      </c>
    </row>
    <row r="11" spans="1:11" ht="18" customHeight="1" x14ac:dyDescent="0.3">
      <c r="A11" s="45" t="s">
        <v>192</v>
      </c>
      <c r="B11" s="156" t="s">
        <v>459</v>
      </c>
      <c r="C11" s="157" t="s">
        <v>460</v>
      </c>
      <c r="D11" s="158">
        <v>4</v>
      </c>
      <c r="E11" s="158" t="s">
        <v>169</v>
      </c>
      <c r="F11" s="159">
        <f>44.92/1.05</f>
        <v>42.780952380952378</v>
      </c>
      <c r="G11" s="160">
        <f t="shared" si="0"/>
        <v>171.12380952380951</v>
      </c>
    </row>
    <row r="12" spans="1:11" ht="18" customHeight="1" x14ac:dyDescent="0.3">
      <c r="A12" s="45" t="s">
        <v>195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1039.8899999999999</v>
      </c>
      <c r="G12" s="160">
        <f>D12*F12</f>
        <v>1039.8899999999999</v>
      </c>
    </row>
    <row r="13" spans="1:11" ht="18" customHeight="1" x14ac:dyDescent="0.3">
      <c r="A13" s="45" t="s">
        <v>197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753.8590476190476</v>
      </c>
      <c r="G13" s="160">
        <f t="shared" si="0"/>
        <v>753.8590476190476</v>
      </c>
    </row>
    <row r="14" spans="1:11" ht="18" customHeight="1" x14ac:dyDescent="0.3">
      <c r="A14" s="45" t="s">
        <v>201</v>
      </c>
      <c r="B14" s="161" t="s">
        <v>463</v>
      </c>
      <c r="C14" s="157" t="s">
        <v>464</v>
      </c>
      <c r="D14" s="163">
        <v>3</v>
      </c>
      <c r="E14" s="163" t="s">
        <v>169</v>
      </c>
      <c r="F14" s="159">
        <v>35</v>
      </c>
      <c r="G14" s="160">
        <f t="shared" si="0"/>
        <v>105</v>
      </c>
    </row>
    <row r="15" spans="1:11" ht="18" customHeight="1" x14ac:dyDescent="0.3">
      <c r="A15" s="45" t="s">
        <v>204</v>
      </c>
      <c r="B15" s="161" t="s">
        <v>465</v>
      </c>
      <c r="C15" s="157" t="s">
        <v>466</v>
      </c>
      <c r="D15" s="163">
        <v>1</v>
      </c>
      <c r="E15" s="163" t="s">
        <v>169</v>
      </c>
      <c r="F15" s="159">
        <v>2687.7</v>
      </c>
      <c r="G15" s="160">
        <f t="shared" si="0"/>
        <v>2687.7</v>
      </c>
    </row>
    <row r="16" spans="1:11" ht="18" customHeight="1" x14ac:dyDescent="0.3">
      <c r="A16" s="45" t="s">
        <v>207</v>
      </c>
      <c r="B16" s="161" t="s">
        <v>419</v>
      </c>
      <c r="C16" s="157" t="s">
        <v>420</v>
      </c>
      <c r="D16" s="163" t="s">
        <v>204</v>
      </c>
      <c r="E16" s="165" t="s">
        <v>200</v>
      </c>
      <c r="F16" s="159">
        <v>62.26</v>
      </c>
      <c r="G16" s="160">
        <f t="shared" si="0"/>
        <v>809.38</v>
      </c>
    </row>
    <row r="17" spans="1:7" ht="18" customHeight="1" x14ac:dyDescent="0.3">
      <c r="A17" s="45" t="s">
        <v>210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0">
        <f t="shared" si="0"/>
        <v>42</v>
      </c>
    </row>
    <row r="18" spans="1:7" ht="18" customHeight="1" x14ac:dyDescent="0.3">
      <c r="A18" s="45" t="s">
        <v>213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ht="18" customHeight="1" x14ac:dyDescent="0.3">
      <c r="A19" s="45" t="s">
        <v>216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ht="18" customHeight="1" x14ac:dyDescent="0.3">
      <c r="A20" s="53" t="s">
        <v>219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ht="18" customHeight="1" x14ac:dyDescent="0.3">
      <c r="A21" s="45" t="s">
        <v>221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53" t="s">
        <v>223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1482.29</v>
      </c>
      <c r="G22" s="170">
        <f>D22*F22</f>
        <v>1482.29</v>
      </c>
    </row>
    <row r="23" spans="1:7" ht="18" customHeight="1" x14ac:dyDescent="0.3">
      <c r="A23" s="45" t="s">
        <v>225</v>
      </c>
      <c r="B23" s="69" t="s">
        <v>222</v>
      </c>
      <c r="C23" s="47" t="s">
        <v>188</v>
      </c>
      <c r="D23" s="48">
        <v>1</v>
      </c>
      <c r="E23" s="67"/>
      <c r="F23" s="67">
        <f>H3*0.05</f>
        <v>7806.8250000000007</v>
      </c>
      <c r="G23" s="68">
        <f>F23*D23</f>
        <v>7806.8250000000007</v>
      </c>
    </row>
    <row r="24" spans="1:7" ht="18" customHeight="1" x14ac:dyDescent="0.3">
      <c r="A24" s="53" t="s">
        <v>227</v>
      </c>
      <c r="B24" s="64" t="s">
        <v>224</v>
      </c>
      <c r="C24" s="65" t="s">
        <v>188</v>
      </c>
      <c r="D24" s="66">
        <v>1</v>
      </c>
      <c r="E24" s="67"/>
      <c r="F24" s="67">
        <f>5500/7</f>
        <v>785.71428571428567</v>
      </c>
      <c r="G24" s="68">
        <f>F24*D24</f>
        <v>785.71428571428567</v>
      </c>
    </row>
    <row r="25" spans="1:7" ht="18" customHeight="1" x14ac:dyDescent="0.3">
      <c r="A25" s="171" t="s">
        <v>303</v>
      </c>
      <c r="B25" s="69" t="s">
        <v>226</v>
      </c>
      <c r="C25" s="47" t="s">
        <v>188</v>
      </c>
      <c r="D25" s="48">
        <v>1</v>
      </c>
      <c r="E25" s="67"/>
      <c r="F25" s="67">
        <f>H3*0.035</f>
        <v>5464.7775000000001</v>
      </c>
      <c r="G25" s="68">
        <f>F25*D25</f>
        <v>5464.7775000000001</v>
      </c>
    </row>
    <row r="26" spans="1:7" ht="18" customHeight="1" x14ac:dyDescent="0.3">
      <c r="A26" s="173" t="s">
        <v>469</v>
      </c>
      <c r="B26" s="70" t="s">
        <v>228</v>
      </c>
      <c r="C26" s="174" t="s">
        <v>188</v>
      </c>
      <c r="D26" s="175">
        <v>1</v>
      </c>
      <c r="E26" s="71"/>
      <c r="F26" s="71">
        <f>5000/7</f>
        <v>714.28571428571433</v>
      </c>
      <c r="G26" s="72">
        <f>F26*D26</f>
        <v>714.28571428571433</v>
      </c>
    </row>
    <row r="27" spans="1:7" ht="18" customHeight="1" thickBot="1" x14ac:dyDescent="0.35">
      <c r="A27" s="448" t="s">
        <v>265</v>
      </c>
      <c r="B27" s="448"/>
      <c r="C27" s="448"/>
      <c r="D27" s="448"/>
      <c r="E27" s="448"/>
      <c r="F27" s="448"/>
      <c r="G27" s="91">
        <f>SUM(G3:G26)</f>
        <v>184417.88964285719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2500</v>
      </c>
      <c r="G33" s="51">
        <f>D33*F33</f>
        <v>2500</v>
      </c>
    </row>
    <row r="34" spans="1:7" ht="18" customHeight="1" x14ac:dyDescent="0.3">
      <c r="A34" s="82">
        <v>3</v>
      </c>
      <c r="B34" s="46" t="s">
        <v>470</v>
      </c>
      <c r="C34" s="47" t="s">
        <v>188</v>
      </c>
      <c r="D34" s="49">
        <v>1</v>
      </c>
      <c r="E34" s="49" t="s">
        <v>169</v>
      </c>
      <c r="F34" s="34">
        <v>1000</v>
      </c>
      <c r="G34" s="51">
        <f t="shared" ref="G34:G46" si="1">D34*F34</f>
        <v>1000</v>
      </c>
    </row>
    <row r="35" spans="1:7" ht="18" customHeight="1" x14ac:dyDescent="0.3">
      <c r="A35" s="82">
        <v>4</v>
      </c>
      <c r="B35" s="46" t="s">
        <v>471</v>
      </c>
      <c r="C35" s="47" t="s">
        <v>472</v>
      </c>
      <c r="D35" s="49">
        <v>1</v>
      </c>
      <c r="E35" s="49" t="s">
        <v>169</v>
      </c>
      <c r="F35" s="49">
        <f>6244.789/1.05</f>
        <v>5947.4180952380948</v>
      </c>
      <c r="G35" s="153">
        <f t="shared" si="1"/>
        <v>5947.4180952380948</v>
      </c>
    </row>
    <row r="36" spans="1:7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</row>
    <row r="41" spans="1:7" ht="18" customHeight="1" x14ac:dyDescent="0.3">
      <c r="A41" s="82">
        <v>10</v>
      </c>
      <c r="B41" s="46" t="s">
        <v>473</v>
      </c>
      <c r="C41" s="47" t="s">
        <v>474</v>
      </c>
      <c r="D41" s="49">
        <v>16</v>
      </c>
      <c r="E41" s="49" t="s">
        <v>169</v>
      </c>
      <c r="F41" s="49">
        <v>149.63</v>
      </c>
      <c r="G41" s="51">
        <f t="shared" si="1"/>
        <v>2394.08</v>
      </c>
    </row>
    <row r="42" spans="1:7" ht="18" customHeight="1" x14ac:dyDescent="0.3">
      <c r="A42" s="82">
        <v>11</v>
      </c>
      <c r="B42" s="46" t="s">
        <v>330</v>
      </c>
      <c r="C42" s="47" t="s">
        <v>331</v>
      </c>
      <c r="D42" s="49">
        <v>24</v>
      </c>
      <c r="E42" s="49" t="s">
        <v>169</v>
      </c>
      <c r="F42" s="49">
        <v>2.75</v>
      </c>
      <c r="G42" s="51">
        <f t="shared" si="1"/>
        <v>66</v>
      </c>
    </row>
    <row r="43" spans="1:7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7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7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600</v>
      </c>
      <c r="G47" s="84">
        <f>D47*F47</f>
        <v>600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SUM(G32:G47)</f>
        <v>12817.640952380953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197235.53059523815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7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9" width="9.5546875" style="34" bestFit="1" customWidth="1"/>
    <col min="10" max="16384" width="9.109375" style="34"/>
  </cols>
  <sheetData>
    <row r="1" spans="1:11" ht="18" customHeight="1" thickTop="1" thickBot="1" x14ac:dyDescent="0.35">
      <c r="A1" s="422" t="s">
        <v>475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>
      <c r="A2" s="127" t="s">
        <v>160</v>
      </c>
      <c r="B2" s="128" t="s">
        <v>161</v>
      </c>
      <c r="C2" s="129" t="s">
        <v>162</v>
      </c>
      <c r="D2" s="129" t="s">
        <v>163</v>
      </c>
      <c r="E2" s="129" t="s">
        <v>164</v>
      </c>
      <c r="F2" s="36" t="s">
        <v>165</v>
      </c>
      <c r="G2" s="37" t="s">
        <v>166</v>
      </c>
      <c r="H2" s="49" t="s">
        <v>2</v>
      </c>
      <c r="I2" s="87" t="s">
        <v>261</v>
      </c>
      <c r="J2" s="88"/>
      <c r="K2" s="88"/>
    </row>
    <row r="3" spans="1:11" ht="18" customHeight="1" x14ac:dyDescent="0.3">
      <c r="A3" s="38" t="s">
        <v>167</v>
      </c>
      <c r="B3" s="130" t="s">
        <v>476</v>
      </c>
      <c r="C3" s="154"/>
      <c r="D3" s="432">
        <v>1</v>
      </c>
      <c r="E3" s="432" t="s">
        <v>169</v>
      </c>
      <c r="F3" s="434">
        <f>H3</f>
        <v>169340.4</v>
      </c>
      <c r="G3" s="436">
        <f>F3*D3</f>
        <v>169340.4</v>
      </c>
      <c r="H3" s="48">
        <f>I3*'Prices without ATS'!$K$2</f>
        <v>169340.4</v>
      </c>
      <c r="I3" s="88">
        <v>33204</v>
      </c>
      <c r="J3" s="88"/>
      <c r="K3" s="88"/>
    </row>
    <row r="4" spans="1:11" ht="18" customHeight="1" x14ac:dyDescent="0.3">
      <c r="A4" s="45" t="s">
        <v>171</v>
      </c>
      <c r="B4" s="132" t="s">
        <v>477</v>
      </c>
      <c r="C4" s="135"/>
      <c r="D4" s="433"/>
      <c r="E4" s="433"/>
      <c r="F4" s="435"/>
      <c r="G4" s="437"/>
      <c r="I4" s="88"/>
      <c r="J4" s="88"/>
      <c r="K4" s="88"/>
    </row>
    <row r="5" spans="1:11" ht="18" customHeight="1" x14ac:dyDescent="0.3">
      <c r="A5" s="45" t="s">
        <v>173</v>
      </c>
      <c r="B5" s="132" t="s">
        <v>174</v>
      </c>
      <c r="C5" s="98" t="s">
        <v>175</v>
      </c>
      <c r="D5" s="99">
        <v>62</v>
      </c>
      <c r="E5" s="99" t="s">
        <v>176</v>
      </c>
      <c r="F5" s="100">
        <f>6.5/1.05</f>
        <v>6.1904761904761898</v>
      </c>
      <c r="G5" s="101">
        <f t="shared" ref="G5:G21" si="0">D5*F5</f>
        <v>383.80952380952374</v>
      </c>
    </row>
    <row r="6" spans="1:11" ht="18" customHeight="1" x14ac:dyDescent="0.3">
      <c r="A6" s="45" t="s">
        <v>177</v>
      </c>
      <c r="B6" s="132" t="s">
        <v>315</v>
      </c>
      <c r="C6" s="98" t="s">
        <v>179</v>
      </c>
      <c r="D6" s="99">
        <v>40</v>
      </c>
      <c r="E6" s="99" t="s">
        <v>176</v>
      </c>
      <c r="F6" s="100">
        <f>0.9/1.05</f>
        <v>0.8571428571428571</v>
      </c>
      <c r="G6" s="101">
        <f t="shared" si="0"/>
        <v>34.285714285714285</v>
      </c>
    </row>
    <row r="7" spans="1:11" ht="18" customHeight="1" x14ac:dyDescent="0.3">
      <c r="A7" s="45" t="s">
        <v>180</v>
      </c>
      <c r="B7" s="132" t="s">
        <v>316</v>
      </c>
      <c r="C7" s="102" t="s">
        <v>182</v>
      </c>
      <c r="D7" s="99">
        <v>21</v>
      </c>
      <c r="E7" s="99" t="s">
        <v>176</v>
      </c>
      <c r="F7" s="100">
        <f>2.9/1.05</f>
        <v>2.7619047619047619</v>
      </c>
      <c r="G7" s="101">
        <f t="shared" si="0"/>
        <v>58</v>
      </c>
    </row>
    <row r="8" spans="1:11" ht="18" customHeight="1" x14ac:dyDescent="0.3">
      <c r="A8" s="45" t="s">
        <v>183</v>
      </c>
      <c r="B8" s="156" t="s">
        <v>457</v>
      </c>
      <c r="C8" s="157" t="s">
        <v>458</v>
      </c>
      <c r="D8" s="158">
        <v>1</v>
      </c>
      <c r="E8" s="158" t="s">
        <v>169</v>
      </c>
      <c r="F8" s="159">
        <v>866.1</v>
      </c>
      <c r="G8" s="160">
        <f t="shared" si="0"/>
        <v>866.1</v>
      </c>
    </row>
    <row r="9" spans="1:11" ht="18" customHeight="1" x14ac:dyDescent="0.3">
      <c r="A9" s="45" t="s">
        <v>186</v>
      </c>
      <c r="B9" s="156" t="s">
        <v>374</v>
      </c>
      <c r="C9" s="157" t="s">
        <v>188</v>
      </c>
      <c r="D9" s="158">
        <v>1</v>
      </c>
      <c r="E9" s="158" t="s">
        <v>169</v>
      </c>
      <c r="F9" s="159">
        <v>3850.0523809523811</v>
      </c>
      <c r="G9" s="160">
        <f t="shared" si="0"/>
        <v>3850.0523809523811</v>
      </c>
    </row>
    <row r="10" spans="1:11" ht="18" customHeight="1" x14ac:dyDescent="0.3">
      <c r="A10" s="45" t="s">
        <v>189</v>
      </c>
      <c r="B10" s="156" t="s">
        <v>394</v>
      </c>
      <c r="C10" s="157" t="s">
        <v>319</v>
      </c>
      <c r="D10" s="158">
        <v>4</v>
      </c>
      <c r="E10" s="158" t="s">
        <v>169</v>
      </c>
      <c r="F10" s="159">
        <f>31.36/1.05</f>
        <v>29.866666666666664</v>
      </c>
      <c r="G10" s="160">
        <f t="shared" si="0"/>
        <v>119.46666666666665</v>
      </c>
    </row>
    <row r="11" spans="1:11" ht="18" customHeight="1" x14ac:dyDescent="0.3">
      <c r="A11" s="45" t="s">
        <v>192</v>
      </c>
      <c r="B11" s="156" t="s">
        <v>459</v>
      </c>
      <c r="C11" s="157" t="s">
        <v>460</v>
      </c>
      <c r="D11" s="158">
        <v>4</v>
      </c>
      <c r="E11" s="158" t="s">
        <v>169</v>
      </c>
      <c r="F11" s="159">
        <f>44.92/1.05</f>
        <v>42.780952380952378</v>
      </c>
      <c r="G11" s="160">
        <f t="shared" si="0"/>
        <v>171.12380952380951</v>
      </c>
    </row>
    <row r="12" spans="1:11" ht="18" customHeight="1" x14ac:dyDescent="0.3">
      <c r="A12" s="45" t="s">
        <v>195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1039.8899999999999</v>
      </c>
      <c r="G12" s="160">
        <f t="shared" si="0"/>
        <v>1039.8899999999999</v>
      </c>
    </row>
    <row r="13" spans="1:11" ht="18" customHeight="1" x14ac:dyDescent="0.3">
      <c r="A13" s="45" t="s">
        <v>197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753.8590476190476</v>
      </c>
      <c r="G13" s="160">
        <f t="shared" si="0"/>
        <v>753.8590476190476</v>
      </c>
    </row>
    <row r="14" spans="1:11" ht="18" customHeight="1" x14ac:dyDescent="0.3">
      <c r="A14" s="45" t="s">
        <v>201</v>
      </c>
      <c r="B14" s="161" t="s">
        <v>478</v>
      </c>
      <c r="C14" s="157" t="s">
        <v>479</v>
      </c>
      <c r="D14" s="163">
        <v>3</v>
      </c>
      <c r="E14" s="163" t="s">
        <v>169</v>
      </c>
      <c r="F14" s="159">
        <v>35</v>
      </c>
      <c r="G14" s="160">
        <f t="shared" si="0"/>
        <v>105</v>
      </c>
    </row>
    <row r="15" spans="1:11" ht="18" customHeight="1" x14ac:dyDescent="0.3">
      <c r="A15" s="45" t="s">
        <v>204</v>
      </c>
      <c r="B15" s="161" t="s">
        <v>480</v>
      </c>
      <c r="C15" s="157" t="s">
        <v>481</v>
      </c>
      <c r="D15" s="163">
        <v>1</v>
      </c>
      <c r="E15" s="163" t="s">
        <v>169</v>
      </c>
      <c r="F15" s="159">
        <v>2740.4</v>
      </c>
      <c r="G15" s="160">
        <f t="shared" si="0"/>
        <v>2740.4</v>
      </c>
    </row>
    <row r="16" spans="1:11" ht="18" customHeight="1" x14ac:dyDescent="0.3">
      <c r="A16" s="45" t="s">
        <v>207</v>
      </c>
      <c r="B16" s="161" t="s">
        <v>419</v>
      </c>
      <c r="C16" s="157" t="s">
        <v>420</v>
      </c>
      <c r="D16" s="163" t="s">
        <v>204</v>
      </c>
      <c r="E16" s="165" t="s">
        <v>200</v>
      </c>
      <c r="F16" s="159">
        <v>62.26</v>
      </c>
      <c r="G16" s="160">
        <f t="shared" si="0"/>
        <v>809.38</v>
      </c>
    </row>
    <row r="17" spans="1:20" ht="18" customHeight="1" x14ac:dyDescent="0.3">
      <c r="A17" s="45" t="s">
        <v>210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20" ht="18" customHeight="1" x14ac:dyDescent="0.3">
      <c r="A18" s="45" t="s">
        <v>213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20" ht="18" customHeight="1" x14ac:dyDescent="0.3">
      <c r="A19" s="45" t="s">
        <v>216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20" ht="18" customHeight="1" x14ac:dyDescent="0.3">
      <c r="A20" s="53" t="s">
        <v>219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20" ht="18" customHeight="1" x14ac:dyDescent="0.3">
      <c r="A21" s="45" t="s">
        <v>221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20" ht="18" customHeight="1" x14ac:dyDescent="0.3">
      <c r="A22" s="53" t="s">
        <v>223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1482.29</v>
      </c>
      <c r="G22" s="170">
        <f>D22*F22</f>
        <v>1482.29</v>
      </c>
    </row>
    <row r="23" spans="1:20" ht="18" customHeight="1" x14ac:dyDescent="0.3">
      <c r="A23" s="45" t="s">
        <v>225</v>
      </c>
      <c r="B23" s="69" t="s">
        <v>222</v>
      </c>
      <c r="C23" s="47" t="s">
        <v>188</v>
      </c>
      <c r="D23" s="48">
        <v>1</v>
      </c>
      <c r="E23" s="67"/>
      <c r="F23" s="67">
        <f>H3*0.05</f>
        <v>8467.02</v>
      </c>
      <c r="G23" s="68">
        <f>F23*D23</f>
        <v>8467.02</v>
      </c>
    </row>
    <row r="24" spans="1:20" ht="18" customHeight="1" x14ac:dyDescent="0.3">
      <c r="A24" s="53" t="s">
        <v>227</v>
      </c>
      <c r="B24" s="64" t="s">
        <v>224</v>
      </c>
      <c r="C24" s="65" t="s">
        <v>188</v>
      </c>
      <c r="D24" s="66">
        <v>1</v>
      </c>
      <c r="E24" s="67"/>
      <c r="F24" s="67">
        <f>5500/7</f>
        <v>785.71428571428567</v>
      </c>
      <c r="G24" s="68">
        <f>F24*D24</f>
        <v>785.71428571428567</v>
      </c>
    </row>
    <row r="25" spans="1:20" ht="18" customHeight="1" x14ac:dyDescent="0.3">
      <c r="A25" s="171" t="s">
        <v>303</v>
      </c>
      <c r="B25" s="69" t="s">
        <v>226</v>
      </c>
      <c r="C25" s="47" t="s">
        <v>188</v>
      </c>
      <c r="D25" s="48">
        <v>1</v>
      </c>
      <c r="E25" s="67"/>
      <c r="F25" s="67">
        <f>H3*0.035</f>
        <v>5926.9140000000007</v>
      </c>
      <c r="G25" s="68">
        <f>F25*D25</f>
        <v>5926.9140000000007</v>
      </c>
    </row>
    <row r="26" spans="1:20" ht="18" customHeight="1" x14ac:dyDescent="0.3">
      <c r="A26" s="173" t="s">
        <v>469</v>
      </c>
      <c r="B26" s="70" t="s">
        <v>228</v>
      </c>
      <c r="C26" s="174" t="s">
        <v>188</v>
      </c>
      <c r="D26" s="175">
        <v>1</v>
      </c>
      <c r="E26" s="71"/>
      <c r="F26" s="71">
        <f>3000/7</f>
        <v>428.57142857142856</v>
      </c>
      <c r="G26" s="72">
        <f>F26*D26</f>
        <v>428.57142857142856</v>
      </c>
    </row>
    <row r="27" spans="1:20" ht="18" customHeight="1" thickBot="1" x14ac:dyDescent="0.35">
      <c r="A27" s="448" t="s">
        <v>265</v>
      </c>
      <c r="B27" s="448"/>
      <c r="C27" s="448"/>
      <c r="D27" s="448"/>
      <c r="E27" s="448"/>
      <c r="F27" s="448"/>
      <c r="G27" s="91">
        <f>SUM(G3:G26)</f>
        <v>198511.10685714285</v>
      </c>
    </row>
    <row r="28" spans="1:20" ht="18" customHeight="1" thickBot="1" x14ac:dyDescent="0.35"/>
    <row r="29" spans="1:20" ht="18" customHeight="1" thickTop="1" thickBot="1" x14ac:dyDescent="0.35">
      <c r="A29" s="443" t="s">
        <v>230</v>
      </c>
      <c r="B29" s="444"/>
      <c r="C29" s="444"/>
      <c r="D29" s="444"/>
      <c r="E29" s="444"/>
      <c r="F29" s="444"/>
      <c r="G29" s="445"/>
      <c r="O29" s="151"/>
      <c r="P29" s="151"/>
      <c r="Q29" s="151"/>
      <c r="R29" s="151"/>
      <c r="S29" s="151"/>
      <c r="T29" s="151"/>
    </row>
    <row r="30" spans="1:20" s="151" customFormat="1" ht="18" customHeight="1" thickTop="1" thickBot="1" x14ac:dyDescent="0.35">
      <c r="A30" s="34"/>
      <c r="B30" s="34"/>
      <c r="C30" s="34"/>
      <c r="D30" s="34"/>
      <c r="E30" s="34"/>
      <c r="F30" s="34"/>
      <c r="G30" s="34"/>
    </row>
    <row r="31" spans="1:20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  <c r="O31" s="151"/>
      <c r="P31" s="151"/>
      <c r="Q31" s="151"/>
      <c r="R31" s="151"/>
      <c r="S31" s="151"/>
      <c r="T31" s="151"/>
    </row>
    <row r="32" spans="1:20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152">
        <f>D32*F32</f>
        <v>0</v>
      </c>
      <c r="O32" s="151"/>
      <c r="P32" s="151"/>
      <c r="Q32" s="151"/>
      <c r="R32" s="151"/>
      <c r="S32" s="151"/>
      <c r="T32" s="151"/>
    </row>
    <row r="33" spans="1:20" ht="18" customHeight="1" x14ac:dyDescent="0.3">
      <c r="A33" s="82">
        <v>2</v>
      </c>
      <c r="B33" s="46" t="s">
        <v>234</v>
      </c>
      <c r="C33" s="47" t="s">
        <v>188</v>
      </c>
      <c r="D33" s="49">
        <v>1</v>
      </c>
      <c r="E33" s="49" t="s">
        <v>169</v>
      </c>
      <c r="F33" s="49">
        <v>2500</v>
      </c>
      <c r="G33" s="51">
        <f>D33*F33</f>
        <v>2500</v>
      </c>
      <c r="O33" s="151"/>
      <c r="P33" s="151"/>
      <c r="Q33" s="151"/>
      <c r="R33" s="151"/>
      <c r="S33" s="151"/>
      <c r="T33" s="151"/>
    </row>
    <row r="34" spans="1:20" ht="18" customHeight="1" x14ac:dyDescent="0.3">
      <c r="A34" s="82">
        <v>3</v>
      </c>
      <c r="B34" s="46" t="s">
        <v>339</v>
      </c>
      <c r="C34" s="47" t="s">
        <v>188</v>
      </c>
      <c r="D34" s="49">
        <v>1</v>
      </c>
      <c r="E34" s="49" t="s">
        <v>169</v>
      </c>
      <c r="F34" s="34">
        <v>1000</v>
      </c>
      <c r="G34" s="51">
        <f t="shared" ref="G34:G46" si="1">D34*F34</f>
        <v>1000</v>
      </c>
      <c r="O34" s="151"/>
      <c r="P34" s="151"/>
      <c r="Q34" s="151"/>
      <c r="R34" s="151"/>
      <c r="S34" s="151"/>
      <c r="T34" s="151"/>
    </row>
    <row r="35" spans="1:20" ht="18" customHeight="1" x14ac:dyDescent="0.3">
      <c r="A35" s="82">
        <v>4</v>
      </c>
      <c r="B35" s="46" t="s">
        <v>482</v>
      </c>
      <c r="C35" s="47" t="s">
        <v>483</v>
      </c>
      <c r="D35" s="49">
        <v>1</v>
      </c>
      <c r="E35" s="49" t="s">
        <v>169</v>
      </c>
      <c r="F35" s="49">
        <f>7373.25/1.05</f>
        <v>7022.1428571428569</v>
      </c>
      <c r="G35" s="153">
        <f t="shared" si="1"/>
        <v>7022.1428571428569</v>
      </c>
      <c r="O35" s="151"/>
      <c r="P35" s="151"/>
      <c r="Q35" s="151"/>
      <c r="R35" s="151"/>
      <c r="S35" s="151"/>
      <c r="T35" s="151"/>
    </row>
    <row r="36" spans="1:20" ht="18" customHeight="1" x14ac:dyDescent="0.3">
      <c r="A36" s="82">
        <v>5</v>
      </c>
      <c r="B36" s="46" t="s">
        <v>400</v>
      </c>
      <c r="C36" s="47" t="s">
        <v>401</v>
      </c>
      <c r="D36" s="49">
        <v>1</v>
      </c>
      <c r="E36" s="49" t="s">
        <v>169</v>
      </c>
      <c r="F36" s="49">
        <f>165/1.05</f>
        <v>157.14285714285714</v>
      </c>
      <c r="G36" s="153">
        <f t="shared" si="1"/>
        <v>157.14285714285714</v>
      </c>
      <c r="O36" s="151"/>
      <c r="P36" s="151"/>
      <c r="Q36" s="151"/>
      <c r="R36" s="151"/>
      <c r="S36" s="151"/>
      <c r="T36" s="151"/>
    </row>
    <row r="37" spans="1:20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  <c r="O37" s="151"/>
      <c r="P37" s="151"/>
      <c r="Q37" s="151"/>
      <c r="R37" s="151"/>
      <c r="S37" s="151"/>
      <c r="T37" s="151"/>
    </row>
    <row r="38" spans="1:20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  <c r="O38" s="151"/>
      <c r="P38" s="151"/>
      <c r="Q38" s="151"/>
      <c r="R38" s="151"/>
      <c r="S38" s="151"/>
      <c r="T38" s="151"/>
    </row>
    <row r="39" spans="1:20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v>11</v>
      </c>
      <c r="G39" s="51">
        <f t="shared" si="1"/>
        <v>33</v>
      </c>
      <c r="O39" s="151"/>
      <c r="P39" s="151"/>
      <c r="Q39" s="151"/>
      <c r="R39" s="151"/>
      <c r="S39" s="151"/>
      <c r="T39" s="151"/>
    </row>
    <row r="40" spans="1:20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v>6.5</v>
      </c>
      <c r="G40" s="51">
        <f t="shared" si="1"/>
        <v>19.5</v>
      </c>
      <c r="O40" s="151"/>
      <c r="P40" s="151"/>
      <c r="Q40" s="151"/>
      <c r="R40" s="151"/>
      <c r="S40" s="151"/>
      <c r="T40" s="151"/>
    </row>
    <row r="41" spans="1:20" ht="18" customHeight="1" x14ac:dyDescent="0.3">
      <c r="A41" s="82">
        <v>10</v>
      </c>
      <c r="B41" s="46" t="s">
        <v>484</v>
      </c>
      <c r="C41" s="47" t="s">
        <v>485</v>
      </c>
      <c r="D41" s="49">
        <v>16</v>
      </c>
      <c r="E41" s="49" t="s">
        <v>169</v>
      </c>
      <c r="F41" s="49">
        <v>179.56</v>
      </c>
      <c r="G41" s="51">
        <f t="shared" si="1"/>
        <v>2872.96</v>
      </c>
    </row>
    <row r="42" spans="1:20" ht="18" customHeight="1" x14ac:dyDescent="0.3">
      <c r="A42" s="82">
        <v>11</v>
      </c>
      <c r="B42" s="46" t="s">
        <v>330</v>
      </c>
      <c r="C42" s="47" t="s">
        <v>331</v>
      </c>
      <c r="D42" s="49">
        <v>24</v>
      </c>
      <c r="E42" s="49" t="s">
        <v>169</v>
      </c>
      <c r="F42" s="49">
        <v>2.75</v>
      </c>
      <c r="G42" s="51">
        <f t="shared" si="1"/>
        <v>66</v>
      </c>
    </row>
    <row r="43" spans="1:20" ht="18" customHeight="1" x14ac:dyDescent="0.3">
      <c r="A43" s="82">
        <v>12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20" ht="18" customHeight="1" x14ac:dyDescent="0.3">
      <c r="A44" s="82">
        <v>13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20" ht="18" customHeight="1" x14ac:dyDescent="0.3">
      <c r="A45" s="82">
        <v>14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v>9</v>
      </c>
      <c r="G45" s="51">
        <f t="shared" si="1"/>
        <v>18</v>
      </c>
    </row>
    <row r="46" spans="1:20" ht="18" customHeight="1" x14ac:dyDescent="0.3">
      <c r="A46" s="82">
        <v>15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v>9</v>
      </c>
      <c r="G46" s="51">
        <f t="shared" si="1"/>
        <v>18</v>
      </c>
    </row>
    <row r="47" spans="1:20" ht="18" customHeight="1" thickBot="1" x14ac:dyDescent="0.35">
      <c r="A47" s="83">
        <v>16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600</v>
      </c>
      <c r="G47" s="84">
        <f>D47*F47</f>
        <v>600</v>
      </c>
    </row>
    <row r="48" spans="1:20" ht="18" customHeight="1" thickBot="1" x14ac:dyDescent="0.35">
      <c r="A48" s="423" t="s">
        <v>229</v>
      </c>
      <c r="B48" s="424"/>
      <c r="C48" s="424"/>
      <c r="D48" s="424"/>
      <c r="E48" s="424"/>
      <c r="F48" s="425"/>
      <c r="G48" s="85">
        <f>SUM(G32:G47)</f>
        <v>14371.245714285713</v>
      </c>
    </row>
    <row r="49" spans="1:7" ht="18" customHeight="1" x14ac:dyDescent="0.3"/>
    <row r="50" spans="1:7" ht="18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G48+G27</f>
        <v>212882.35257142855</v>
      </c>
    </row>
    <row r="53" spans="1:7" x14ac:dyDescent="0.3">
      <c r="A53" t="s">
        <v>259</v>
      </c>
      <c r="B53" s="4">
        <v>43450</v>
      </c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</sheetData>
  <mergeCells count="9">
    <mergeCell ref="A29:G29"/>
    <mergeCell ref="A48:F48"/>
    <mergeCell ref="A51:D51"/>
    <mergeCell ref="A1:G1"/>
    <mergeCell ref="D3:D4"/>
    <mergeCell ref="E3:E4"/>
    <mergeCell ref="F3:F4"/>
    <mergeCell ref="G3:G4"/>
    <mergeCell ref="A27:F27"/>
  </mergeCells>
  <pageMargins left="0.7" right="0.7" top="0.75" bottom="0.75" header="0.3" footer="0.3"/>
  <pageSetup scale="5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3.33203125" style="34" customWidth="1"/>
    <col min="7" max="7" width="13.109375" style="34" customWidth="1"/>
    <col min="8" max="8" width="10.554687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486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487</v>
      </c>
      <c r="C4" s="154"/>
      <c r="D4" s="432">
        <v>1</v>
      </c>
      <c r="E4" s="432" t="s">
        <v>169</v>
      </c>
      <c r="F4" s="434">
        <f>H4</f>
        <v>229020.59999999998</v>
      </c>
      <c r="G4" s="436">
        <f>F4*D4</f>
        <v>229020.59999999998</v>
      </c>
      <c r="H4" s="48">
        <f>I4*'Prices without ATS'!$K$2</f>
        <v>229020.59999999998</v>
      </c>
      <c r="I4" s="88">
        <v>44906</v>
      </c>
      <c r="J4" s="88"/>
    </row>
    <row r="5" spans="1:10" x14ac:dyDescent="0.3">
      <c r="A5" s="45" t="s">
        <v>171</v>
      </c>
      <c r="B5" s="132" t="s">
        <v>488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113.4</v>
      </c>
      <c r="E6" s="99" t="s">
        <v>176</v>
      </c>
      <c r="F6" s="100">
        <f>6.5/1.05</f>
        <v>6.1904761904761898</v>
      </c>
      <c r="G6" s="101">
        <f t="shared" ref="G6:G21" si="0">D6*F6</f>
        <v>702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50</v>
      </c>
      <c r="E7" s="99" t="s">
        <v>176</v>
      </c>
      <c r="F7" s="100">
        <f>0.9/1.05</f>
        <v>0.8571428571428571</v>
      </c>
      <c r="G7" s="101">
        <f t="shared" si="0"/>
        <v>42.857142857142854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55</v>
      </c>
      <c r="E8" s="99" t="s">
        <v>176</v>
      </c>
      <c r="F8" s="100">
        <f>2.9/1.05</f>
        <v>2.7619047619047619</v>
      </c>
      <c r="G8" s="101">
        <f t="shared" si="0"/>
        <v>151.9047619047619</v>
      </c>
    </row>
    <row r="9" spans="1:10" x14ac:dyDescent="0.3">
      <c r="A9" s="45" t="s">
        <v>183</v>
      </c>
      <c r="B9" s="156" t="s">
        <v>489</v>
      </c>
      <c r="C9" s="157" t="s">
        <v>188</v>
      </c>
      <c r="D9" s="158">
        <v>1</v>
      </c>
      <c r="E9" s="158" t="s">
        <v>169</v>
      </c>
      <c r="F9" s="159">
        <v>935</v>
      </c>
      <c r="G9" s="164">
        <f t="shared" si="0"/>
        <v>935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3215.53</v>
      </c>
      <c r="G10" s="164">
        <f t="shared" si="0"/>
        <v>3215.53</v>
      </c>
    </row>
    <row r="11" spans="1:10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2683</v>
      </c>
      <c r="G12" s="164">
        <f t="shared" si="0"/>
        <v>2683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908.04</v>
      </c>
      <c r="G13" s="164">
        <f t="shared" si="0"/>
        <v>908.04</v>
      </c>
    </row>
    <row r="14" spans="1:10" x14ac:dyDescent="0.3">
      <c r="A14" s="45" t="s">
        <v>197</v>
      </c>
      <c r="B14" s="161" t="s">
        <v>478</v>
      </c>
      <c r="C14" s="157" t="s">
        <v>479</v>
      </c>
      <c r="D14" s="163">
        <v>3</v>
      </c>
      <c r="E14" s="163" t="s">
        <v>169</v>
      </c>
      <c r="F14" s="159">
        <v>35</v>
      </c>
      <c r="G14" s="164">
        <f t="shared" si="0"/>
        <v>105</v>
      </c>
    </row>
    <row r="15" spans="1:10" x14ac:dyDescent="0.3">
      <c r="A15" s="45" t="s">
        <v>201</v>
      </c>
      <c r="B15" s="161" t="s">
        <v>480</v>
      </c>
      <c r="C15" s="157" t="s">
        <v>481</v>
      </c>
      <c r="D15" s="163">
        <v>1</v>
      </c>
      <c r="E15" s="163" t="s">
        <v>169</v>
      </c>
      <c r="F15" s="159">
        <v>2740.4</v>
      </c>
      <c r="G15" s="164">
        <f t="shared" si="0"/>
        <v>2740.4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204</v>
      </c>
      <c r="E16" s="165" t="s">
        <v>200</v>
      </c>
      <c r="F16" s="159">
        <v>62.26</v>
      </c>
      <c r="G16" s="164">
        <f t="shared" si="0"/>
        <v>809.38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2170.8200000000002</v>
      </c>
      <c r="G22" s="170">
        <f>D22*F22</f>
        <v>2170.8200000000002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11451.029999999999</v>
      </c>
      <c r="G23" s="68">
        <f>F23*D23</f>
        <v>11451.029999999999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5500/4</f>
        <v>1375</v>
      </c>
      <c r="G24" s="68">
        <f>F24*D24</f>
        <v>1375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8015.7209999999995</v>
      </c>
      <c r="G25" s="68">
        <f>F25*D25</f>
        <v>8015.7209999999995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3000/4</f>
        <v>750</v>
      </c>
      <c r="G26" s="72">
        <f>F26*D26</f>
        <v>750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266652.92242857139</v>
      </c>
    </row>
    <row r="29" spans="1:7" x14ac:dyDescent="0.3">
      <c r="A29" t="s">
        <v>259</v>
      </c>
      <c r="B29" s="4">
        <v>43450</v>
      </c>
    </row>
    <row r="34" spans="1:5" s="151" customFormat="1" x14ac:dyDescent="0.3">
      <c r="A34" s="176"/>
      <c r="B34" s="176"/>
      <c r="C34" s="176"/>
      <c r="D34" s="176"/>
      <c r="E34" s="177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3.33203125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491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492</v>
      </c>
      <c r="C4" s="154"/>
      <c r="D4" s="432">
        <v>1</v>
      </c>
      <c r="E4" s="432" t="s">
        <v>169</v>
      </c>
      <c r="F4" s="434">
        <f>H4</f>
        <v>236084.09999999998</v>
      </c>
      <c r="G4" s="436">
        <f>F4*D4</f>
        <v>236084.09999999998</v>
      </c>
      <c r="H4" s="48">
        <f>I4*'Prices without ATS'!$K$2</f>
        <v>236084.09999999998</v>
      </c>
      <c r="I4" s="88">
        <v>46291</v>
      </c>
      <c r="J4" s="88"/>
    </row>
    <row r="5" spans="1:10" x14ac:dyDescent="0.3">
      <c r="A5" s="45" t="s">
        <v>171</v>
      </c>
      <c r="B5" s="132" t="s">
        <v>488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113.4</v>
      </c>
      <c r="E6" s="99" t="s">
        <v>176</v>
      </c>
      <c r="F6" s="100">
        <f>6.5/1.05</f>
        <v>6.1904761904761898</v>
      </c>
      <c r="G6" s="101">
        <f t="shared" ref="G6:G21" si="0">D6*F6</f>
        <v>702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50</v>
      </c>
      <c r="E7" s="99" t="s">
        <v>176</v>
      </c>
      <c r="F7" s="100">
        <f>0.9/1.05</f>
        <v>0.8571428571428571</v>
      </c>
      <c r="G7" s="101">
        <f t="shared" si="0"/>
        <v>42.857142857142854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55</v>
      </c>
      <c r="E8" s="99" t="s">
        <v>176</v>
      </c>
      <c r="F8" s="100">
        <f>2.9/1.05</f>
        <v>2.7619047619047619</v>
      </c>
      <c r="G8" s="101">
        <f t="shared" si="0"/>
        <v>151.9047619047619</v>
      </c>
    </row>
    <row r="9" spans="1:10" x14ac:dyDescent="0.3">
      <c r="A9" s="45" t="s">
        <v>183</v>
      </c>
      <c r="B9" s="156" t="s">
        <v>489</v>
      </c>
      <c r="C9" s="157" t="s">
        <v>188</v>
      </c>
      <c r="D9" s="158">
        <v>1</v>
      </c>
      <c r="E9" s="158" t="s">
        <v>169</v>
      </c>
      <c r="F9" s="159">
        <v>935</v>
      </c>
      <c r="G9" s="164">
        <f t="shared" si="0"/>
        <v>935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3215.53</v>
      </c>
      <c r="G10" s="164">
        <f t="shared" si="0"/>
        <v>3215.53</v>
      </c>
    </row>
    <row r="11" spans="1:10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2683</v>
      </c>
      <c r="G12" s="164">
        <f t="shared" si="0"/>
        <v>2683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908.04</v>
      </c>
      <c r="G13" s="164">
        <f t="shared" si="0"/>
        <v>908.04</v>
      </c>
    </row>
    <row r="14" spans="1:10" x14ac:dyDescent="0.3">
      <c r="A14" s="45" t="s">
        <v>197</v>
      </c>
      <c r="B14" s="161" t="s">
        <v>478</v>
      </c>
      <c r="C14" s="157" t="s">
        <v>479</v>
      </c>
      <c r="D14" s="163">
        <v>3</v>
      </c>
      <c r="E14" s="163" t="s">
        <v>169</v>
      </c>
      <c r="F14" s="159">
        <v>35</v>
      </c>
      <c r="G14" s="164">
        <f t="shared" si="0"/>
        <v>105</v>
      </c>
    </row>
    <row r="15" spans="1:10" x14ac:dyDescent="0.3">
      <c r="A15" s="45" t="s">
        <v>201</v>
      </c>
      <c r="B15" s="161" t="s">
        <v>493</v>
      </c>
      <c r="C15" s="157" t="s">
        <v>494</v>
      </c>
      <c r="D15" s="163">
        <v>1</v>
      </c>
      <c r="E15" s="163" t="s">
        <v>169</v>
      </c>
      <c r="F15" s="159">
        <v>3144.02</v>
      </c>
      <c r="G15" s="164">
        <f t="shared" si="0"/>
        <v>3144.02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204</v>
      </c>
      <c r="E16" s="165" t="s">
        <v>200</v>
      </c>
      <c r="F16" s="159">
        <v>62.26</v>
      </c>
      <c r="G16" s="164">
        <f t="shared" si="0"/>
        <v>809.38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2170.8200000000002</v>
      </c>
      <c r="G22" s="170">
        <f>D22*F22</f>
        <v>2170.8200000000002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11804.205</v>
      </c>
      <c r="G23" s="68">
        <f>F23*D23</f>
        <v>11804.205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5500/4</f>
        <v>1375</v>
      </c>
      <c r="G24" s="68">
        <f>F24*D24</f>
        <v>1375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8262.9434999999994</v>
      </c>
      <c r="G25" s="68">
        <f>F25*D25</f>
        <v>8262.9434999999994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3000/4</f>
        <v>750</v>
      </c>
      <c r="G26" s="72">
        <f>F26*D26</f>
        <v>750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274720.4399285714</v>
      </c>
    </row>
    <row r="29" spans="1:7" x14ac:dyDescent="0.3">
      <c r="A29" t="s">
        <v>259</v>
      </c>
      <c r="B29" s="4">
        <v>43450</v>
      </c>
    </row>
    <row r="35" spans="1:6" s="151" customFormat="1" x14ac:dyDescent="0.3">
      <c r="A35" s="34"/>
      <c r="B35" s="34"/>
      <c r="C35" s="34"/>
      <c r="D35" s="34"/>
      <c r="E35" s="34"/>
      <c r="F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3.33203125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495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496</v>
      </c>
      <c r="C4" s="154"/>
      <c r="D4" s="432">
        <v>1</v>
      </c>
      <c r="E4" s="432" t="s">
        <v>169</v>
      </c>
      <c r="F4" s="434">
        <f>H4</f>
        <v>315577.8</v>
      </c>
      <c r="G4" s="436">
        <f>F4*D4</f>
        <v>315577.8</v>
      </c>
      <c r="H4" s="48">
        <f>I4*'Prices without ATS'!$K$2</f>
        <v>315577.8</v>
      </c>
      <c r="I4" s="88">
        <v>61878</v>
      </c>
      <c r="J4" s="88"/>
    </row>
    <row r="5" spans="1:10" x14ac:dyDescent="0.3">
      <c r="A5" s="45" t="s">
        <v>171</v>
      </c>
      <c r="B5" s="132" t="s">
        <v>497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113.4</v>
      </c>
      <c r="E6" s="99" t="s">
        <v>176</v>
      </c>
      <c r="F6" s="100">
        <f>6.5/1.05</f>
        <v>6.1904761904761898</v>
      </c>
      <c r="G6" s="101">
        <f t="shared" ref="G6:G21" si="0">D6*F6</f>
        <v>702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50</v>
      </c>
      <c r="E7" s="99" t="s">
        <v>176</v>
      </c>
      <c r="F7" s="100">
        <f>0.9/1.05</f>
        <v>0.8571428571428571</v>
      </c>
      <c r="G7" s="101">
        <f t="shared" si="0"/>
        <v>42.857142857142854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55</v>
      </c>
      <c r="E8" s="99" t="s">
        <v>176</v>
      </c>
      <c r="F8" s="100">
        <f>2.9/1.05</f>
        <v>2.7619047619047619</v>
      </c>
      <c r="G8" s="101">
        <f t="shared" si="0"/>
        <v>151.9047619047619</v>
      </c>
    </row>
    <row r="9" spans="1:10" x14ac:dyDescent="0.3">
      <c r="A9" s="45" t="s">
        <v>183</v>
      </c>
      <c r="B9" s="156" t="s">
        <v>498</v>
      </c>
      <c r="C9" s="157" t="s">
        <v>188</v>
      </c>
      <c r="D9" s="158">
        <v>2</v>
      </c>
      <c r="E9" s="158" t="s">
        <v>169</v>
      </c>
      <c r="F9" s="159">
        <v>867</v>
      </c>
      <c r="G9" s="164">
        <f t="shared" si="0"/>
        <v>1734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2923</v>
      </c>
      <c r="G12" s="164">
        <f t="shared" si="0"/>
        <v>2923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1324.66</v>
      </c>
      <c r="G13" s="164">
        <f t="shared" si="0"/>
        <v>1324.66</v>
      </c>
    </row>
    <row r="14" spans="1:10" x14ac:dyDescent="0.3">
      <c r="A14" s="45" t="s">
        <v>197</v>
      </c>
      <c r="B14" s="161" t="s">
        <v>478</v>
      </c>
      <c r="C14" s="157" t="s">
        <v>479</v>
      </c>
      <c r="D14" s="163">
        <v>3</v>
      </c>
      <c r="E14" s="163" t="s">
        <v>169</v>
      </c>
      <c r="F14" s="159">
        <v>35</v>
      </c>
      <c r="G14" s="164">
        <f t="shared" si="0"/>
        <v>105</v>
      </c>
    </row>
    <row r="15" spans="1:10" x14ac:dyDescent="0.3">
      <c r="A15" s="45" t="s">
        <v>201</v>
      </c>
      <c r="B15" s="161" t="s">
        <v>493</v>
      </c>
      <c r="C15" s="157" t="s">
        <v>494</v>
      </c>
      <c r="D15" s="163">
        <v>1</v>
      </c>
      <c r="E15" s="163" t="s">
        <v>169</v>
      </c>
      <c r="F15" s="159">
        <v>3144.02</v>
      </c>
      <c r="G15" s="164">
        <f t="shared" si="0"/>
        <v>3144.02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216</v>
      </c>
      <c r="E16" s="165" t="s">
        <v>200</v>
      </c>
      <c r="F16" s="159">
        <v>62.26</v>
      </c>
      <c r="G16" s="164">
        <f t="shared" si="0"/>
        <v>1058.42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2835.375</v>
      </c>
      <c r="G22" s="170">
        <f>D22*F22</f>
        <v>2835.375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15778.89</v>
      </c>
      <c r="G23" s="68">
        <f>F23*D23</f>
        <v>15778.89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5500/4</f>
        <v>1375</v>
      </c>
      <c r="G24" s="68">
        <f>F24*D24</f>
        <v>1375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11045.223</v>
      </c>
      <c r="G25" s="68">
        <f>F25*D25</f>
        <v>11045.223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3000/4</f>
        <v>750</v>
      </c>
      <c r="G26" s="72">
        <f>F26*D26</f>
        <v>750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363989.69942857139</v>
      </c>
    </row>
    <row r="29" spans="1:7" x14ac:dyDescent="0.3">
      <c r="A29" t="s">
        <v>259</v>
      </c>
      <c r="B29" s="4">
        <v>43450</v>
      </c>
    </row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3.33203125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499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500</v>
      </c>
      <c r="C4" s="154"/>
      <c r="D4" s="432">
        <v>1</v>
      </c>
      <c r="E4" s="432" t="s">
        <v>169</v>
      </c>
      <c r="F4" s="434">
        <f>H4</f>
        <v>317184.3</v>
      </c>
      <c r="G4" s="436">
        <f>F4*D4</f>
        <v>317184.3</v>
      </c>
      <c r="H4" s="48">
        <f>I4*'Prices without ATS'!$K$2</f>
        <v>317184.3</v>
      </c>
      <c r="I4" s="88">
        <v>62193</v>
      </c>
      <c r="J4" s="88"/>
    </row>
    <row r="5" spans="1:10" x14ac:dyDescent="0.3">
      <c r="A5" s="45" t="s">
        <v>171</v>
      </c>
      <c r="B5" s="132" t="s">
        <v>501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113.4</v>
      </c>
      <c r="E6" s="99" t="s">
        <v>176</v>
      </c>
      <c r="F6" s="100">
        <f>6.5/1.05</f>
        <v>6.1904761904761898</v>
      </c>
      <c r="G6" s="101">
        <f t="shared" ref="G6:G21" si="0">D6*F6</f>
        <v>702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50</v>
      </c>
      <c r="E7" s="99" t="s">
        <v>176</v>
      </c>
      <c r="F7" s="100">
        <f>0.9/1.05</f>
        <v>0.8571428571428571</v>
      </c>
      <c r="G7" s="101">
        <f t="shared" si="0"/>
        <v>42.857142857142854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55</v>
      </c>
      <c r="E8" s="99" t="s">
        <v>176</v>
      </c>
      <c r="F8" s="100">
        <f>2.9/1.05</f>
        <v>2.7619047619047619</v>
      </c>
      <c r="G8" s="101">
        <f t="shared" si="0"/>
        <v>151.9047619047619</v>
      </c>
    </row>
    <row r="9" spans="1:10" x14ac:dyDescent="0.3">
      <c r="A9" s="45" t="s">
        <v>183</v>
      </c>
      <c r="B9" s="156" t="s">
        <v>498</v>
      </c>
      <c r="C9" s="157" t="s">
        <v>188</v>
      </c>
      <c r="D9" s="158">
        <v>2</v>
      </c>
      <c r="E9" s="158" t="s">
        <v>169</v>
      </c>
      <c r="F9" s="159">
        <v>867</v>
      </c>
      <c r="G9" s="164">
        <f t="shared" si="0"/>
        <v>1734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2923</v>
      </c>
      <c r="G12" s="164">
        <f t="shared" si="0"/>
        <v>2923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1324.66</v>
      </c>
      <c r="G13" s="164">
        <f t="shared" si="0"/>
        <v>1324.66</v>
      </c>
    </row>
    <row r="14" spans="1:10" x14ac:dyDescent="0.3">
      <c r="A14" s="45" t="s">
        <v>197</v>
      </c>
      <c r="B14" s="161" t="s">
        <v>478</v>
      </c>
      <c r="C14" s="157" t="s">
        <v>479</v>
      </c>
      <c r="D14" s="163">
        <v>3</v>
      </c>
      <c r="E14" s="163" t="s">
        <v>169</v>
      </c>
      <c r="F14" s="159">
        <v>35</v>
      </c>
      <c r="G14" s="164">
        <f t="shared" si="0"/>
        <v>105</v>
      </c>
    </row>
    <row r="15" spans="1:10" x14ac:dyDescent="0.3">
      <c r="A15" s="45" t="s">
        <v>201</v>
      </c>
      <c r="B15" s="161" t="s">
        <v>493</v>
      </c>
      <c r="C15" s="157" t="s">
        <v>494</v>
      </c>
      <c r="D15" s="163">
        <v>1</v>
      </c>
      <c r="E15" s="163" t="s">
        <v>169</v>
      </c>
      <c r="F15" s="159">
        <v>3144.02</v>
      </c>
      <c r="G15" s="164">
        <f t="shared" si="0"/>
        <v>3144.02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216</v>
      </c>
      <c r="E16" s="165" t="s">
        <v>200</v>
      </c>
      <c r="F16" s="159">
        <v>62.26</v>
      </c>
      <c r="G16" s="164">
        <f t="shared" si="0"/>
        <v>1058.42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2835.375</v>
      </c>
      <c r="G22" s="170">
        <f>D22*F22</f>
        <v>2835.375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15859.215</v>
      </c>
      <c r="G23" s="68">
        <f>F23*D23</f>
        <v>15859.215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5500/4</f>
        <v>1375</v>
      </c>
      <c r="G24" s="68">
        <f>F24*D24</f>
        <v>1375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11101.450500000001</v>
      </c>
      <c r="G25" s="68">
        <f>F25*D25</f>
        <v>11101.450500000001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3000/4</f>
        <v>750</v>
      </c>
      <c r="G26" s="72">
        <f>F26*D26</f>
        <v>750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365732.75192857138</v>
      </c>
    </row>
    <row r="29" spans="1:7" x14ac:dyDescent="0.3">
      <c r="A29" t="s">
        <v>259</v>
      </c>
      <c r="B29" s="4">
        <v>43450</v>
      </c>
    </row>
    <row r="35" spans="1:6" s="151" customFormat="1" x14ac:dyDescent="0.3">
      <c r="A35" s="34"/>
      <c r="B35" s="34"/>
      <c r="C35" s="34"/>
      <c r="D35" s="34"/>
      <c r="E35" s="34"/>
      <c r="F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3.33203125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502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503</v>
      </c>
      <c r="C4" s="154"/>
      <c r="D4" s="432">
        <v>1</v>
      </c>
      <c r="E4" s="432" t="s">
        <v>169</v>
      </c>
      <c r="F4" s="434">
        <f>H4</f>
        <v>396346.5</v>
      </c>
      <c r="G4" s="436">
        <f>F4*D4</f>
        <v>396346.5</v>
      </c>
      <c r="H4" s="48">
        <f>I4*'Prices without ATS'!$K$2</f>
        <v>396346.5</v>
      </c>
      <c r="I4" s="88">
        <v>77715</v>
      </c>
      <c r="J4" s="88"/>
    </row>
    <row r="5" spans="1:10" x14ac:dyDescent="0.3">
      <c r="A5" s="45" t="s">
        <v>171</v>
      </c>
      <c r="B5" s="132" t="s">
        <v>504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113.4</v>
      </c>
      <c r="E6" s="99" t="s">
        <v>176</v>
      </c>
      <c r="F6" s="100">
        <f>6.5/1.05</f>
        <v>6.1904761904761898</v>
      </c>
      <c r="G6" s="101">
        <f t="shared" ref="G6:G21" si="0">D6*F6</f>
        <v>702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50</v>
      </c>
      <c r="E7" s="99" t="s">
        <v>176</v>
      </c>
      <c r="F7" s="100">
        <f>0.9/1.05</f>
        <v>0.8571428571428571</v>
      </c>
      <c r="G7" s="101">
        <f t="shared" si="0"/>
        <v>42.857142857142854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55</v>
      </c>
      <c r="E8" s="99" t="s">
        <v>176</v>
      </c>
      <c r="F8" s="100">
        <f>2.9/1.05</f>
        <v>2.7619047619047619</v>
      </c>
      <c r="G8" s="101">
        <f t="shared" si="0"/>
        <v>151.9047619047619</v>
      </c>
    </row>
    <row r="9" spans="1:10" x14ac:dyDescent="0.3">
      <c r="A9" s="45" t="s">
        <v>183</v>
      </c>
      <c r="B9" s="156" t="s">
        <v>498</v>
      </c>
      <c r="C9" s="157" t="s">
        <v>188</v>
      </c>
      <c r="D9" s="158">
        <v>2</v>
      </c>
      <c r="E9" s="158" t="s">
        <v>169</v>
      </c>
      <c r="F9" s="159">
        <v>867</v>
      </c>
      <c r="G9" s="164">
        <f t="shared" si="0"/>
        <v>1734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x14ac:dyDescent="0.3">
      <c r="A12" s="45" t="s">
        <v>192</v>
      </c>
      <c r="B12" s="178" t="s">
        <v>490</v>
      </c>
      <c r="C12" s="179" t="s">
        <v>188</v>
      </c>
      <c r="D12" s="158">
        <v>1</v>
      </c>
      <c r="E12" s="158" t="s">
        <v>169</v>
      </c>
      <c r="F12" s="180">
        <v>3963</v>
      </c>
      <c r="G12" s="160">
        <f t="shared" si="0"/>
        <v>3963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1324.66</v>
      </c>
      <c r="G13" s="164">
        <f t="shared" si="0"/>
        <v>1324.66</v>
      </c>
    </row>
    <row r="14" spans="1:10" x14ac:dyDescent="0.3">
      <c r="A14" s="45" t="s">
        <v>197</v>
      </c>
      <c r="B14" s="161" t="s">
        <v>505</v>
      </c>
      <c r="C14" s="157" t="s">
        <v>479</v>
      </c>
      <c r="D14" s="163">
        <v>3</v>
      </c>
      <c r="E14" s="163" t="s">
        <v>169</v>
      </c>
      <c r="F14" s="159">
        <v>50</v>
      </c>
      <c r="G14" s="164">
        <f t="shared" si="0"/>
        <v>150</v>
      </c>
    </row>
    <row r="15" spans="1:10" x14ac:dyDescent="0.3">
      <c r="A15" s="45" t="s">
        <v>201</v>
      </c>
      <c r="B15" s="161" t="s">
        <v>506</v>
      </c>
      <c r="C15" s="157" t="s">
        <v>507</v>
      </c>
      <c r="D15" s="163">
        <v>1</v>
      </c>
      <c r="E15" s="163" t="s">
        <v>169</v>
      </c>
      <c r="F15" s="159">
        <v>5828</v>
      </c>
      <c r="G15" s="164">
        <f t="shared" si="0"/>
        <v>5828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216</v>
      </c>
      <c r="E16" s="165" t="s">
        <v>200</v>
      </c>
      <c r="F16" s="159">
        <v>62.26</v>
      </c>
      <c r="G16" s="164">
        <f t="shared" si="0"/>
        <v>1058.42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171</v>
      </c>
      <c r="E18" s="165" t="s">
        <v>169</v>
      </c>
      <c r="F18" s="159">
        <f>532.35/1.05</f>
        <v>507</v>
      </c>
      <c r="G18" s="164">
        <f t="shared" si="0"/>
        <v>1014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173</v>
      </c>
      <c r="E19" s="158" t="s">
        <v>200</v>
      </c>
      <c r="F19" s="159">
        <v>13.8</v>
      </c>
      <c r="G19" s="164">
        <f t="shared" si="0"/>
        <v>41.400000000000006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173</v>
      </c>
      <c r="E20" s="165" t="s">
        <v>200</v>
      </c>
      <c r="F20" s="159">
        <v>13.81</v>
      </c>
      <c r="G20" s="164">
        <f t="shared" si="0"/>
        <v>41.43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2835.375</v>
      </c>
      <c r="G22" s="170">
        <f>D22*F22</f>
        <v>2835.375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19817.325000000001</v>
      </c>
      <c r="G23" s="68">
        <f>F23*D23</f>
        <v>19817.325000000001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5500/4</f>
        <v>1375</v>
      </c>
      <c r="G24" s="68">
        <f>F24*D24</f>
        <v>1375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13872.127500000001</v>
      </c>
      <c r="G25" s="68">
        <f>F25*D25</f>
        <v>13872.127500000001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3000/4</f>
        <v>750</v>
      </c>
      <c r="G26" s="72">
        <f>F26*D26</f>
        <v>750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455392.71892857138</v>
      </c>
    </row>
    <row r="29" spans="1:7" x14ac:dyDescent="0.3">
      <c r="A29" t="s">
        <v>259</v>
      </c>
      <c r="B29" s="4">
        <v>43450</v>
      </c>
    </row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508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509</v>
      </c>
      <c r="C4" s="154"/>
      <c r="D4" s="432">
        <v>1</v>
      </c>
      <c r="E4" s="432" t="s">
        <v>169</v>
      </c>
      <c r="F4" s="434">
        <f>H4</f>
        <v>447570.89999999997</v>
      </c>
      <c r="G4" s="436">
        <f>F4*D4</f>
        <v>447570.89999999997</v>
      </c>
      <c r="H4" s="48">
        <f>I4*'Prices without ATS'!$K$2</f>
        <v>447570.89999999997</v>
      </c>
      <c r="I4" s="88">
        <v>87759</v>
      </c>
      <c r="J4" s="88"/>
    </row>
    <row r="5" spans="1:10" ht="18" customHeight="1" x14ac:dyDescent="0.3">
      <c r="A5" s="45" t="s">
        <v>171</v>
      </c>
      <c r="B5" s="132" t="s">
        <v>510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511</v>
      </c>
      <c r="C9" s="157" t="s">
        <v>188</v>
      </c>
      <c r="D9" s="158">
        <v>2</v>
      </c>
      <c r="E9" s="158" t="s">
        <v>169</v>
      </c>
      <c r="F9" s="159">
        <v>1061</v>
      </c>
      <c r="G9" s="164">
        <f t="shared" si="0"/>
        <v>2122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ht="18" customHeight="1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ht="18" customHeight="1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3963</v>
      </c>
      <c r="G12" s="164">
        <f t="shared" si="0"/>
        <v>3963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505</v>
      </c>
      <c r="C14" s="157" t="s">
        <v>512</v>
      </c>
      <c r="D14" s="163">
        <v>3</v>
      </c>
      <c r="E14" s="163" t="s">
        <v>169</v>
      </c>
      <c r="F14" s="159">
        <v>50</v>
      </c>
      <c r="G14" s="164">
        <f t="shared" si="0"/>
        <v>150</v>
      </c>
    </row>
    <row r="15" spans="1:10" ht="18" customHeight="1" x14ac:dyDescent="0.3">
      <c r="A15" s="45" t="s">
        <v>201</v>
      </c>
      <c r="B15" s="161" t="s">
        <v>506</v>
      </c>
      <c r="C15" s="157" t="s">
        <v>507</v>
      </c>
      <c r="D15" s="163">
        <v>1</v>
      </c>
      <c r="E15" s="163" t="s">
        <v>169</v>
      </c>
      <c r="F15" s="159">
        <v>5828</v>
      </c>
      <c r="G15" s="164">
        <f t="shared" si="0"/>
        <v>5828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216</v>
      </c>
      <c r="E16" s="165" t="s">
        <v>200</v>
      </c>
      <c r="F16" s="159">
        <v>62.26</v>
      </c>
      <c r="G16" s="164">
        <f t="shared" si="0"/>
        <v>1058.42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3399.71</v>
      </c>
      <c r="G22" s="170">
        <f>D22*F22</f>
        <v>3399.71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22378.544999999998</v>
      </c>
      <c r="G23" s="68">
        <f>F23*D23</f>
        <v>22378.544999999998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5500/3</f>
        <v>1833.3333333333333</v>
      </c>
      <c r="G24" s="68">
        <f>F24*D24</f>
        <v>1833.3333333333333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15664.9815</v>
      </c>
      <c r="G25" s="68">
        <f>F25*D25</f>
        <v>15664.9815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3000/3</f>
        <v>1000</v>
      </c>
      <c r="G26" s="72">
        <f>F26*D26</f>
        <v>1000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514846.46078571409</v>
      </c>
    </row>
    <row r="29" spans="1:7" x14ac:dyDescent="0.3">
      <c r="A29" t="s">
        <v>259</v>
      </c>
      <c r="B29" s="4">
        <v>43450</v>
      </c>
    </row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513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514</v>
      </c>
      <c r="C4" s="154"/>
      <c r="D4" s="432">
        <v>1</v>
      </c>
      <c r="E4" s="432" t="s">
        <v>169</v>
      </c>
      <c r="F4" s="434">
        <f>H4</f>
        <v>485499.6</v>
      </c>
      <c r="G4" s="436">
        <f>F4*D4</f>
        <v>485499.6</v>
      </c>
      <c r="H4" s="48">
        <f>I4*'Prices without ATS'!$K$2</f>
        <v>485499.6</v>
      </c>
      <c r="I4" s="88">
        <v>95196</v>
      </c>
      <c r="J4" s="88"/>
    </row>
    <row r="5" spans="1:10" ht="18" customHeight="1" x14ac:dyDescent="0.3">
      <c r="A5" s="45" t="s">
        <v>171</v>
      </c>
      <c r="B5" s="132" t="s">
        <v>515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511</v>
      </c>
      <c r="C9" s="157" t="s">
        <v>188</v>
      </c>
      <c r="D9" s="158">
        <v>2</v>
      </c>
      <c r="E9" s="158" t="s">
        <v>169</v>
      </c>
      <c r="F9" s="159">
        <v>1061</v>
      </c>
      <c r="G9" s="164">
        <f t="shared" si="0"/>
        <v>2122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ht="18" customHeight="1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ht="18" customHeight="1" x14ac:dyDescent="0.3">
      <c r="A12" s="45" t="s">
        <v>192</v>
      </c>
      <c r="B12" s="161" t="s">
        <v>516</v>
      </c>
      <c r="C12" s="162" t="s">
        <v>188</v>
      </c>
      <c r="D12" s="158">
        <v>1</v>
      </c>
      <c r="E12" s="158" t="s">
        <v>169</v>
      </c>
      <c r="F12" s="159">
        <v>3963</v>
      </c>
      <c r="G12" s="164">
        <f t="shared" si="0"/>
        <v>3963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517</v>
      </c>
      <c r="C14" s="157" t="s">
        <v>188</v>
      </c>
      <c r="D14" s="163">
        <v>3</v>
      </c>
      <c r="E14" s="163" t="s">
        <v>169</v>
      </c>
      <c r="F14" s="159">
        <v>75</v>
      </c>
      <c r="G14" s="164">
        <f t="shared" si="0"/>
        <v>225</v>
      </c>
    </row>
    <row r="15" spans="1:10" ht="18" customHeight="1" x14ac:dyDescent="0.3">
      <c r="A15" s="45" t="s">
        <v>201</v>
      </c>
      <c r="B15" s="161" t="s">
        <v>518</v>
      </c>
      <c r="C15" s="157" t="s">
        <v>188</v>
      </c>
      <c r="D15" s="163">
        <v>1</v>
      </c>
      <c r="E15" s="163" t="s">
        <v>169</v>
      </c>
      <c r="F15" s="159">
        <v>7626</v>
      </c>
      <c r="G15" s="164">
        <f t="shared" si="0"/>
        <v>7626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227</v>
      </c>
      <c r="E16" s="165" t="s">
        <v>200</v>
      </c>
      <c r="F16" s="159">
        <v>62.26</v>
      </c>
      <c r="G16" s="164">
        <f t="shared" si="0"/>
        <v>1369.72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3399.71</v>
      </c>
      <c r="G22" s="170">
        <f>D22*F22</f>
        <v>3399.71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24274.98</v>
      </c>
      <c r="G23" s="68">
        <f>F23*D23</f>
        <v>24274.98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5500/3</f>
        <v>1833.3333333333333</v>
      </c>
      <c r="G24" s="68">
        <f>F24*D24</f>
        <v>1833.3333333333333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16992.486000000001</v>
      </c>
      <c r="G25" s="68">
        <f>F25*D25</f>
        <v>16992.486000000001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3000/7</f>
        <v>428.57142857142856</v>
      </c>
      <c r="G26" s="72">
        <f>F26*D26</f>
        <v>428.57142857142856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557611.97171428567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3" spans="1:6" ht="18" customHeight="1" x14ac:dyDescent="0.3"/>
    <row r="35" spans="1:6" s="151" customFormat="1" x14ac:dyDescent="0.3">
      <c r="A35" s="34"/>
      <c r="B35" s="34"/>
      <c r="C35" s="34"/>
      <c r="D35" s="34"/>
      <c r="E35" s="34"/>
      <c r="F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519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520</v>
      </c>
      <c r="C4" s="154"/>
      <c r="D4" s="432">
        <v>1</v>
      </c>
      <c r="E4" s="432" t="s">
        <v>169</v>
      </c>
      <c r="F4" s="434">
        <f>H4</f>
        <v>500672.1</v>
      </c>
      <c r="G4" s="436">
        <f>F4*D4</f>
        <v>500672.1</v>
      </c>
      <c r="H4" s="48">
        <f>I4*'Prices without ATS'!$K$2</f>
        <v>500672.1</v>
      </c>
      <c r="I4" s="88">
        <v>98171</v>
      </c>
      <c r="J4" s="88"/>
    </row>
    <row r="5" spans="1:10" ht="18" customHeight="1" x14ac:dyDescent="0.3">
      <c r="A5" s="45" t="s">
        <v>171</v>
      </c>
      <c r="B5" s="132" t="s">
        <v>515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511</v>
      </c>
      <c r="C9" s="157" t="s">
        <v>188</v>
      </c>
      <c r="D9" s="158">
        <v>2</v>
      </c>
      <c r="E9" s="158" t="s">
        <v>169</v>
      </c>
      <c r="F9" s="159">
        <v>1061</v>
      </c>
      <c r="G9" s="164">
        <f t="shared" si="0"/>
        <v>2122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ht="18" customHeight="1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ht="18" customHeight="1" x14ac:dyDescent="0.3">
      <c r="A12" s="45" t="s">
        <v>192</v>
      </c>
      <c r="B12" s="161" t="s">
        <v>516</v>
      </c>
      <c r="C12" s="162" t="s">
        <v>188</v>
      </c>
      <c r="D12" s="158">
        <v>1</v>
      </c>
      <c r="E12" s="158" t="s">
        <v>169</v>
      </c>
      <c r="F12" s="159">
        <v>3963</v>
      </c>
      <c r="G12" s="164">
        <f t="shared" si="0"/>
        <v>3963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517</v>
      </c>
      <c r="C14" s="157" t="s">
        <v>188</v>
      </c>
      <c r="D14" s="163">
        <v>3</v>
      </c>
      <c r="E14" s="163" t="s">
        <v>169</v>
      </c>
      <c r="F14" s="159">
        <v>75</v>
      </c>
      <c r="G14" s="164">
        <f t="shared" si="0"/>
        <v>225</v>
      </c>
    </row>
    <row r="15" spans="1:10" ht="18" customHeight="1" x14ac:dyDescent="0.3">
      <c r="A15" s="45" t="s">
        <v>201</v>
      </c>
      <c r="B15" s="161" t="s">
        <v>518</v>
      </c>
      <c r="C15" s="157" t="s">
        <v>188</v>
      </c>
      <c r="D15" s="163">
        <v>1</v>
      </c>
      <c r="E15" s="163" t="s">
        <v>169</v>
      </c>
      <c r="F15" s="159">
        <v>7626</v>
      </c>
      <c r="G15" s="164">
        <f t="shared" si="0"/>
        <v>7626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227</v>
      </c>
      <c r="E16" s="165" t="s">
        <v>200</v>
      </c>
      <c r="F16" s="159">
        <v>62.26</v>
      </c>
      <c r="G16" s="164">
        <f t="shared" si="0"/>
        <v>1369.72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3399.71</v>
      </c>
      <c r="G22" s="170">
        <f>D22*F22</f>
        <v>3399.71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25033.605</v>
      </c>
      <c r="G23" s="68">
        <f>F23*D23</f>
        <v>25033.605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5500/3</f>
        <v>1833.3333333333333</v>
      </c>
      <c r="G24" s="68">
        <f>F24*D24</f>
        <v>1833.3333333333333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17523.523499999999</v>
      </c>
      <c r="G25" s="68">
        <f>F25*D25</f>
        <v>17523.523499999999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3000/3</f>
        <v>1000</v>
      </c>
      <c r="G26" s="72">
        <f>F26*D26</f>
        <v>1000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574645.56278571417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3" spans="1:5" ht="18" customHeight="1" x14ac:dyDescent="0.3"/>
    <row r="35" spans="1:5" s="151" customFormat="1" x14ac:dyDescent="0.3"/>
    <row r="36" spans="1:5" x14ac:dyDescent="0.3">
      <c r="A36" s="151"/>
      <c r="B36" s="151"/>
      <c r="C36" s="151"/>
      <c r="D36" s="151"/>
      <c r="E36" s="151"/>
    </row>
    <row r="37" spans="1:5" x14ac:dyDescent="0.3">
      <c r="A37" s="151"/>
      <c r="B37" s="151"/>
      <c r="C37" s="151"/>
      <c r="D37" s="151"/>
      <c r="E37" s="151"/>
    </row>
    <row r="38" spans="1:5" x14ac:dyDescent="0.3">
      <c r="A38" s="151"/>
      <c r="B38" s="151"/>
      <c r="C38" s="151"/>
      <c r="D38" s="151"/>
      <c r="E38" s="151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"/>
  <sheetViews>
    <sheetView view="pageBreakPreview" topLeftCell="B1" zoomScale="115" zoomScaleNormal="100" zoomScaleSheetLayoutView="115" workbookViewId="0">
      <selection activeCell="I5" sqref="I5"/>
    </sheetView>
  </sheetViews>
  <sheetFormatPr defaultRowHeight="14.4" x14ac:dyDescent="0.3"/>
  <cols>
    <col min="2" max="2" width="5.6640625" bestFit="1" customWidth="1"/>
    <col min="3" max="3" width="18.44140625" bestFit="1" customWidth="1"/>
    <col min="8" max="8" width="15.44140625" bestFit="1" customWidth="1"/>
    <col min="9" max="9" width="12.5546875" customWidth="1"/>
    <col min="10" max="10" width="10.5546875" customWidth="1"/>
    <col min="11" max="11" width="23.109375" customWidth="1"/>
    <col min="12" max="12" width="6.5546875" customWidth="1"/>
  </cols>
  <sheetData>
    <row r="1" spans="2:13" x14ac:dyDescent="0.3">
      <c r="C1" s="4"/>
      <c r="L1" s="5"/>
    </row>
    <row r="2" spans="2:13" x14ac:dyDescent="0.3">
      <c r="C2" s="4"/>
      <c r="I2" s="6" t="s">
        <v>0</v>
      </c>
      <c r="J2" s="7">
        <v>43500</v>
      </c>
      <c r="K2" s="8" t="s">
        <v>5</v>
      </c>
      <c r="L2" s="8">
        <v>12</v>
      </c>
      <c r="M2" s="8">
        <f>(100-(L2))/100</f>
        <v>0.88</v>
      </c>
    </row>
    <row r="3" spans="2:13" x14ac:dyDescent="0.3">
      <c r="C3" s="4"/>
      <c r="I3" s="6" t="s">
        <v>3</v>
      </c>
      <c r="J3" s="5" t="s">
        <v>4</v>
      </c>
      <c r="K3" s="8" t="s">
        <v>7</v>
      </c>
      <c r="L3" s="8">
        <v>10</v>
      </c>
      <c r="M3" s="8">
        <f>(100-(L3))/100</f>
        <v>0.9</v>
      </c>
    </row>
    <row r="4" spans="2:13" ht="15.6" x14ac:dyDescent="0.3">
      <c r="B4" s="412" t="s">
        <v>6</v>
      </c>
      <c r="C4" s="412"/>
      <c r="D4" s="412"/>
      <c r="E4" s="412"/>
      <c r="F4" s="412"/>
      <c r="G4" s="412"/>
      <c r="H4" s="412"/>
      <c r="I4" s="412"/>
      <c r="J4" s="412"/>
      <c r="K4" s="29"/>
    </row>
    <row r="5" spans="2:13" ht="30.75" customHeight="1" x14ac:dyDescent="0.3">
      <c r="B5" s="412" t="s">
        <v>131</v>
      </c>
      <c r="C5" s="418"/>
      <c r="D5" s="418"/>
      <c r="E5" s="418"/>
      <c r="F5" s="418"/>
      <c r="G5" s="418"/>
      <c r="H5" s="418"/>
      <c r="I5" s="418"/>
      <c r="J5" s="30"/>
      <c r="K5" s="31"/>
    </row>
    <row r="6" spans="2:13" ht="14.25" customHeight="1" x14ac:dyDescent="0.3">
      <c r="B6" s="416" t="s">
        <v>9</v>
      </c>
      <c r="C6" s="416" t="s">
        <v>10</v>
      </c>
      <c r="D6" s="417" t="s">
        <v>11</v>
      </c>
      <c r="E6" s="417"/>
      <c r="F6" s="417"/>
      <c r="G6" s="417"/>
      <c r="H6" s="416" t="s">
        <v>12</v>
      </c>
      <c r="I6" s="416" t="s">
        <v>13</v>
      </c>
      <c r="J6" s="416" t="s">
        <v>132</v>
      </c>
      <c r="K6" s="409" t="s">
        <v>15</v>
      </c>
    </row>
    <row r="7" spans="2:13" x14ac:dyDescent="0.3">
      <c r="B7" s="416"/>
      <c r="C7" s="416"/>
      <c r="D7" s="410" t="s">
        <v>16</v>
      </c>
      <c r="E7" s="410"/>
      <c r="F7" s="411" t="s">
        <v>17</v>
      </c>
      <c r="G7" s="411"/>
      <c r="H7" s="416"/>
      <c r="I7" s="416"/>
      <c r="J7" s="416"/>
      <c r="K7" s="409"/>
    </row>
    <row r="8" spans="2:13" x14ac:dyDescent="0.3">
      <c r="B8" s="416"/>
      <c r="C8" s="416"/>
      <c r="D8" s="10" t="s">
        <v>18</v>
      </c>
      <c r="E8" s="11" t="s">
        <v>19</v>
      </c>
      <c r="F8" s="12" t="s">
        <v>18</v>
      </c>
      <c r="G8" s="11" t="s">
        <v>19</v>
      </c>
      <c r="H8" s="416"/>
      <c r="I8" s="416"/>
      <c r="J8" s="416"/>
      <c r="K8" s="409"/>
    </row>
    <row r="9" spans="2:13" ht="18" customHeight="1" x14ac:dyDescent="0.3">
      <c r="B9" s="13">
        <v>1</v>
      </c>
      <c r="C9" s="14" t="s">
        <v>133</v>
      </c>
      <c r="D9" s="15">
        <v>5.120000000000001</v>
      </c>
      <c r="E9" s="16">
        <v>6.4</v>
      </c>
      <c r="F9" s="17">
        <v>4.6399999999999997</v>
      </c>
      <c r="G9" s="16">
        <v>5.8</v>
      </c>
      <c r="H9" s="18" t="s">
        <v>21</v>
      </c>
      <c r="I9" s="19" t="s">
        <v>22</v>
      </c>
      <c r="J9" s="20"/>
      <c r="K9" s="21"/>
    </row>
    <row r="10" spans="2:13" ht="18" customHeight="1" x14ac:dyDescent="0.3">
      <c r="B10" s="13">
        <v>2</v>
      </c>
      <c r="C10" s="22" t="s">
        <v>134</v>
      </c>
      <c r="D10" s="15">
        <v>6.4</v>
      </c>
      <c r="E10" s="16">
        <v>8</v>
      </c>
      <c r="F10" s="17">
        <v>5.5</v>
      </c>
      <c r="G10" s="16">
        <v>6.8</v>
      </c>
      <c r="H10" s="23" t="s">
        <v>24</v>
      </c>
      <c r="I10" s="22" t="s">
        <v>25</v>
      </c>
      <c r="J10" s="24">
        <f t="shared" ref="J10:J35" si="0">((K10/$M$2)/$M$3)</f>
        <v>18895.619113210021</v>
      </c>
      <c r="K10" s="25">
        <f>AMD9PN5!E51</f>
        <v>14965.330337662337</v>
      </c>
    </row>
    <row r="11" spans="2:13" ht="18" customHeight="1" x14ac:dyDescent="0.3">
      <c r="B11" s="13">
        <v>3</v>
      </c>
      <c r="C11" s="22" t="s">
        <v>135</v>
      </c>
      <c r="D11" s="15">
        <v>11</v>
      </c>
      <c r="E11" s="16">
        <v>15</v>
      </c>
      <c r="F11" s="17">
        <v>10</v>
      </c>
      <c r="G11" s="16">
        <v>13</v>
      </c>
      <c r="H11" s="23" t="s">
        <v>27</v>
      </c>
      <c r="I11" s="22" t="s">
        <v>28</v>
      </c>
      <c r="J11" s="24">
        <f t="shared" si="0"/>
        <v>20768.832080727909</v>
      </c>
      <c r="K11" s="25">
        <f>AMD13PN5!E51</f>
        <v>16448.915007936503</v>
      </c>
    </row>
    <row r="12" spans="2:13" ht="18" customHeight="1" x14ac:dyDescent="0.3">
      <c r="B12" s="13">
        <v>4</v>
      </c>
      <c r="C12" s="22" t="s">
        <v>136</v>
      </c>
      <c r="D12" s="15">
        <v>13</v>
      </c>
      <c r="E12" s="16">
        <v>17</v>
      </c>
      <c r="F12" s="17">
        <v>12</v>
      </c>
      <c r="G12" s="16">
        <v>15</v>
      </c>
      <c r="H12" s="23" t="s">
        <v>30</v>
      </c>
      <c r="I12" s="22" t="s">
        <v>31</v>
      </c>
      <c r="J12" s="24">
        <f t="shared" si="0"/>
        <v>21271.877535273368</v>
      </c>
      <c r="K12" s="25">
        <f>AMD15PN5!E51</f>
        <v>16847.327007936507</v>
      </c>
    </row>
    <row r="13" spans="2:13" ht="18" customHeight="1" x14ac:dyDescent="0.3">
      <c r="B13" s="13">
        <v>5</v>
      </c>
      <c r="C13" s="22" t="s">
        <v>137</v>
      </c>
      <c r="D13" s="15">
        <v>18</v>
      </c>
      <c r="E13" s="16">
        <v>22</v>
      </c>
      <c r="F13" s="17">
        <v>16</v>
      </c>
      <c r="G13" s="26">
        <v>20</v>
      </c>
      <c r="H13" s="23" t="s">
        <v>33</v>
      </c>
      <c r="I13" s="22" t="s">
        <v>34</v>
      </c>
      <c r="J13" s="24">
        <f t="shared" si="0"/>
        <v>25442.738365800869</v>
      </c>
      <c r="K13" s="25">
        <f>AMD20PN5!E51</f>
        <v>20150.648785714289</v>
      </c>
    </row>
    <row r="14" spans="2:13" ht="18" customHeight="1" x14ac:dyDescent="0.3">
      <c r="B14" s="13">
        <v>6</v>
      </c>
      <c r="C14" s="22" t="s">
        <v>138</v>
      </c>
      <c r="D14" s="15">
        <v>26</v>
      </c>
      <c r="E14" s="26">
        <v>33</v>
      </c>
      <c r="F14" s="17">
        <v>24</v>
      </c>
      <c r="G14" s="26">
        <v>30</v>
      </c>
      <c r="H14" s="23" t="s">
        <v>36</v>
      </c>
      <c r="I14" s="32" t="s">
        <v>37</v>
      </c>
      <c r="J14" s="24">
        <f t="shared" si="0"/>
        <v>28260.537919782237</v>
      </c>
      <c r="K14" s="25">
        <f>AMD30PN5!E51</f>
        <v>22382.346032467532</v>
      </c>
    </row>
    <row r="15" spans="2:13" ht="18" customHeight="1" x14ac:dyDescent="0.3">
      <c r="B15" s="13">
        <v>7</v>
      </c>
      <c r="C15" s="22" t="s">
        <v>139</v>
      </c>
      <c r="D15" s="15">
        <v>39</v>
      </c>
      <c r="E15" s="26">
        <v>49</v>
      </c>
      <c r="F15" s="17">
        <v>36</v>
      </c>
      <c r="G15" s="26">
        <v>45</v>
      </c>
      <c r="H15" s="23" t="s">
        <v>39</v>
      </c>
      <c r="I15" s="33" t="s">
        <v>40</v>
      </c>
      <c r="J15" s="24">
        <f t="shared" si="0"/>
        <v>31746.481150793647</v>
      </c>
      <c r="K15" s="25">
        <f>AMD45PN5!E51</f>
        <v>25143.21307142857</v>
      </c>
    </row>
    <row r="16" spans="2:13" ht="18" customHeight="1" x14ac:dyDescent="0.3">
      <c r="B16" s="13">
        <v>8</v>
      </c>
      <c r="C16" s="22" t="s">
        <v>140</v>
      </c>
      <c r="D16" s="15">
        <v>53</v>
      </c>
      <c r="E16" s="26">
        <v>66</v>
      </c>
      <c r="F16" s="17">
        <v>48</v>
      </c>
      <c r="G16" s="26">
        <v>60</v>
      </c>
      <c r="H16" s="23" t="s">
        <v>42</v>
      </c>
      <c r="I16" s="32" t="s">
        <v>43</v>
      </c>
      <c r="J16" s="24">
        <f t="shared" si="0"/>
        <v>35253.361622174118</v>
      </c>
      <c r="K16" s="25">
        <f>AMD60PN5!E51</f>
        <v>27920.662404761904</v>
      </c>
    </row>
    <row r="17" spans="2:11" ht="18" customHeight="1" x14ac:dyDescent="0.3">
      <c r="B17" s="13">
        <v>9</v>
      </c>
      <c r="C17" s="22" t="s">
        <v>141</v>
      </c>
      <c r="D17" s="15">
        <v>57</v>
      </c>
      <c r="E17" s="26">
        <v>72</v>
      </c>
      <c r="F17" s="17">
        <v>52</v>
      </c>
      <c r="G17" s="26">
        <v>65</v>
      </c>
      <c r="H17" s="23" t="s">
        <v>45</v>
      </c>
      <c r="I17" s="32" t="s">
        <v>43</v>
      </c>
      <c r="J17" s="24">
        <f t="shared" si="0"/>
        <v>38951.006042568537</v>
      </c>
      <c r="K17" s="25">
        <f>AMD65PN5!E51</f>
        <v>30849.196785714281</v>
      </c>
    </row>
    <row r="18" spans="2:11" ht="18" customHeight="1" x14ac:dyDescent="0.3">
      <c r="B18" s="13">
        <v>10</v>
      </c>
      <c r="C18" s="22" t="s">
        <v>142</v>
      </c>
      <c r="D18" s="15">
        <v>70</v>
      </c>
      <c r="E18" s="26">
        <v>88</v>
      </c>
      <c r="F18" s="17">
        <v>64</v>
      </c>
      <c r="G18" s="26">
        <v>80</v>
      </c>
      <c r="H18" s="23" t="s">
        <v>47</v>
      </c>
      <c r="I18" s="32" t="s">
        <v>48</v>
      </c>
      <c r="J18" s="24">
        <f t="shared" si="0"/>
        <v>42136.960588023088</v>
      </c>
      <c r="K18" s="25">
        <f>AMD80PN5!E51</f>
        <v>33372.472785714286</v>
      </c>
    </row>
    <row r="19" spans="2:11" ht="18" customHeight="1" x14ac:dyDescent="0.3">
      <c r="B19" s="13">
        <v>11</v>
      </c>
      <c r="C19" s="22" t="s">
        <v>142</v>
      </c>
      <c r="D19" s="15">
        <v>71</v>
      </c>
      <c r="E19" s="26">
        <v>89</v>
      </c>
      <c r="F19" s="17">
        <v>64</v>
      </c>
      <c r="G19" s="26">
        <v>80</v>
      </c>
      <c r="H19" s="23" t="s">
        <v>49</v>
      </c>
      <c r="I19" s="22" t="s">
        <v>48</v>
      </c>
      <c r="J19" s="24">
        <f t="shared" si="0"/>
        <v>45805.000360750353</v>
      </c>
      <c r="K19" s="25">
        <f>'AMD80''PN5'!E51</f>
        <v>36277.56028571428</v>
      </c>
    </row>
    <row r="20" spans="2:11" ht="18" customHeight="1" x14ac:dyDescent="0.3">
      <c r="B20" s="13">
        <v>12</v>
      </c>
      <c r="C20" s="22" t="s">
        <v>143</v>
      </c>
      <c r="D20" s="15">
        <v>90</v>
      </c>
      <c r="E20" s="26">
        <v>112</v>
      </c>
      <c r="F20" s="17">
        <v>81</v>
      </c>
      <c r="G20" s="26">
        <v>101</v>
      </c>
      <c r="H20" s="23" t="s">
        <v>51</v>
      </c>
      <c r="I20" s="22" t="s">
        <v>52</v>
      </c>
      <c r="J20" s="24">
        <f t="shared" si="0"/>
        <v>48868.612734487717</v>
      </c>
      <c r="K20" s="25">
        <f>AMD100PN5!E51</f>
        <v>38703.941285714274</v>
      </c>
    </row>
    <row r="21" spans="2:11" ht="18" customHeight="1" x14ac:dyDescent="0.3">
      <c r="B21" s="13">
        <v>13</v>
      </c>
      <c r="C21" s="22" t="s">
        <v>144</v>
      </c>
      <c r="D21" s="15">
        <v>120</v>
      </c>
      <c r="E21" s="26">
        <v>150</v>
      </c>
      <c r="F21" s="17">
        <v>108</v>
      </c>
      <c r="G21" s="26">
        <v>135</v>
      </c>
      <c r="H21" s="23" t="s">
        <v>54</v>
      </c>
      <c r="I21" s="22" t="s">
        <v>55</v>
      </c>
      <c r="J21" s="24">
        <f t="shared" si="0"/>
        <v>62387.140913099232</v>
      </c>
      <c r="K21" s="25">
        <f>AMD135PN5!E51</f>
        <v>49410.615603174592</v>
      </c>
    </row>
    <row r="22" spans="2:11" ht="18" customHeight="1" x14ac:dyDescent="0.3">
      <c r="B22" s="13">
        <v>14</v>
      </c>
      <c r="C22" s="22" t="s">
        <v>145</v>
      </c>
      <c r="D22" s="15">
        <v>132</v>
      </c>
      <c r="E22" s="26">
        <v>165</v>
      </c>
      <c r="F22" s="17">
        <v>120</v>
      </c>
      <c r="G22" s="26">
        <v>150</v>
      </c>
      <c r="H22" s="23" t="s">
        <v>57</v>
      </c>
      <c r="I22" s="22" t="s">
        <v>58</v>
      </c>
      <c r="J22" s="24">
        <f t="shared" si="0"/>
        <v>68991.861602132412</v>
      </c>
      <c r="K22" s="25">
        <f>AMD150PN5!E51</f>
        <v>54641.554388888879</v>
      </c>
    </row>
    <row r="23" spans="2:11" ht="18" customHeight="1" x14ac:dyDescent="0.3">
      <c r="B23" s="13">
        <v>15</v>
      </c>
      <c r="C23" s="22" t="s">
        <v>146</v>
      </c>
      <c r="D23" s="15">
        <v>160</v>
      </c>
      <c r="E23" s="26">
        <v>200</v>
      </c>
      <c r="F23" s="17">
        <v>144</v>
      </c>
      <c r="G23" s="26">
        <v>180</v>
      </c>
      <c r="H23" s="23" t="s">
        <v>60</v>
      </c>
      <c r="I23" s="22" t="s">
        <v>61</v>
      </c>
      <c r="J23" s="24">
        <f t="shared" si="0"/>
        <v>76764.907988616309</v>
      </c>
      <c r="K23" s="25">
        <f>AMD180PN5!E51</f>
        <v>60797.807126984117</v>
      </c>
    </row>
    <row r="24" spans="2:11" ht="18" customHeight="1" x14ac:dyDescent="0.3">
      <c r="B24" s="13">
        <v>16</v>
      </c>
      <c r="C24" s="22" t="s">
        <v>147</v>
      </c>
      <c r="D24" s="15">
        <v>176</v>
      </c>
      <c r="E24" s="26">
        <v>220</v>
      </c>
      <c r="F24" s="17">
        <v>160</v>
      </c>
      <c r="G24" s="26">
        <v>200</v>
      </c>
      <c r="H24" s="23" t="s">
        <v>63</v>
      </c>
      <c r="I24" s="22" t="s">
        <v>64</v>
      </c>
      <c r="J24" s="24">
        <f t="shared" si="0"/>
        <v>84564.614007134835</v>
      </c>
      <c r="K24" s="25">
        <f>AMD200PN5!E51</f>
        <v>66975.174293650794</v>
      </c>
    </row>
    <row r="25" spans="2:11" ht="18" customHeight="1" x14ac:dyDescent="0.3">
      <c r="B25" s="13">
        <v>17</v>
      </c>
      <c r="C25" s="22" t="s">
        <v>147</v>
      </c>
      <c r="D25" s="15">
        <v>176.04</v>
      </c>
      <c r="E25" s="26">
        <v>220.04</v>
      </c>
      <c r="F25" s="17">
        <v>160.04</v>
      </c>
      <c r="G25" s="26">
        <v>200.04</v>
      </c>
      <c r="H25" s="23" t="s">
        <v>65</v>
      </c>
      <c r="I25" s="22" t="s">
        <v>64</v>
      </c>
      <c r="J25" s="24">
        <f t="shared" si="0"/>
        <v>99314.591239778732</v>
      </c>
      <c r="K25" s="25">
        <f>AMD200.PN5!E51</f>
        <v>78657.156261904762</v>
      </c>
    </row>
    <row r="26" spans="2:11" ht="18" customHeight="1" x14ac:dyDescent="0.3">
      <c r="B26" s="13">
        <v>18</v>
      </c>
      <c r="C26" s="22" t="s">
        <v>148</v>
      </c>
      <c r="D26" s="15">
        <v>200</v>
      </c>
      <c r="E26" s="26">
        <v>250</v>
      </c>
      <c r="F26" s="17">
        <v>185</v>
      </c>
      <c r="G26" s="26">
        <v>230</v>
      </c>
      <c r="H26" s="23" t="s">
        <v>67</v>
      </c>
      <c r="I26" s="22" t="s">
        <v>68</v>
      </c>
      <c r="J26" s="24">
        <f t="shared" si="0"/>
        <v>108041.03252765752</v>
      </c>
      <c r="K26" s="25">
        <f>AMD230PN5!E51</f>
        <v>85568.497761904757</v>
      </c>
    </row>
    <row r="27" spans="2:11" ht="18" customHeight="1" x14ac:dyDescent="0.3">
      <c r="B27" s="13">
        <v>19</v>
      </c>
      <c r="C27" s="22" t="s">
        <v>149</v>
      </c>
      <c r="D27" s="15">
        <v>220</v>
      </c>
      <c r="E27" s="26">
        <v>275</v>
      </c>
      <c r="F27" s="17">
        <v>200</v>
      </c>
      <c r="G27" s="26">
        <v>250</v>
      </c>
      <c r="H27" s="23" t="s">
        <v>70</v>
      </c>
      <c r="I27" s="22" t="s">
        <v>150</v>
      </c>
      <c r="J27" s="24">
        <f t="shared" si="0"/>
        <v>109305.6329064454</v>
      </c>
      <c r="K27" s="25">
        <f>AMD250PN5!E51</f>
        <v>86570.061261904761</v>
      </c>
    </row>
    <row r="28" spans="2:11" ht="18" customHeight="1" x14ac:dyDescent="0.3">
      <c r="B28" s="13">
        <v>20</v>
      </c>
      <c r="C28" s="22" t="s">
        <v>151</v>
      </c>
      <c r="D28" s="15">
        <v>240</v>
      </c>
      <c r="E28" s="26">
        <v>300</v>
      </c>
      <c r="F28" s="17">
        <v>220</v>
      </c>
      <c r="G28" s="26">
        <v>275</v>
      </c>
      <c r="H28" s="23" t="s">
        <v>73</v>
      </c>
      <c r="I28" s="22" t="s">
        <v>74</v>
      </c>
      <c r="J28" s="24">
        <f t="shared" si="0"/>
        <v>134516.52208593875</v>
      </c>
      <c r="K28" s="25">
        <f>AMD275PN5!E51</f>
        <v>106537.0854920635</v>
      </c>
    </row>
    <row r="29" spans="2:11" ht="18" customHeight="1" x14ac:dyDescent="0.3">
      <c r="B29" s="13">
        <v>21</v>
      </c>
      <c r="C29" s="22" t="s">
        <v>152</v>
      </c>
      <c r="D29" s="15">
        <v>270</v>
      </c>
      <c r="E29" s="26">
        <v>330</v>
      </c>
      <c r="F29" s="17">
        <v>250</v>
      </c>
      <c r="G29" s="26">
        <v>300</v>
      </c>
      <c r="H29" s="23" t="s">
        <v>76</v>
      </c>
      <c r="I29" s="22" t="s">
        <v>74</v>
      </c>
      <c r="J29" s="24">
        <f t="shared" si="0"/>
        <v>137835.22473745391</v>
      </c>
      <c r="K29" s="25">
        <f>AMD300PN5!E51</f>
        <v>109165.49799206349</v>
      </c>
    </row>
    <row r="30" spans="2:11" ht="18" customHeight="1" x14ac:dyDescent="0.3">
      <c r="B30" s="13">
        <v>22</v>
      </c>
      <c r="C30" s="22" t="s">
        <v>153</v>
      </c>
      <c r="D30" s="15">
        <v>320</v>
      </c>
      <c r="E30" s="26">
        <v>400</v>
      </c>
      <c r="F30" s="17">
        <v>280</v>
      </c>
      <c r="G30" s="26">
        <v>350</v>
      </c>
      <c r="H30" s="23" t="s">
        <v>78</v>
      </c>
      <c r="I30" s="22" t="s">
        <v>79</v>
      </c>
      <c r="J30" s="24">
        <f t="shared" si="0"/>
        <v>148406.77857944524</v>
      </c>
      <c r="K30" s="25">
        <f>AMD350PN5!E51</f>
        <v>117538.16863492064</v>
      </c>
    </row>
    <row r="31" spans="2:11" ht="18" customHeight="1" x14ac:dyDescent="0.3">
      <c r="B31" s="13">
        <v>23</v>
      </c>
      <c r="C31" s="22" t="s">
        <v>154</v>
      </c>
      <c r="D31" s="15">
        <v>350</v>
      </c>
      <c r="E31" s="26">
        <v>450</v>
      </c>
      <c r="F31" s="17">
        <v>320</v>
      </c>
      <c r="G31" s="26">
        <v>400</v>
      </c>
      <c r="H31" s="23" t="s">
        <v>81</v>
      </c>
      <c r="I31" s="22" t="s">
        <v>82</v>
      </c>
      <c r="J31" s="24">
        <f t="shared" si="0"/>
        <v>165301.71616963285</v>
      </c>
      <c r="K31" s="25">
        <f>AMD400PN5!E51</f>
        <v>130918.95920634922</v>
      </c>
    </row>
    <row r="32" spans="2:11" ht="18" customHeight="1" x14ac:dyDescent="0.3">
      <c r="B32" s="13">
        <v>24</v>
      </c>
      <c r="C32" s="22" t="s">
        <v>155</v>
      </c>
      <c r="D32" s="15">
        <v>400</v>
      </c>
      <c r="E32" s="26">
        <v>500</v>
      </c>
      <c r="F32" s="17">
        <v>364</v>
      </c>
      <c r="G32" s="26">
        <v>455</v>
      </c>
      <c r="H32" s="23" t="s">
        <v>84</v>
      </c>
      <c r="I32" s="22" t="s">
        <v>85</v>
      </c>
      <c r="J32" s="24">
        <f t="shared" si="0"/>
        <v>181551.54724827645</v>
      </c>
      <c r="K32" s="25">
        <f>AMD450PN5!E51</f>
        <v>143788.82542063494</v>
      </c>
    </row>
    <row r="33" spans="2:11" ht="18" customHeight="1" x14ac:dyDescent="0.3">
      <c r="B33" s="13">
        <v>25</v>
      </c>
      <c r="C33" s="22" t="s">
        <v>156</v>
      </c>
      <c r="D33" s="15">
        <v>440</v>
      </c>
      <c r="E33" s="26">
        <v>550</v>
      </c>
      <c r="F33" s="17">
        <v>400</v>
      </c>
      <c r="G33" s="26">
        <v>500</v>
      </c>
      <c r="H33" s="23" t="s">
        <v>87</v>
      </c>
      <c r="I33" s="22" t="s">
        <v>85</v>
      </c>
      <c r="J33" s="24">
        <f t="shared" si="0"/>
        <v>191041.88191438187</v>
      </c>
      <c r="K33" s="25">
        <f>AMD500PN5!E51</f>
        <v>151305.17047619045</v>
      </c>
    </row>
    <row r="34" spans="2:11" ht="18" customHeight="1" x14ac:dyDescent="0.3">
      <c r="B34" s="13">
        <v>26</v>
      </c>
      <c r="C34" s="22" t="s">
        <v>157</v>
      </c>
      <c r="D34" s="15">
        <v>528</v>
      </c>
      <c r="E34" s="26">
        <v>660</v>
      </c>
      <c r="F34" s="17">
        <v>480</v>
      </c>
      <c r="G34" s="26">
        <v>600</v>
      </c>
      <c r="H34" s="23" t="s">
        <v>89</v>
      </c>
      <c r="I34" s="22" t="s">
        <v>90</v>
      </c>
      <c r="J34" s="24">
        <f t="shared" si="0"/>
        <v>249034.76085257341</v>
      </c>
      <c r="K34" s="25">
        <f>AMD600PN5!E51</f>
        <v>197235.53059523815</v>
      </c>
    </row>
    <row r="35" spans="2:11" ht="18" customHeight="1" x14ac:dyDescent="0.3">
      <c r="B35" s="13">
        <v>27</v>
      </c>
      <c r="C35" s="22" t="s">
        <v>158</v>
      </c>
      <c r="D35" s="15">
        <v>560</v>
      </c>
      <c r="E35" s="26">
        <v>700</v>
      </c>
      <c r="F35" s="17">
        <v>520</v>
      </c>
      <c r="G35" s="26">
        <v>650</v>
      </c>
      <c r="H35" s="23" t="s">
        <v>92</v>
      </c>
      <c r="I35" s="22" t="s">
        <v>93</v>
      </c>
      <c r="J35" s="24">
        <f t="shared" si="0"/>
        <v>268790.84920634917</v>
      </c>
      <c r="K35" s="25">
        <f>AMD650PN5!E51</f>
        <v>212882.35257142855</v>
      </c>
    </row>
    <row r="36" spans="2:11" ht="18" customHeight="1" x14ac:dyDescent="0.3"/>
    <row r="37" spans="2:11" ht="18" customHeight="1" x14ac:dyDescent="0.3"/>
  </sheetData>
  <mergeCells count="11">
    <mergeCell ref="K6:K8"/>
    <mergeCell ref="D7:E7"/>
    <mergeCell ref="F7:G7"/>
    <mergeCell ref="B4:J4"/>
    <mergeCell ref="B5:I5"/>
    <mergeCell ref="B6:B8"/>
    <mergeCell ref="C6:C8"/>
    <mergeCell ref="D6:G6"/>
    <mergeCell ref="H6:H8"/>
    <mergeCell ref="I6:I8"/>
    <mergeCell ref="J6:J8"/>
  </mergeCells>
  <pageMargins left="0.7" right="0.7" top="0.75" bottom="0.75" header="0.3" footer="0.3"/>
  <pageSetup scale="7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521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522</v>
      </c>
      <c r="C4" s="154"/>
      <c r="D4" s="432">
        <v>1</v>
      </c>
      <c r="E4" s="432" t="s">
        <v>169</v>
      </c>
      <c r="F4" s="434">
        <f>H4</f>
        <v>508311.89999999997</v>
      </c>
      <c r="G4" s="436">
        <f>F4*D4</f>
        <v>508311.89999999997</v>
      </c>
      <c r="H4" s="48">
        <f>I4*'Prices without ATS'!$K$2</f>
        <v>508311.89999999997</v>
      </c>
      <c r="I4" s="88">
        <v>99669</v>
      </c>
      <c r="J4" s="88"/>
    </row>
    <row r="5" spans="1:10" ht="18" customHeight="1" x14ac:dyDescent="0.3">
      <c r="A5" s="45" t="s">
        <v>171</v>
      </c>
      <c r="B5" s="132" t="s">
        <v>523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511</v>
      </c>
      <c r="C9" s="157" t="s">
        <v>188</v>
      </c>
      <c r="D9" s="158">
        <v>2</v>
      </c>
      <c r="E9" s="158" t="s">
        <v>169</v>
      </c>
      <c r="F9" s="159">
        <v>1061</v>
      </c>
      <c r="G9" s="164">
        <f t="shared" si="0"/>
        <v>2122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ht="18" customHeight="1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ht="18" customHeight="1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3963</v>
      </c>
      <c r="G12" s="164">
        <f t="shared" si="0"/>
        <v>3963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517</v>
      </c>
      <c r="C14" s="157" t="s">
        <v>188</v>
      </c>
      <c r="D14" s="163">
        <v>3</v>
      </c>
      <c r="E14" s="163" t="s">
        <v>169</v>
      </c>
      <c r="F14" s="159">
        <v>75</v>
      </c>
      <c r="G14" s="164">
        <f t="shared" si="0"/>
        <v>225</v>
      </c>
    </row>
    <row r="15" spans="1:10" ht="18" customHeight="1" x14ac:dyDescent="0.3">
      <c r="A15" s="45" t="s">
        <v>201</v>
      </c>
      <c r="B15" s="161" t="s">
        <v>518</v>
      </c>
      <c r="C15" s="157" t="s">
        <v>188</v>
      </c>
      <c r="D15" s="163">
        <v>1</v>
      </c>
      <c r="E15" s="163" t="s">
        <v>169</v>
      </c>
      <c r="F15" s="159">
        <v>7626</v>
      </c>
      <c r="G15" s="164">
        <f t="shared" si="0"/>
        <v>7626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227</v>
      </c>
      <c r="E16" s="165" t="s">
        <v>200</v>
      </c>
      <c r="F16" s="159">
        <v>62.26</v>
      </c>
      <c r="G16" s="164">
        <f t="shared" si="0"/>
        <v>1369.72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3399.71</v>
      </c>
      <c r="G22" s="170">
        <f>D22*F22</f>
        <v>3399.71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25415.595000000001</v>
      </c>
      <c r="G23" s="68">
        <f>F23*D23</f>
        <v>25415.595000000001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5500/3</f>
        <v>1833.3333333333333</v>
      </c>
      <c r="G24" s="68">
        <f>F24*D24</f>
        <v>1833.3333333333333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17790.916499999999</v>
      </c>
      <c r="G25" s="68">
        <f>F25*D25</f>
        <v>17790.916499999999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3000/3</f>
        <v>1000</v>
      </c>
      <c r="G26" s="72">
        <f>F26*D26</f>
        <v>1000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582934.74578571413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3" spans="1:5" ht="18" customHeight="1" x14ac:dyDescent="0.3"/>
    <row r="34" spans="1:5" ht="18" customHeight="1" x14ac:dyDescent="0.3"/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524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525</v>
      </c>
      <c r="C4" s="154"/>
      <c r="D4" s="432">
        <v>1</v>
      </c>
      <c r="E4" s="432" t="s">
        <v>169</v>
      </c>
      <c r="F4" s="434">
        <f>H4</f>
        <v>574209</v>
      </c>
      <c r="G4" s="436">
        <f>F4*D4</f>
        <v>574209</v>
      </c>
      <c r="H4" s="48">
        <f>I4*'Prices without ATS'!$K$2</f>
        <v>574209</v>
      </c>
      <c r="I4" s="88">
        <v>112590</v>
      </c>
      <c r="J4" s="88"/>
    </row>
    <row r="5" spans="1:10" ht="18" customHeight="1" x14ac:dyDescent="0.3">
      <c r="A5" s="45" t="s">
        <v>171</v>
      </c>
      <c r="B5" s="132" t="s">
        <v>526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511</v>
      </c>
      <c r="C9" s="157" t="s">
        <v>188</v>
      </c>
      <c r="D9" s="158">
        <v>2</v>
      </c>
      <c r="E9" s="158" t="s">
        <v>169</v>
      </c>
      <c r="F9" s="159">
        <v>1298.6199999999999</v>
      </c>
      <c r="G9" s="164">
        <f t="shared" si="0"/>
        <v>2597.2399999999998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3864.91</v>
      </c>
      <c r="G10" s="164">
        <f t="shared" si="0"/>
        <v>3864.91</v>
      </c>
    </row>
    <row r="11" spans="1:10" ht="18" customHeight="1" x14ac:dyDescent="0.3">
      <c r="A11" s="45" t="s">
        <v>189</v>
      </c>
      <c r="B11" s="156" t="s">
        <v>459</v>
      </c>
      <c r="C11" s="157" t="s">
        <v>460</v>
      </c>
      <c r="D11" s="158">
        <v>10</v>
      </c>
      <c r="E11" s="158" t="s">
        <v>169</v>
      </c>
      <c r="F11" s="159">
        <f>44.92/1.05</f>
        <v>42.780952380952378</v>
      </c>
      <c r="G11" s="164">
        <f t="shared" si="0"/>
        <v>427.8095238095238</v>
      </c>
    </row>
    <row r="12" spans="1:10" ht="18" customHeight="1" x14ac:dyDescent="0.3">
      <c r="A12" s="45" t="s">
        <v>192</v>
      </c>
      <c r="B12" s="161" t="s">
        <v>490</v>
      </c>
      <c r="C12" s="162" t="s">
        <v>188</v>
      </c>
      <c r="D12" s="158">
        <v>1</v>
      </c>
      <c r="E12" s="158" t="s">
        <v>169</v>
      </c>
      <c r="F12" s="159">
        <v>3963</v>
      </c>
      <c r="G12" s="164">
        <f t="shared" si="0"/>
        <v>3963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527</v>
      </c>
      <c r="C14" s="157" t="s">
        <v>528</v>
      </c>
      <c r="D14" s="163">
        <v>3</v>
      </c>
      <c r="E14" s="163" t="s">
        <v>169</v>
      </c>
      <c r="F14" s="159">
        <v>98</v>
      </c>
      <c r="G14" s="164">
        <f t="shared" si="0"/>
        <v>294</v>
      </c>
    </row>
    <row r="15" spans="1:10" ht="18" customHeight="1" x14ac:dyDescent="0.3">
      <c r="A15" s="45" t="s">
        <v>201</v>
      </c>
      <c r="B15" s="161" t="s">
        <v>529</v>
      </c>
      <c r="C15" s="157" t="s">
        <v>530</v>
      </c>
      <c r="D15" s="163">
        <v>1</v>
      </c>
      <c r="E15" s="163" t="s">
        <v>169</v>
      </c>
      <c r="F15" s="159">
        <v>9796</v>
      </c>
      <c r="G15" s="164">
        <f t="shared" si="0"/>
        <v>9796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227</v>
      </c>
      <c r="E16" s="165" t="s">
        <v>200</v>
      </c>
      <c r="F16" s="159">
        <v>62.26</v>
      </c>
      <c r="G16" s="164">
        <f t="shared" si="0"/>
        <v>1369.72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3399.71</v>
      </c>
      <c r="G22" s="170">
        <f>D22*F22</f>
        <v>3399.71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28710.45</v>
      </c>
      <c r="G23" s="68">
        <f>F23*D23</f>
        <v>28710.45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5500/2</f>
        <v>2750</v>
      </c>
      <c r="G24" s="68">
        <f>F24*D24</f>
        <v>2750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20097.315000000002</v>
      </c>
      <c r="G25" s="68">
        <f>F25*D25</f>
        <v>20097.315000000002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3000/2</f>
        <v>1500</v>
      </c>
      <c r="G26" s="72">
        <f>F26*D26</f>
        <v>1500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658564.00595238083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3" spans="1:5" ht="18" customHeight="1" x14ac:dyDescent="0.3"/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531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532</v>
      </c>
      <c r="C4" s="154"/>
      <c r="D4" s="432">
        <v>1</v>
      </c>
      <c r="E4" s="432" t="s">
        <v>169</v>
      </c>
      <c r="F4" s="434">
        <f>H4</f>
        <v>774348.29999999993</v>
      </c>
      <c r="G4" s="436">
        <f>F4*D4</f>
        <v>774348.29999999993</v>
      </c>
      <c r="H4" s="48">
        <f>I4*'Prices without ATS'!$K$2</f>
        <v>774348.29999999993</v>
      </c>
      <c r="I4" s="88">
        <v>151833</v>
      </c>
      <c r="J4" s="88"/>
    </row>
    <row r="5" spans="1:10" ht="18" customHeight="1" x14ac:dyDescent="0.3">
      <c r="A5" s="45" t="s">
        <v>171</v>
      </c>
      <c r="B5" s="132" t="s">
        <v>526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533</v>
      </c>
      <c r="C9" s="157" t="s">
        <v>188</v>
      </c>
      <c r="D9" s="158">
        <v>2</v>
      </c>
      <c r="E9" s="158" t="s">
        <v>169</v>
      </c>
      <c r="F9" s="159">
        <v>1298.8800000000001</v>
      </c>
      <c r="G9" s="164">
        <f t="shared" si="0"/>
        <v>2597.7600000000002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4849.46</v>
      </c>
      <c r="G10" s="164">
        <f t="shared" si="0"/>
        <v>4849.46</v>
      </c>
    </row>
    <row r="11" spans="1:10" ht="18" customHeight="1" x14ac:dyDescent="0.3">
      <c r="A11" s="45" t="s">
        <v>189</v>
      </c>
      <c r="B11" s="156" t="s">
        <v>534</v>
      </c>
      <c r="C11" s="157" t="s">
        <v>535</v>
      </c>
      <c r="D11" s="158">
        <v>10</v>
      </c>
      <c r="E11" s="158" t="s">
        <v>169</v>
      </c>
      <c r="F11" s="159">
        <v>90</v>
      </c>
      <c r="G11" s="164">
        <f t="shared" si="0"/>
        <v>900</v>
      </c>
    </row>
    <row r="12" spans="1:10" ht="18" customHeight="1" x14ac:dyDescent="0.3">
      <c r="A12" s="45" t="s">
        <v>192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4363</v>
      </c>
      <c r="G12" s="164">
        <f t="shared" si="0"/>
        <v>4363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527</v>
      </c>
      <c r="C14" s="157" t="s">
        <v>528</v>
      </c>
      <c r="D14" s="163">
        <v>3</v>
      </c>
      <c r="E14" s="163" t="s">
        <v>169</v>
      </c>
      <c r="F14" s="159">
        <v>98</v>
      </c>
      <c r="G14" s="164">
        <f t="shared" si="0"/>
        <v>294</v>
      </c>
    </row>
    <row r="15" spans="1:10" ht="18" customHeight="1" x14ac:dyDescent="0.3">
      <c r="A15" s="45" t="s">
        <v>201</v>
      </c>
      <c r="B15" s="161" t="s">
        <v>529</v>
      </c>
      <c r="C15" s="157" t="s">
        <v>530</v>
      </c>
      <c r="D15" s="163">
        <v>1</v>
      </c>
      <c r="E15" s="163" t="s">
        <v>169</v>
      </c>
      <c r="F15" s="159">
        <v>9796</v>
      </c>
      <c r="G15" s="164">
        <f t="shared" si="0"/>
        <v>9796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536</v>
      </c>
      <c r="E16" s="165" t="s">
        <v>200</v>
      </c>
      <c r="F16" s="159">
        <v>62.26</v>
      </c>
      <c r="G16" s="164">
        <f t="shared" si="0"/>
        <v>1743.28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3749.15</v>
      </c>
      <c r="G22" s="170">
        <f>D22*F22</f>
        <v>3749.15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38717.415000000001</v>
      </c>
      <c r="G23" s="68">
        <f>F23*D23</f>
        <v>38717.415000000001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5500/1</f>
        <v>5500</v>
      </c>
      <c r="G24" s="68">
        <f>F24*D24</f>
        <v>5500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27102.190500000001</v>
      </c>
      <c r="G25" s="68">
        <f>F25*D25</f>
        <v>27102.190500000001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3000/1</f>
        <v>3000</v>
      </c>
      <c r="G26" s="72">
        <f>F26*D26</f>
        <v>3000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882545.40692857152</v>
      </c>
    </row>
    <row r="29" spans="1:7" x14ac:dyDescent="0.3">
      <c r="A29" t="s">
        <v>259</v>
      </c>
      <c r="B29" s="4">
        <v>43450</v>
      </c>
    </row>
    <row r="34" spans="1:5" x14ac:dyDescent="0.3">
      <c r="A34" s="151"/>
      <c r="B34" s="151"/>
      <c r="C34" s="151"/>
      <c r="D34" s="151"/>
      <c r="E34" s="151"/>
    </row>
    <row r="35" spans="1:5" s="151" customFormat="1" x14ac:dyDescent="0.3"/>
    <row r="36" spans="1:5" x14ac:dyDescent="0.3">
      <c r="A36" s="151"/>
      <c r="B36" s="151"/>
      <c r="C36" s="151"/>
      <c r="D36" s="151"/>
      <c r="E36" s="151"/>
    </row>
    <row r="37" spans="1:5" x14ac:dyDescent="0.3">
      <c r="A37" s="151"/>
      <c r="B37" s="151"/>
      <c r="C37" s="151"/>
      <c r="D37" s="151"/>
      <c r="E37" s="151"/>
    </row>
    <row r="38" spans="1:5" x14ac:dyDescent="0.3">
      <c r="A38" s="151"/>
      <c r="B38" s="151"/>
      <c r="C38" s="151"/>
      <c r="D38" s="151"/>
      <c r="E38" s="151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537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538</v>
      </c>
      <c r="C4" s="154"/>
      <c r="D4" s="432">
        <v>1</v>
      </c>
      <c r="E4" s="432" t="s">
        <v>169</v>
      </c>
      <c r="F4" s="434">
        <f>H4</f>
        <v>772497</v>
      </c>
      <c r="G4" s="436">
        <f>F4*D4</f>
        <v>772497</v>
      </c>
      <c r="H4" s="48">
        <f>I4*'Prices without ATS'!$K$2</f>
        <v>772497</v>
      </c>
      <c r="I4" s="88">
        <v>151470</v>
      </c>
      <c r="J4" s="88"/>
    </row>
    <row r="5" spans="1:10" ht="18" customHeight="1" x14ac:dyDescent="0.3">
      <c r="A5" s="45" t="s">
        <v>171</v>
      </c>
      <c r="B5" s="132" t="s">
        <v>526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533</v>
      </c>
      <c r="C9" s="157" t="s">
        <v>188</v>
      </c>
      <c r="D9" s="158">
        <v>2</v>
      </c>
      <c r="E9" s="158" t="s">
        <v>169</v>
      </c>
      <c r="F9" s="159">
        <v>1298.8800000000001</v>
      </c>
      <c r="G9" s="164">
        <f t="shared" si="0"/>
        <v>2597.7600000000002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4849.46</v>
      </c>
      <c r="G10" s="164">
        <f t="shared" si="0"/>
        <v>4849.46</v>
      </c>
    </row>
    <row r="11" spans="1:10" ht="18" customHeight="1" x14ac:dyDescent="0.3">
      <c r="A11" s="45" t="s">
        <v>189</v>
      </c>
      <c r="B11" s="156" t="s">
        <v>534</v>
      </c>
      <c r="C11" s="157" t="s">
        <v>535</v>
      </c>
      <c r="D11" s="158">
        <v>10</v>
      </c>
      <c r="E11" s="158" t="s">
        <v>169</v>
      </c>
      <c r="F11" s="159">
        <v>90</v>
      </c>
      <c r="G11" s="164">
        <f t="shared" si="0"/>
        <v>900</v>
      </c>
    </row>
    <row r="12" spans="1:10" ht="18" customHeight="1" x14ac:dyDescent="0.3">
      <c r="A12" s="45" t="s">
        <v>192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4363</v>
      </c>
      <c r="G12" s="164">
        <f t="shared" si="0"/>
        <v>4363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527</v>
      </c>
      <c r="C14" s="157" t="s">
        <v>528</v>
      </c>
      <c r="D14" s="163">
        <v>3</v>
      </c>
      <c r="E14" s="163" t="s">
        <v>169</v>
      </c>
      <c r="F14" s="159">
        <v>98</v>
      </c>
      <c r="G14" s="164">
        <f t="shared" si="0"/>
        <v>294</v>
      </c>
    </row>
    <row r="15" spans="1:10" ht="18" customHeight="1" x14ac:dyDescent="0.3">
      <c r="A15" s="45" t="s">
        <v>201</v>
      </c>
      <c r="B15" s="161" t="s">
        <v>529</v>
      </c>
      <c r="C15" s="157" t="s">
        <v>530</v>
      </c>
      <c r="D15" s="163">
        <v>1</v>
      </c>
      <c r="E15" s="163" t="s">
        <v>169</v>
      </c>
      <c r="F15" s="159">
        <v>9796</v>
      </c>
      <c r="G15" s="164">
        <f t="shared" si="0"/>
        <v>9796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536</v>
      </c>
      <c r="E16" s="165" t="s">
        <v>200</v>
      </c>
      <c r="F16" s="159">
        <v>62.26</v>
      </c>
      <c r="G16" s="164">
        <f t="shared" si="0"/>
        <v>1743.28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3749.15</v>
      </c>
      <c r="G22" s="170">
        <f>D22*F22</f>
        <v>3749.15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38624.85</v>
      </c>
      <c r="G23" s="68">
        <f>F23*D23</f>
        <v>38624.85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5500/1</f>
        <v>5500</v>
      </c>
      <c r="G24" s="68">
        <f>F24*D24</f>
        <v>5500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27037.395000000004</v>
      </c>
      <c r="G25" s="68">
        <f>F25*D25</f>
        <v>27037.395000000004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3000/1</f>
        <v>3000</v>
      </c>
      <c r="G26" s="72">
        <f>F26*D26</f>
        <v>3000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880536.74642857153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5.6" thickTop="1" thickBot="1" x14ac:dyDescent="0.35">
      <c r="A1" s="422" t="s">
        <v>539</v>
      </c>
      <c r="B1" s="422"/>
      <c r="C1" s="422"/>
      <c r="D1" s="422"/>
      <c r="E1" s="422"/>
      <c r="F1" s="422"/>
      <c r="G1" s="422"/>
    </row>
    <row r="2" spans="1:10" ht="15.6" thickTop="1" thickBot="1" x14ac:dyDescent="0.35"/>
    <row r="3" spans="1:10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x14ac:dyDescent="0.3">
      <c r="A4" s="38" t="s">
        <v>167</v>
      </c>
      <c r="B4" s="130" t="s">
        <v>540</v>
      </c>
      <c r="C4" s="154"/>
      <c r="D4" s="432">
        <v>1</v>
      </c>
      <c r="E4" s="432" t="s">
        <v>169</v>
      </c>
      <c r="F4" s="434">
        <f>H4</f>
        <v>791616.89999999991</v>
      </c>
      <c r="G4" s="436">
        <f>F4*D4</f>
        <v>791616.89999999991</v>
      </c>
      <c r="H4" s="48">
        <f>I4*'Prices without ATS'!$K$2</f>
        <v>791616.89999999991</v>
      </c>
      <c r="I4" s="88">
        <v>155219</v>
      </c>
      <c r="J4" s="88"/>
    </row>
    <row r="5" spans="1:10" x14ac:dyDescent="0.3">
      <c r="A5" s="45" t="s">
        <v>171</v>
      </c>
      <c r="B5" s="132" t="s">
        <v>541</v>
      </c>
      <c r="C5" s="135"/>
      <c r="D5" s="433"/>
      <c r="E5" s="433"/>
      <c r="F5" s="435"/>
      <c r="G5" s="437"/>
      <c r="I5" s="88"/>
      <c r="J5" s="88"/>
    </row>
    <row r="6" spans="1:10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x14ac:dyDescent="0.3">
      <c r="A9" s="45" t="s">
        <v>183</v>
      </c>
      <c r="B9" s="156" t="s">
        <v>533</v>
      </c>
      <c r="C9" s="157" t="s">
        <v>188</v>
      </c>
      <c r="D9" s="158">
        <v>2</v>
      </c>
      <c r="E9" s="158" t="s">
        <v>169</v>
      </c>
      <c r="F9" s="159">
        <v>1298.8800000000001</v>
      </c>
      <c r="G9" s="164">
        <f t="shared" si="0"/>
        <v>2597.7600000000002</v>
      </c>
    </row>
    <row r="10" spans="1:10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4849.46</v>
      </c>
      <c r="G10" s="164">
        <f t="shared" si="0"/>
        <v>4849.46</v>
      </c>
    </row>
    <row r="11" spans="1:10" x14ac:dyDescent="0.3">
      <c r="A11" s="45" t="s">
        <v>189</v>
      </c>
      <c r="B11" s="156" t="s">
        <v>534</v>
      </c>
      <c r="C11" s="157" t="s">
        <v>535</v>
      </c>
      <c r="D11" s="158">
        <v>10</v>
      </c>
      <c r="E11" s="158" t="s">
        <v>169</v>
      </c>
      <c r="F11" s="159">
        <v>90</v>
      </c>
      <c r="G11" s="164">
        <f t="shared" si="0"/>
        <v>900</v>
      </c>
    </row>
    <row r="12" spans="1:10" x14ac:dyDescent="0.3">
      <c r="A12" s="45" t="s">
        <v>192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4363</v>
      </c>
      <c r="G12" s="164">
        <f t="shared" si="0"/>
        <v>4363</v>
      </c>
    </row>
    <row r="13" spans="1:10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x14ac:dyDescent="0.3">
      <c r="A14" s="45" t="s">
        <v>197</v>
      </c>
      <c r="B14" s="161" t="s">
        <v>542</v>
      </c>
      <c r="C14" s="157" t="s">
        <v>188</v>
      </c>
      <c r="D14" s="163">
        <v>3</v>
      </c>
      <c r="E14" s="163" t="s">
        <v>169</v>
      </c>
      <c r="F14" s="159">
        <v>127</v>
      </c>
      <c r="G14" s="164">
        <f t="shared" si="0"/>
        <v>381</v>
      </c>
    </row>
    <row r="15" spans="1:10" x14ac:dyDescent="0.3">
      <c r="A15" s="45" t="s">
        <v>201</v>
      </c>
      <c r="B15" s="161" t="s">
        <v>543</v>
      </c>
      <c r="C15" s="157" t="s">
        <v>188</v>
      </c>
      <c r="D15" s="163">
        <v>1</v>
      </c>
      <c r="E15" s="163" t="s">
        <v>169</v>
      </c>
      <c r="F15" s="159">
        <v>22100</v>
      </c>
      <c r="G15" s="164">
        <f t="shared" si="0"/>
        <v>22100</v>
      </c>
    </row>
    <row r="16" spans="1:10" x14ac:dyDescent="0.3">
      <c r="A16" s="45" t="s">
        <v>204</v>
      </c>
      <c r="B16" s="161" t="s">
        <v>419</v>
      </c>
      <c r="C16" s="157" t="s">
        <v>420</v>
      </c>
      <c r="D16" s="163" t="s">
        <v>536</v>
      </c>
      <c r="E16" s="165" t="s">
        <v>200</v>
      </c>
      <c r="F16" s="159">
        <v>62.26</v>
      </c>
      <c r="G16" s="164">
        <f t="shared" si="0"/>
        <v>1743.28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3749.15</v>
      </c>
      <c r="G22" s="170">
        <f>D22*F22</f>
        <v>3749.15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39580.845000000001</v>
      </c>
      <c r="G23" s="68">
        <f>F23*D23</f>
        <v>39580.845000000001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5500/1</f>
        <v>5500</v>
      </c>
      <c r="G24" s="68">
        <f>F24*D24</f>
        <v>5500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27706.591499999999</v>
      </c>
      <c r="G25" s="68">
        <f>F25*D25</f>
        <v>27706.591499999999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3000/1</f>
        <v>3000</v>
      </c>
      <c r="G26" s="72">
        <f>F26*D26</f>
        <v>3000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913672.83792857139</v>
      </c>
    </row>
    <row r="29" spans="1:7" x14ac:dyDescent="0.3">
      <c r="A29" t="s">
        <v>259</v>
      </c>
      <c r="B29" s="4">
        <v>43450</v>
      </c>
    </row>
    <row r="35" spans="1:6" s="151" customFormat="1" x14ac:dyDescent="0.3">
      <c r="A35" s="34"/>
      <c r="B35" s="34"/>
      <c r="C35" s="34"/>
      <c r="D35" s="34"/>
      <c r="E35" s="34"/>
      <c r="F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15" style="34" customWidth="1"/>
    <col min="10" max="16384" width="9.109375" style="34"/>
  </cols>
  <sheetData>
    <row r="1" spans="1:9" ht="15.6" thickTop="1" thickBot="1" x14ac:dyDescent="0.35">
      <c r="A1" s="422" t="s">
        <v>544</v>
      </c>
      <c r="B1" s="422"/>
      <c r="C1" s="422"/>
      <c r="D1" s="422"/>
      <c r="E1" s="422"/>
      <c r="F1" s="422"/>
      <c r="G1" s="422"/>
    </row>
    <row r="2" spans="1:9" ht="15.6" thickTop="1" thickBot="1" x14ac:dyDescent="0.35"/>
    <row r="3" spans="1:9" ht="16.2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</row>
    <row r="4" spans="1:9" x14ac:dyDescent="0.3">
      <c r="A4" s="38" t="s">
        <v>167</v>
      </c>
      <c r="B4" s="130" t="s">
        <v>545</v>
      </c>
      <c r="C4" s="154"/>
      <c r="D4" s="432">
        <v>1</v>
      </c>
      <c r="E4" s="432" t="s">
        <v>169</v>
      </c>
      <c r="F4" s="434">
        <f>H4</f>
        <v>815632.79999999993</v>
      </c>
      <c r="G4" s="436">
        <f>F4*D4</f>
        <v>815632.79999999993</v>
      </c>
      <c r="H4" s="48">
        <f>I4*'Prices without ATS'!$K$2</f>
        <v>815632.79999999993</v>
      </c>
      <c r="I4" s="88">
        <v>159928</v>
      </c>
    </row>
    <row r="5" spans="1:9" x14ac:dyDescent="0.3">
      <c r="A5" s="45" t="s">
        <v>171</v>
      </c>
      <c r="B5" s="132" t="s">
        <v>541</v>
      </c>
      <c r="C5" s="135"/>
      <c r="D5" s="433"/>
      <c r="E5" s="433"/>
      <c r="F5" s="435"/>
      <c r="G5" s="437"/>
      <c r="I5" s="88"/>
    </row>
    <row r="6" spans="1:9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9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9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9" x14ac:dyDescent="0.3">
      <c r="A9" s="45" t="s">
        <v>183</v>
      </c>
      <c r="B9" s="156" t="s">
        <v>533</v>
      </c>
      <c r="C9" s="157" t="s">
        <v>188</v>
      </c>
      <c r="D9" s="158">
        <v>2</v>
      </c>
      <c r="E9" s="158" t="s">
        <v>169</v>
      </c>
      <c r="F9" s="159">
        <v>1298.8800000000001</v>
      </c>
      <c r="G9" s="164">
        <f t="shared" si="0"/>
        <v>2597.7600000000002</v>
      </c>
    </row>
    <row r="10" spans="1:9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4849.46</v>
      </c>
      <c r="G10" s="164">
        <f t="shared" si="0"/>
        <v>4849.46</v>
      </c>
    </row>
    <row r="11" spans="1:9" x14ac:dyDescent="0.3">
      <c r="A11" s="45" t="s">
        <v>189</v>
      </c>
      <c r="B11" s="156" t="s">
        <v>534</v>
      </c>
      <c r="C11" s="157" t="s">
        <v>535</v>
      </c>
      <c r="D11" s="158">
        <v>10</v>
      </c>
      <c r="E11" s="158" t="s">
        <v>169</v>
      </c>
      <c r="F11" s="159">
        <v>90</v>
      </c>
      <c r="G11" s="164">
        <f t="shared" si="0"/>
        <v>900</v>
      </c>
    </row>
    <row r="12" spans="1:9" x14ac:dyDescent="0.3">
      <c r="A12" s="45" t="s">
        <v>192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4363</v>
      </c>
      <c r="G12" s="164">
        <f t="shared" si="0"/>
        <v>4363</v>
      </c>
    </row>
    <row r="13" spans="1:9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9" x14ac:dyDescent="0.3">
      <c r="A14" s="45" t="s">
        <v>197</v>
      </c>
      <c r="B14" s="161" t="s">
        <v>542</v>
      </c>
      <c r="C14" s="157" t="s">
        <v>188</v>
      </c>
      <c r="D14" s="163">
        <v>3</v>
      </c>
      <c r="E14" s="163" t="s">
        <v>169</v>
      </c>
      <c r="F14" s="159">
        <v>127</v>
      </c>
      <c r="G14" s="164">
        <f t="shared" si="0"/>
        <v>381</v>
      </c>
    </row>
    <row r="15" spans="1:9" x14ac:dyDescent="0.3">
      <c r="A15" s="45" t="s">
        <v>201</v>
      </c>
      <c r="B15" s="161" t="s">
        <v>543</v>
      </c>
      <c r="C15" s="157" t="s">
        <v>188</v>
      </c>
      <c r="D15" s="163">
        <v>1</v>
      </c>
      <c r="E15" s="163" t="s">
        <v>169</v>
      </c>
      <c r="F15" s="159">
        <v>22100</v>
      </c>
      <c r="G15" s="164">
        <f t="shared" si="0"/>
        <v>22100</v>
      </c>
    </row>
    <row r="16" spans="1:9" x14ac:dyDescent="0.3">
      <c r="A16" s="45" t="s">
        <v>204</v>
      </c>
      <c r="B16" s="161" t="s">
        <v>419</v>
      </c>
      <c r="C16" s="157" t="s">
        <v>420</v>
      </c>
      <c r="D16" s="163" t="s">
        <v>536</v>
      </c>
      <c r="E16" s="165" t="s">
        <v>200</v>
      </c>
      <c r="F16" s="159">
        <v>62.26</v>
      </c>
      <c r="G16" s="164">
        <f t="shared" si="0"/>
        <v>1743.28</v>
      </c>
    </row>
    <row r="17" spans="1:7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3749.15</v>
      </c>
      <c r="G22" s="170">
        <f>D22*F22</f>
        <v>3749.15</v>
      </c>
    </row>
    <row r="23" spans="1:7" ht="15.6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40781.64</v>
      </c>
      <c r="G23" s="68">
        <f>F23*D23</f>
        <v>40781.64</v>
      </c>
    </row>
    <row r="24" spans="1:7" ht="15.6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5500/1</f>
        <v>5500</v>
      </c>
      <c r="G24" s="68">
        <f>F24*D24</f>
        <v>5500</v>
      </c>
    </row>
    <row r="25" spans="1:7" ht="15.6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28547.148000000001</v>
      </c>
      <c r="G25" s="68">
        <f>F25*D25</f>
        <v>28547.148000000001</v>
      </c>
    </row>
    <row r="26" spans="1:7" ht="16.2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3000/1</f>
        <v>3000</v>
      </c>
      <c r="G26" s="72">
        <f>F26*D26</f>
        <v>3000</v>
      </c>
    </row>
    <row r="27" spans="1:7" ht="15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939730.08942857152</v>
      </c>
    </row>
    <row r="29" spans="1:7" x14ac:dyDescent="0.3">
      <c r="A29" t="s">
        <v>259</v>
      </c>
      <c r="B29" s="4">
        <v>43450</v>
      </c>
    </row>
    <row r="35" spans="1:5" s="151" customFormat="1" x14ac:dyDescent="0.3">
      <c r="A35" s="34"/>
      <c r="B35" s="34"/>
      <c r="C35" s="34"/>
      <c r="D35" s="34"/>
      <c r="E35" s="34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65" orientation="landscape" copies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8" width="9.44140625" style="34" bestFit="1" customWidth="1"/>
    <col min="9" max="9" width="9.5546875" style="34" bestFit="1" customWidth="1"/>
    <col min="10" max="16384" width="9.109375" style="34"/>
  </cols>
  <sheetData>
    <row r="1" spans="1:10" ht="18" customHeight="1" thickTop="1" thickBot="1" x14ac:dyDescent="0.35">
      <c r="A1" s="422" t="s">
        <v>546</v>
      </c>
      <c r="B1" s="422"/>
      <c r="C1" s="422"/>
      <c r="D1" s="422"/>
      <c r="E1" s="422"/>
      <c r="F1" s="422"/>
      <c r="G1" s="422"/>
    </row>
    <row r="2" spans="1:10" ht="18" customHeight="1" thickTop="1" thickBot="1" x14ac:dyDescent="0.35"/>
    <row r="3" spans="1:10" ht="18" customHeight="1" thickBot="1" x14ac:dyDescent="0.35">
      <c r="A3" s="127" t="s">
        <v>160</v>
      </c>
      <c r="B3" s="128" t="s">
        <v>161</v>
      </c>
      <c r="C3" s="129" t="s">
        <v>162</v>
      </c>
      <c r="D3" s="129" t="s">
        <v>163</v>
      </c>
      <c r="E3" s="129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</row>
    <row r="4" spans="1:10" ht="18" customHeight="1" x14ac:dyDescent="0.3">
      <c r="A4" s="38" t="s">
        <v>167</v>
      </c>
      <c r="B4" s="130" t="s">
        <v>547</v>
      </c>
      <c r="C4" s="154"/>
      <c r="D4" s="432">
        <v>1</v>
      </c>
      <c r="E4" s="432" t="s">
        <v>169</v>
      </c>
      <c r="F4" s="434">
        <f>H4</f>
        <v>843274.79999999993</v>
      </c>
      <c r="G4" s="436">
        <f>F4*D4</f>
        <v>843274.79999999993</v>
      </c>
      <c r="H4" s="48">
        <f>I4*'Prices without ATS'!$K$2</f>
        <v>843274.79999999993</v>
      </c>
      <c r="I4" s="88">
        <v>165348</v>
      </c>
      <c r="J4" s="88"/>
    </row>
    <row r="5" spans="1:10" ht="18" customHeight="1" x14ac:dyDescent="0.3">
      <c r="A5" s="45" t="s">
        <v>171</v>
      </c>
      <c r="B5" s="132" t="s">
        <v>548</v>
      </c>
      <c r="C5" s="135"/>
      <c r="D5" s="433"/>
      <c r="E5" s="433"/>
      <c r="F5" s="435"/>
      <c r="G5" s="437"/>
      <c r="I5" s="88"/>
      <c r="J5" s="88"/>
    </row>
    <row r="6" spans="1:10" ht="18" customHeight="1" x14ac:dyDescent="0.3">
      <c r="A6" s="45" t="s">
        <v>173</v>
      </c>
      <c r="B6" s="132" t="s">
        <v>174</v>
      </c>
      <c r="C6" s="98" t="s">
        <v>175</v>
      </c>
      <c r="D6" s="99">
        <v>177</v>
      </c>
      <c r="E6" s="99" t="s">
        <v>176</v>
      </c>
      <c r="F6" s="100">
        <f>6.5/1.05</f>
        <v>6.1904761904761898</v>
      </c>
      <c r="G6" s="101">
        <f t="shared" ref="G6:G21" si="0">D6*F6</f>
        <v>1095.7142857142856</v>
      </c>
    </row>
    <row r="7" spans="1:10" ht="18" customHeight="1" x14ac:dyDescent="0.3">
      <c r="A7" s="45" t="s">
        <v>177</v>
      </c>
      <c r="B7" s="132" t="s">
        <v>315</v>
      </c>
      <c r="C7" s="98" t="s">
        <v>179</v>
      </c>
      <c r="D7" s="99">
        <v>100</v>
      </c>
      <c r="E7" s="99" t="s">
        <v>176</v>
      </c>
      <c r="F7" s="100">
        <f>0.9/1.05</f>
        <v>0.8571428571428571</v>
      </c>
      <c r="G7" s="101">
        <f t="shared" si="0"/>
        <v>85.714285714285708</v>
      </c>
    </row>
    <row r="8" spans="1:10" ht="18" customHeight="1" x14ac:dyDescent="0.3">
      <c r="A8" s="45" t="s">
        <v>180</v>
      </c>
      <c r="B8" s="132" t="s">
        <v>316</v>
      </c>
      <c r="C8" s="102" t="s">
        <v>182</v>
      </c>
      <c r="D8" s="99">
        <v>96</v>
      </c>
      <c r="E8" s="99" t="s">
        <v>176</v>
      </c>
      <c r="F8" s="100">
        <f>2.9/1.05</f>
        <v>2.7619047619047619</v>
      </c>
      <c r="G8" s="101">
        <f t="shared" si="0"/>
        <v>265.14285714285711</v>
      </c>
    </row>
    <row r="9" spans="1:10" ht="18" customHeight="1" x14ac:dyDescent="0.3">
      <c r="A9" s="45" t="s">
        <v>183</v>
      </c>
      <c r="B9" s="156" t="s">
        <v>533</v>
      </c>
      <c r="C9" s="157" t="s">
        <v>188</v>
      </c>
      <c r="D9" s="158">
        <v>2</v>
      </c>
      <c r="E9" s="158" t="s">
        <v>169</v>
      </c>
      <c r="F9" s="159">
        <v>1298.8800000000001</v>
      </c>
      <c r="G9" s="164">
        <f t="shared" si="0"/>
        <v>2597.7600000000002</v>
      </c>
    </row>
    <row r="10" spans="1:10" ht="18" customHeight="1" x14ac:dyDescent="0.3">
      <c r="A10" s="45" t="s">
        <v>186</v>
      </c>
      <c r="B10" s="156" t="s">
        <v>374</v>
      </c>
      <c r="C10" s="157" t="s">
        <v>188</v>
      </c>
      <c r="D10" s="158">
        <v>1</v>
      </c>
      <c r="E10" s="158" t="s">
        <v>169</v>
      </c>
      <c r="F10" s="159">
        <v>4849.46</v>
      </c>
      <c r="G10" s="164">
        <f t="shared" si="0"/>
        <v>4849.46</v>
      </c>
    </row>
    <row r="11" spans="1:10" ht="18" customHeight="1" x14ac:dyDescent="0.3">
      <c r="A11" s="45" t="s">
        <v>189</v>
      </c>
      <c r="B11" s="156" t="s">
        <v>534</v>
      </c>
      <c r="C11" s="157" t="s">
        <v>535</v>
      </c>
      <c r="D11" s="158">
        <v>10</v>
      </c>
      <c r="E11" s="158" t="s">
        <v>169</v>
      </c>
      <c r="F11" s="159">
        <v>90</v>
      </c>
      <c r="G11" s="164">
        <f t="shared" si="0"/>
        <v>900</v>
      </c>
    </row>
    <row r="12" spans="1:10" ht="18" customHeight="1" x14ac:dyDescent="0.3">
      <c r="A12" s="45" t="s">
        <v>192</v>
      </c>
      <c r="B12" s="161" t="s">
        <v>461</v>
      </c>
      <c r="C12" s="162" t="s">
        <v>462</v>
      </c>
      <c r="D12" s="158">
        <v>1</v>
      </c>
      <c r="E12" s="158" t="s">
        <v>169</v>
      </c>
      <c r="F12" s="159">
        <v>4363</v>
      </c>
      <c r="G12" s="164">
        <f t="shared" si="0"/>
        <v>4363</v>
      </c>
    </row>
    <row r="13" spans="1:10" ht="18" customHeight="1" x14ac:dyDescent="0.3">
      <c r="A13" s="45" t="s">
        <v>195</v>
      </c>
      <c r="B13" s="161" t="s">
        <v>290</v>
      </c>
      <c r="C13" s="162" t="s">
        <v>188</v>
      </c>
      <c r="D13" s="158">
        <v>1</v>
      </c>
      <c r="E13" s="158" t="s">
        <v>169</v>
      </c>
      <c r="F13" s="159">
        <v>1892.62</v>
      </c>
      <c r="G13" s="164">
        <f t="shared" si="0"/>
        <v>1892.62</v>
      </c>
    </row>
    <row r="14" spans="1:10" ht="18" customHeight="1" x14ac:dyDescent="0.3">
      <c r="A14" s="45" t="s">
        <v>197</v>
      </c>
      <c r="B14" s="161" t="s">
        <v>542</v>
      </c>
      <c r="C14" s="157" t="s">
        <v>188</v>
      </c>
      <c r="D14" s="163">
        <v>3</v>
      </c>
      <c r="E14" s="163" t="s">
        <v>169</v>
      </c>
      <c r="F14" s="159">
        <v>127</v>
      </c>
      <c r="G14" s="164">
        <f t="shared" si="0"/>
        <v>381</v>
      </c>
    </row>
    <row r="15" spans="1:10" ht="18" customHeight="1" x14ac:dyDescent="0.3">
      <c r="A15" s="45" t="s">
        <v>201</v>
      </c>
      <c r="B15" s="161" t="s">
        <v>543</v>
      </c>
      <c r="C15" s="157" t="s">
        <v>188</v>
      </c>
      <c r="D15" s="163">
        <v>1</v>
      </c>
      <c r="E15" s="163" t="s">
        <v>169</v>
      </c>
      <c r="F15" s="159">
        <v>22100</v>
      </c>
      <c r="G15" s="164">
        <f t="shared" si="0"/>
        <v>22100</v>
      </c>
    </row>
    <row r="16" spans="1:10" ht="18" customHeight="1" x14ac:dyDescent="0.3">
      <c r="A16" s="45" t="s">
        <v>204</v>
      </c>
      <c r="B16" s="161" t="s">
        <v>419</v>
      </c>
      <c r="C16" s="157" t="s">
        <v>420</v>
      </c>
      <c r="D16" s="163" t="s">
        <v>536</v>
      </c>
      <c r="E16" s="165" t="s">
        <v>200</v>
      </c>
      <c r="F16" s="159">
        <v>62.26</v>
      </c>
      <c r="G16" s="164">
        <f t="shared" si="0"/>
        <v>1743.28</v>
      </c>
    </row>
    <row r="17" spans="1:7" ht="18" customHeight="1" x14ac:dyDescent="0.3">
      <c r="A17" s="45" t="s">
        <v>207</v>
      </c>
      <c r="B17" s="161" t="s">
        <v>293</v>
      </c>
      <c r="C17" s="157" t="s">
        <v>294</v>
      </c>
      <c r="D17" s="158">
        <v>6</v>
      </c>
      <c r="E17" s="158" t="s">
        <v>169</v>
      </c>
      <c r="F17" s="159">
        <v>7</v>
      </c>
      <c r="G17" s="164">
        <f t="shared" si="0"/>
        <v>42</v>
      </c>
    </row>
    <row r="18" spans="1:7" ht="18" customHeight="1" x14ac:dyDescent="0.3">
      <c r="A18" s="45" t="s">
        <v>210</v>
      </c>
      <c r="B18" s="161" t="s">
        <v>467</v>
      </c>
      <c r="C18" s="157" t="s">
        <v>468</v>
      </c>
      <c r="D18" s="165" t="s">
        <v>177</v>
      </c>
      <c r="E18" s="165" t="s">
        <v>169</v>
      </c>
      <c r="F18" s="159">
        <f>532.35/1.05</f>
        <v>507</v>
      </c>
      <c r="G18" s="164">
        <f t="shared" si="0"/>
        <v>2028</v>
      </c>
    </row>
    <row r="19" spans="1:7" ht="18" customHeight="1" x14ac:dyDescent="0.3">
      <c r="A19" s="45" t="s">
        <v>213</v>
      </c>
      <c r="B19" s="156" t="s">
        <v>202</v>
      </c>
      <c r="C19" s="157" t="s">
        <v>203</v>
      </c>
      <c r="D19" s="163" t="s">
        <v>183</v>
      </c>
      <c r="E19" s="158" t="s">
        <v>200</v>
      </c>
      <c r="F19" s="159">
        <v>13.8</v>
      </c>
      <c r="G19" s="164">
        <f t="shared" si="0"/>
        <v>82.800000000000011</v>
      </c>
    </row>
    <row r="20" spans="1:7" ht="18" customHeight="1" x14ac:dyDescent="0.3">
      <c r="A20" s="45" t="s">
        <v>216</v>
      </c>
      <c r="B20" s="166" t="s">
        <v>198</v>
      </c>
      <c r="C20" s="167" t="s">
        <v>199</v>
      </c>
      <c r="D20" s="163" t="s">
        <v>183</v>
      </c>
      <c r="E20" s="165" t="s">
        <v>200</v>
      </c>
      <c r="F20" s="159">
        <v>13.81</v>
      </c>
      <c r="G20" s="164">
        <f t="shared" si="0"/>
        <v>82.86</v>
      </c>
    </row>
    <row r="21" spans="1:7" ht="18" customHeight="1" x14ac:dyDescent="0.3">
      <c r="A21" s="53" t="s">
        <v>219</v>
      </c>
      <c r="B21" s="161" t="s">
        <v>366</v>
      </c>
      <c r="C21" s="162" t="s">
        <v>367</v>
      </c>
      <c r="D21" s="163">
        <v>0.8</v>
      </c>
      <c r="E21" s="163" t="s">
        <v>200</v>
      </c>
      <c r="F21" s="168">
        <v>12.5</v>
      </c>
      <c r="G21" s="164">
        <f t="shared" si="0"/>
        <v>10</v>
      </c>
    </row>
    <row r="22" spans="1:7" ht="18" customHeight="1" x14ac:dyDescent="0.3">
      <c r="A22" s="45" t="s">
        <v>221</v>
      </c>
      <c r="B22" s="169" t="s">
        <v>220</v>
      </c>
      <c r="C22" s="144" t="s">
        <v>188</v>
      </c>
      <c r="D22" s="145">
        <v>1</v>
      </c>
      <c r="E22" s="146" t="s">
        <v>169</v>
      </c>
      <c r="F22" s="147">
        <v>3749.15</v>
      </c>
      <c r="G22" s="170">
        <f>D22*F22</f>
        <v>3749.15</v>
      </c>
    </row>
    <row r="23" spans="1:7" ht="18" customHeight="1" x14ac:dyDescent="0.3">
      <c r="A23" s="53" t="s">
        <v>223</v>
      </c>
      <c r="B23" s="69" t="s">
        <v>222</v>
      </c>
      <c r="C23" s="47" t="s">
        <v>188</v>
      </c>
      <c r="D23" s="48">
        <v>1</v>
      </c>
      <c r="E23" s="67"/>
      <c r="F23" s="67">
        <f>H4*0.05</f>
        <v>42163.74</v>
      </c>
      <c r="G23" s="68">
        <f>F23*D23</f>
        <v>42163.74</v>
      </c>
    </row>
    <row r="24" spans="1:7" ht="18" customHeight="1" x14ac:dyDescent="0.3">
      <c r="A24" s="45" t="s">
        <v>225</v>
      </c>
      <c r="B24" s="64" t="s">
        <v>224</v>
      </c>
      <c r="C24" s="65" t="s">
        <v>188</v>
      </c>
      <c r="D24" s="66">
        <v>1</v>
      </c>
      <c r="E24" s="67"/>
      <c r="F24" s="67">
        <f>5500/1</f>
        <v>5500</v>
      </c>
      <c r="G24" s="68">
        <f>F24*D24</f>
        <v>5500</v>
      </c>
    </row>
    <row r="25" spans="1:7" ht="18" customHeight="1" x14ac:dyDescent="0.3">
      <c r="A25" s="53" t="s">
        <v>227</v>
      </c>
      <c r="B25" s="69" t="s">
        <v>226</v>
      </c>
      <c r="C25" s="47" t="s">
        <v>188</v>
      </c>
      <c r="D25" s="48">
        <v>1</v>
      </c>
      <c r="E25" s="67"/>
      <c r="F25" s="67">
        <f>H4*0.035</f>
        <v>29514.617999999999</v>
      </c>
      <c r="G25" s="68">
        <f>F25*D25</f>
        <v>29514.617999999999</v>
      </c>
    </row>
    <row r="26" spans="1:7" ht="18" customHeight="1" thickBot="1" x14ac:dyDescent="0.35">
      <c r="A26" s="171" t="s">
        <v>303</v>
      </c>
      <c r="B26" s="70" t="s">
        <v>228</v>
      </c>
      <c r="C26" s="47" t="s">
        <v>188</v>
      </c>
      <c r="D26" s="48">
        <v>1</v>
      </c>
      <c r="E26" s="71"/>
      <c r="F26" s="71">
        <f>3000/1</f>
        <v>3000</v>
      </c>
      <c r="G26" s="72">
        <f>F26*D26</f>
        <v>3000</v>
      </c>
    </row>
    <row r="27" spans="1:7" ht="18" customHeight="1" thickBot="1" x14ac:dyDescent="0.35">
      <c r="A27" s="426" t="s">
        <v>229</v>
      </c>
      <c r="B27" s="427"/>
      <c r="C27" s="427"/>
      <c r="D27" s="427"/>
      <c r="E27" s="427"/>
      <c r="F27" s="428"/>
      <c r="G27" s="76">
        <f>SUM(G4:G26)</f>
        <v>969721.65942857147</v>
      </c>
    </row>
    <row r="28" spans="1:7" ht="18" customHeight="1" x14ac:dyDescent="0.3"/>
    <row r="29" spans="1:7" ht="18" customHeight="1" x14ac:dyDescent="0.3">
      <c r="A29" t="s">
        <v>259</v>
      </c>
      <c r="B29" s="4">
        <v>43450</v>
      </c>
    </row>
    <row r="30" spans="1:7" ht="18" customHeight="1" x14ac:dyDescent="0.3"/>
    <row r="31" spans="1:7" ht="18" customHeight="1" x14ac:dyDescent="0.3"/>
    <row r="32" spans="1:7" ht="18" customHeight="1" x14ac:dyDescent="0.3"/>
    <row r="33" spans="1:5" ht="18" customHeight="1" x14ac:dyDescent="0.3"/>
    <row r="35" spans="1:5" s="151" customFormat="1" x14ac:dyDescent="0.3"/>
    <row r="36" spans="1:5" x14ac:dyDescent="0.3">
      <c r="A36" s="151"/>
      <c r="B36" s="151"/>
      <c r="C36" s="151"/>
      <c r="D36" s="151"/>
      <c r="E36" s="151"/>
    </row>
    <row r="37" spans="1:5" x14ac:dyDescent="0.3">
      <c r="A37" s="151"/>
      <c r="B37" s="151"/>
      <c r="C37" s="151"/>
      <c r="D37" s="151"/>
      <c r="E37" s="151"/>
    </row>
    <row r="38" spans="1:5" x14ac:dyDescent="0.3">
      <c r="A38" s="151"/>
      <c r="B38" s="151"/>
      <c r="C38" s="151"/>
      <c r="D38" s="151"/>
      <c r="E38" s="151"/>
    </row>
    <row r="39" spans="1:5" x14ac:dyDescent="0.3">
      <c r="A39" s="151"/>
      <c r="B39" s="151"/>
      <c r="C39" s="151"/>
      <c r="D39" s="151"/>
      <c r="E39" s="151"/>
    </row>
  </sheetData>
  <mergeCells count="6">
    <mergeCell ref="A27:F27"/>
    <mergeCell ref="A1:G1"/>
    <mergeCell ref="D4:D5"/>
    <mergeCell ref="E4:E5"/>
    <mergeCell ref="F4:F5"/>
    <mergeCell ref="G4:G5"/>
  </mergeCells>
  <pageMargins left="0.7" right="0.7" top="0.75" bottom="0.75" header="0.3" footer="0.3"/>
  <pageSetup scale="76" orientation="landscape" copies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5" sqref="I5"/>
    </sheetView>
  </sheetViews>
  <sheetFormatPr defaultRowHeight="14.4" x14ac:dyDescent="0.3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5" sqref="I5"/>
    </sheetView>
  </sheetViews>
  <sheetFormatPr defaultRowHeight="14.4" x14ac:dyDescent="0.3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7"/>
  <sheetViews>
    <sheetView zoomScaleNormal="100" workbookViewId="0">
      <selection activeCell="B10" sqref="B10"/>
    </sheetView>
  </sheetViews>
  <sheetFormatPr defaultRowHeight="14.4" x14ac:dyDescent="0.3"/>
  <cols>
    <col min="1" max="1" width="3" bestFit="1" customWidth="1"/>
    <col min="2" max="2" width="33.109375" bestFit="1" customWidth="1"/>
    <col min="3" max="3" width="10.6640625" bestFit="1" customWidth="1"/>
    <col min="4" max="4" width="6" bestFit="1" customWidth="1"/>
    <col min="5" max="5" width="7.5546875" bestFit="1" customWidth="1"/>
    <col min="6" max="6" width="11.5546875" hidden="1" customWidth="1"/>
    <col min="7" max="7" width="12" hidden="1" customWidth="1"/>
  </cols>
  <sheetData>
    <row r="1" spans="1:8" s="34" customFormat="1" ht="18" customHeight="1" thickBot="1" x14ac:dyDescent="0.35">
      <c r="A1" s="35" t="s">
        <v>160</v>
      </c>
      <c r="B1" s="36" t="s">
        <v>161</v>
      </c>
      <c r="C1" s="36" t="s">
        <v>162</v>
      </c>
      <c r="D1" s="36" t="s">
        <v>163</v>
      </c>
      <c r="E1" s="36" t="s">
        <v>164</v>
      </c>
      <c r="F1" s="36" t="s">
        <v>165</v>
      </c>
      <c r="G1" s="37" t="s">
        <v>166</v>
      </c>
    </row>
    <row r="2" spans="1:8" s="34" customFormat="1" ht="18" customHeight="1" thickBot="1" x14ac:dyDescent="0.35">
      <c r="A2" s="38" t="s">
        <v>167</v>
      </c>
      <c r="B2" s="39" t="s">
        <v>168</v>
      </c>
      <c r="C2" s="40"/>
      <c r="D2" s="41">
        <v>1</v>
      </c>
      <c r="E2" s="42" t="s">
        <v>169</v>
      </c>
      <c r="F2" s="41" t="s">
        <v>170</v>
      </c>
      <c r="G2" s="43" t="e">
        <f>D2*F2</f>
        <v>#VALUE!</v>
      </c>
      <c r="H2" s="44" t="e">
        <f>G2+G3</f>
        <v>#VALUE!</v>
      </c>
    </row>
    <row r="3" spans="1:8" s="34" customFormat="1" ht="18" customHeight="1" x14ac:dyDescent="0.3">
      <c r="A3" s="45" t="s">
        <v>171</v>
      </c>
      <c r="B3" s="46" t="s">
        <v>172</v>
      </c>
      <c r="C3" s="47"/>
      <c r="D3" s="48">
        <v>1</v>
      </c>
      <c r="E3" s="49" t="s">
        <v>169</v>
      </c>
      <c r="F3" s="41" t="s">
        <v>170</v>
      </c>
      <c r="G3" s="50" t="e">
        <f t="shared" ref="G3:G17" si="0">D3*F3</f>
        <v>#VALUE!</v>
      </c>
    </row>
    <row r="4" spans="1:8" s="34" customFormat="1" ht="18" customHeight="1" x14ac:dyDescent="0.3">
      <c r="A4" s="45" t="s">
        <v>173</v>
      </c>
      <c r="B4" s="46" t="s">
        <v>174</v>
      </c>
      <c r="C4" s="47" t="s">
        <v>175</v>
      </c>
      <c r="D4" s="49">
        <v>3.05</v>
      </c>
      <c r="E4" s="49" t="s">
        <v>176</v>
      </c>
      <c r="F4" s="49">
        <f>6.5/1.05</f>
        <v>6.1904761904761898</v>
      </c>
      <c r="G4" s="51">
        <f t="shared" si="0"/>
        <v>18.880952380952376</v>
      </c>
    </row>
    <row r="5" spans="1:8" s="34" customFormat="1" ht="18" customHeight="1" x14ac:dyDescent="0.3">
      <c r="A5" s="45" t="s">
        <v>177</v>
      </c>
      <c r="B5" s="46" t="s">
        <v>178</v>
      </c>
      <c r="C5" s="47" t="s">
        <v>179</v>
      </c>
      <c r="D5" s="49">
        <v>1</v>
      </c>
      <c r="E5" s="49" t="s">
        <v>176</v>
      </c>
      <c r="F5" s="49">
        <f>0.9/1.05</f>
        <v>0.8571428571428571</v>
      </c>
      <c r="G5" s="51">
        <f t="shared" si="0"/>
        <v>0.8571428571428571</v>
      </c>
    </row>
    <row r="6" spans="1:8" s="34" customFormat="1" ht="18" customHeight="1" x14ac:dyDescent="0.3">
      <c r="A6" s="45" t="s">
        <v>180</v>
      </c>
      <c r="B6" s="46" t="s">
        <v>181</v>
      </c>
      <c r="C6" s="47" t="s">
        <v>182</v>
      </c>
      <c r="D6" s="49">
        <v>2</v>
      </c>
      <c r="E6" s="49" t="s">
        <v>176</v>
      </c>
      <c r="F6" s="49">
        <f>2.9/1.05</f>
        <v>2.7619047619047619</v>
      </c>
      <c r="G6" s="51">
        <f t="shared" si="0"/>
        <v>5.5238095238095237</v>
      </c>
    </row>
    <row r="7" spans="1:8" s="34" customFormat="1" ht="18" customHeight="1" x14ac:dyDescent="0.3">
      <c r="A7" s="45" t="s">
        <v>183</v>
      </c>
      <c r="B7" s="46" t="s">
        <v>184</v>
      </c>
      <c r="C7" s="47" t="s">
        <v>185</v>
      </c>
      <c r="D7" s="48">
        <v>1</v>
      </c>
      <c r="E7" s="49" t="s">
        <v>169</v>
      </c>
      <c r="F7" s="48">
        <v>55.09</v>
      </c>
      <c r="G7" s="50">
        <f t="shared" si="0"/>
        <v>55.09</v>
      </c>
    </row>
    <row r="8" spans="1:8" s="34" customFormat="1" ht="18" customHeight="1" x14ac:dyDescent="0.3">
      <c r="A8" s="45" t="s">
        <v>186</v>
      </c>
      <c r="B8" s="46" t="s">
        <v>187</v>
      </c>
      <c r="C8" s="47" t="s">
        <v>188</v>
      </c>
      <c r="D8" s="48">
        <v>1</v>
      </c>
      <c r="E8" s="49" t="s">
        <v>169</v>
      </c>
      <c r="F8" s="48">
        <v>665.28</v>
      </c>
      <c r="G8" s="50">
        <f t="shared" si="0"/>
        <v>665.28</v>
      </c>
    </row>
    <row r="9" spans="1:8" s="34" customFormat="1" ht="18" customHeight="1" x14ac:dyDescent="0.3">
      <c r="A9" s="45" t="s">
        <v>189</v>
      </c>
      <c r="B9" s="46" t="s">
        <v>190</v>
      </c>
      <c r="C9" s="47" t="s">
        <v>191</v>
      </c>
      <c r="D9" s="48">
        <v>4</v>
      </c>
      <c r="E9" s="49" t="s">
        <v>169</v>
      </c>
      <c r="F9" s="48">
        <f>17.7/1.05</f>
        <v>16.857142857142854</v>
      </c>
      <c r="G9" s="50">
        <f t="shared" si="0"/>
        <v>67.428571428571416</v>
      </c>
    </row>
    <row r="10" spans="1:8" s="34" customFormat="1" ht="18" customHeight="1" x14ac:dyDescent="0.3">
      <c r="A10" s="45" t="s">
        <v>192</v>
      </c>
      <c r="B10" s="408" t="s">
        <v>193</v>
      </c>
      <c r="C10" s="47" t="s">
        <v>194</v>
      </c>
      <c r="D10" s="48">
        <v>1</v>
      </c>
      <c r="E10" s="49" t="s">
        <v>169</v>
      </c>
      <c r="F10" s="48">
        <v>814</v>
      </c>
      <c r="G10" s="50">
        <f t="shared" si="0"/>
        <v>814</v>
      </c>
    </row>
    <row r="11" spans="1:8" s="34" customFormat="1" ht="18" customHeight="1" x14ac:dyDescent="0.3">
      <c r="A11" s="45" t="s">
        <v>195</v>
      </c>
      <c r="B11" s="46" t="s">
        <v>196</v>
      </c>
      <c r="C11" s="47" t="s">
        <v>188</v>
      </c>
      <c r="D11" s="49">
        <v>1</v>
      </c>
      <c r="E11" s="49" t="s">
        <v>169</v>
      </c>
      <c r="F11" s="49">
        <v>91.42</v>
      </c>
      <c r="G11" s="50">
        <f t="shared" si="0"/>
        <v>91.42</v>
      </c>
    </row>
    <row r="12" spans="1:8" s="34" customFormat="1" ht="18" customHeight="1" x14ac:dyDescent="0.3">
      <c r="A12" s="45" t="s">
        <v>197</v>
      </c>
      <c r="B12" s="46" t="s">
        <v>198</v>
      </c>
      <c r="C12" s="47" t="s">
        <v>199</v>
      </c>
      <c r="D12" s="48">
        <v>0.8</v>
      </c>
      <c r="E12" s="49" t="s">
        <v>200</v>
      </c>
      <c r="F12" s="48">
        <v>13.8</v>
      </c>
      <c r="G12" s="50">
        <f t="shared" si="0"/>
        <v>11.040000000000001</v>
      </c>
    </row>
    <row r="13" spans="1:8" s="34" customFormat="1" ht="18" customHeight="1" x14ac:dyDescent="0.3">
      <c r="A13" s="45" t="s">
        <v>201</v>
      </c>
      <c r="B13" s="46" t="s">
        <v>202</v>
      </c>
      <c r="C13" s="47" t="s">
        <v>203</v>
      </c>
      <c r="D13" s="48">
        <v>0.8</v>
      </c>
      <c r="E13" s="49" t="s">
        <v>200</v>
      </c>
      <c r="F13" s="48">
        <v>13.81</v>
      </c>
      <c r="G13" s="50">
        <f t="shared" si="0"/>
        <v>11.048000000000002</v>
      </c>
    </row>
    <row r="14" spans="1:8" s="34" customFormat="1" ht="18" customHeight="1" x14ac:dyDescent="0.3">
      <c r="A14" s="45" t="s">
        <v>204</v>
      </c>
      <c r="B14" s="46" t="s">
        <v>205</v>
      </c>
      <c r="C14" s="47" t="s">
        <v>206</v>
      </c>
      <c r="D14" s="48">
        <v>0.3</v>
      </c>
      <c r="E14" s="49" t="s">
        <v>200</v>
      </c>
      <c r="F14" s="48">
        <v>3.42</v>
      </c>
      <c r="G14" s="50">
        <f t="shared" si="0"/>
        <v>1.026</v>
      </c>
    </row>
    <row r="15" spans="1:8" s="34" customFormat="1" ht="18" customHeight="1" x14ac:dyDescent="0.3">
      <c r="A15" s="45" t="s">
        <v>207</v>
      </c>
      <c r="B15" s="46" t="s">
        <v>208</v>
      </c>
      <c r="C15" s="47" t="s">
        <v>209</v>
      </c>
      <c r="D15" s="48">
        <v>1</v>
      </c>
      <c r="E15" s="49" t="s">
        <v>169</v>
      </c>
      <c r="F15" s="48">
        <f>141.75/1.05</f>
        <v>135</v>
      </c>
      <c r="G15" s="50">
        <f t="shared" si="0"/>
        <v>135</v>
      </c>
    </row>
    <row r="16" spans="1:8" s="34" customFormat="1" ht="18" customHeight="1" x14ac:dyDescent="0.3">
      <c r="A16" s="45" t="s">
        <v>210</v>
      </c>
      <c r="B16" s="52" t="s">
        <v>211</v>
      </c>
      <c r="C16" s="47" t="s">
        <v>212</v>
      </c>
      <c r="D16" s="49">
        <v>4</v>
      </c>
      <c r="E16" s="47" t="s">
        <v>200</v>
      </c>
      <c r="F16" s="48">
        <v>2.64</v>
      </c>
      <c r="G16" s="50">
        <f t="shared" si="0"/>
        <v>10.56</v>
      </c>
    </row>
    <row r="17" spans="1:8" s="34" customFormat="1" ht="18" customHeight="1" x14ac:dyDescent="0.3">
      <c r="A17" s="45" t="s">
        <v>213</v>
      </c>
      <c r="B17" s="52" t="s">
        <v>214</v>
      </c>
      <c r="C17" s="47" t="s">
        <v>215</v>
      </c>
      <c r="D17" s="48">
        <v>3</v>
      </c>
      <c r="E17" s="47" t="s">
        <v>169</v>
      </c>
      <c r="F17" s="48">
        <v>18.09</v>
      </c>
      <c r="G17" s="50">
        <f t="shared" si="0"/>
        <v>54.269999999999996</v>
      </c>
    </row>
    <row r="18" spans="1:8" s="34" customFormat="1" ht="18" customHeight="1" thickBot="1" x14ac:dyDescent="0.35">
      <c r="A18" s="45" t="s">
        <v>216</v>
      </c>
      <c r="B18" s="46" t="s">
        <v>217</v>
      </c>
      <c r="C18" s="47" t="s">
        <v>218</v>
      </c>
      <c r="D18" s="48">
        <v>1</v>
      </c>
      <c r="E18" s="49" t="s">
        <v>169</v>
      </c>
      <c r="F18" s="48">
        <v>28.82</v>
      </c>
      <c r="G18" s="50">
        <f>D18*F18</f>
        <v>28.82</v>
      </c>
    </row>
    <row r="19" spans="1:8" ht="15" hidden="1" thickBot="1" x14ac:dyDescent="0.35"/>
    <row r="20" spans="1:8" ht="15" hidden="1" customHeight="1" x14ac:dyDescent="0.3">
      <c r="A20" s="449" t="s">
        <v>549</v>
      </c>
      <c r="B20" s="450"/>
      <c r="C20" s="450"/>
      <c r="D20" s="450"/>
      <c r="E20" s="450"/>
      <c r="F20" s="450"/>
      <c r="G20" s="451"/>
    </row>
    <row r="21" spans="1:8" ht="15.75" hidden="1" customHeight="1" thickBot="1" x14ac:dyDescent="0.35">
      <c r="A21" s="452"/>
      <c r="B21" s="453"/>
      <c r="C21" s="453"/>
      <c r="D21" s="453"/>
      <c r="E21" s="453"/>
      <c r="F21" s="453"/>
      <c r="G21" s="454"/>
    </row>
    <row r="22" spans="1:8" ht="15.75" hidden="1" customHeight="1" thickBot="1" x14ac:dyDescent="0.35">
      <c r="A22" s="241"/>
      <c r="B22" s="183" t="s">
        <v>551</v>
      </c>
      <c r="C22" s="184" t="s">
        <v>552</v>
      </c>
      <c r="D22" s="184" t="s">
        <v>553</v>
      </c>
      <c r="E22" s="184" t="s">
        <v>554</v>
      </c>
      <c r="F22" s="184" t="s">
        <v>555</v>
      </c>
      <c r="G22" s="185" t="s">
        <v>556</v>
      </c>
      <c r="H22" s="455" t="s">
        <v>694</v>
      </c>
    </row>
    <row r="23" spans="1:8" s="34" customFormat="1" ht="18" hidden="1" customHeight="1" thickBot="1" x14ac:dyDescent="0.35">
      <c r="A23" s="38" t="s">
        <v>167</v>
      </c>
      <c r="B23" s="39" t="s">
        <v>168</v>
      </c>
      <c r="C23" s="40"/>
      <c r="D23" s="41">
        <v>1</v>
      </c>
      <c r="E23" s="42" t="s">
        <v>169</v>
      </c>
      <c r="F23" s="41" t="s">
        <v>170</v>
      </c>
      <c r="G23" s="43" t="e">
        <v>#VALUE!</v>
      </c>
      <c r="H23" s="456"/>
    </row>
    <row r="24" spans="1:8" s="34" customFormat="1" ht="18" hidden="1" customHeight="1" x14ac:dyDescent="0.3">
      <c r="A24" s="45" t="s">
        <v>171</v>
      </c>
      <c r="B24" s="46" t="s">
        <v>172</v>
      </c>
      <c r="C24" s="47"/>
      <c r="D24" s="48">
        <v>1</v>
      </c>
      <c r="E24" s="49" t="s">
        <v>169</v>
      </c>
      <c r="F24" s="41" t="s">
        <v>170</v>
      </c>
      <c r="G24" s="50" t="e">
        <v>#VALUE!</v>
      </c>
      <c r="H24" s="456"/>
    </row>
    <row r="25" spans="1:8" s="34" customFormat="1" ht="18" hidden="1" customHeight="1" x14ac:dyDescent="0.3">
      <c r="A25" s="45" t="s">
        <v>173</v>
      </c>
      <c r="B25" s="46" t="s">
        <v>174</v>
      </c>
      <c r="C25" s="47" t="s">
        <v>175</v>
      </c>
      <c r="D25" s="49">
        <v>3.05</v>
      </c>
      <c r="E25" s="49" t="s">
        <v>176</v>
      </c>
      <c r="F25" s="49">
        <v>6.1904761904761898</v>
      </c>
      <c r="G25" s="51">
        <v>18.880952380952376</v>
      </c>
      <c r="H25" s="456"/>
    </row>
    <row r="26" spans="1:8" s="34" customFormat="1" ht="18" hidden="1" customHeight="1" x14ac:dyDescent="0.3">
      <c r="A26" s="45" t="s">
        <v>177</v>
      </c>
      <c r="B26" s="46" t="s">
        <v>178</v>
      </c>
      <c r="C26" s="47" t="s">
        <v>179</v>
      </c>
      <c r="D26" s="49">
        <v>1</v>
      </c>
      <c r="E26" s="49" t="s">
        <v>176</v>
      </c>
      <c r="F26" s="49">
        <v>0.8571428571428571</v>
      </c>
      <c r="G26" s="51">
        <v>0.8571428571428571</v>
      </c>
      <c r="H26" s="456"/>
    </row>
    <row r="27" spans="1:8" s="34" customFormat="1" ht="18" hidden="1" customHeight="1" x14ac:dyDescent="0.3">
      <c r="A27" s="45" t="s">
        <v>180</v>
      </c>
      <c r="B27" s="46" t="s">
        <v>181</v>
      </c>
      <c r="C27" s="47" t="s">
        <v>182</v>
      </c>
      <c r="D27" s="49">
        <v>2</v>
      </c>
      <c r="E27" s="49" t="s">
        <v>176</v>
      </c>
      <c r="F27" s="49">
        <v>2.7619047619047619</v>
      </c>
      <c r="G27" s="51">
        <v>5.5238095238095237</v>
      </c>
      <c r="H27" s="456"/>
    </row>
    <row r="28" spans="1:8" s="34" customFormat="1" ht="18" hidden="1" customHeight="1" x14ac:dyDescent="0.3">
      <c r="A28" s="45" t="s">
        <v>189</v>
      </c>
      <c r="B28" s="46" t="s">
        <v>190</v>
      </c>
      <c r="C28" s="47" t="s">
        <v>191</v>
      </c>
      <c r="D28" s="48">
        <v>4</v>
      </c>
      <c r="E28" s="49" t="s">
        <v>169</v>
      </c>
      <c r="F28" s="48">
        <v>16.857142857142854</v>
      </c>
      <c r="G28" s="50">
        <v>67.428571428571416</v>
      </c>
      <c r="H28" s="456"/>
    </row>
    <row r="29" spans="1:8" s="34" customFormat="1" ht="18" hidden="1" customHeight="1" x14ac:dyDescent="0.3">
      <c r="A29" s="45" t="s">
        <v>197</v>
      </c>
      <c r="B29" s="46" t="s">
        <v>198</v>
      </c>
      <c r="C29" s="47" t="s">
        <v>199</v>
      </c>
      <c r="D29" s="48">
        <v>0.8</v>
      </c>
      <c r="E29" s="49" t="s">
        <v>200</v>
      </c>
      <c r="F29" s="48">
        <v>13.8</v>
      </c>
      <c r="G29" s="50">
        <v>11.040000000000001</v>
      </c>
      <c r="H29" s="456"/>
    </row>
    <row r="30" spans="1:8" s="34" customFormat="1" ht="18" hidden="1" customHeight="1" x14ac:dyDescent="0.3">
      <c r="A30" s="45" t="s">
        <v>201</v>
      </c>
      <c r="B30" s="46" t="s">
        <v>202</v>
      </c>
      <c r="C30" s="47" t="s">
        <v>203</v>
      </c>
      <c r="D30" s="48">
        <v>0.8</v>
      </c>
      <c r="E30" s="49" t="s">
        <v>200</v>
      </c>
      <c r="F30" s="48">
        <v>13.81</v>
      </c>
      <c r="G30" s="50">
        <v>11.048000000000002</v>
      </c>
      <c r="H30" s="456"/>
    </row>
    <row r="31" spans="1:8" s="34" customFormat="1" ht="18" hidden="1" customHeight="1" x14ac:dyDescent="0.3">
      <c r="A31" s="45" t="s">
        <v>204</v>
      </c>
      <c r="B31" s="46" t="s">
        <v>205</v>
      </c>
      <c r="C31" s="47" t="s">
        <v>206</v>
      </c>
      <c r="D31" s="48">
        <v>0.3</v>
      </c>
      <c r="E31" s="49" t="s">
        <v>200</v>
      </c>
      <c r="F31" s="48">
        <v>3.42</v>
      </c>
      <c r="G31" s="50">
        <v>1.026</v>
      </c>
      <c r="H31" s="456"/>
    </row>
    <row r="32" spans="1:8" s="34" customFormat="1" ht="18" hidden="1" customHeight="1" x14ac:dyDescent="0.3">
      <c r="A32" s="45" t="s">
        <v>207</v>
      </c>
      <c r="B32" s="46" t="s">
        <v>208</v>
      </c>
      <c r="C32" s="47" t="s">
        <v>209</v>
      </c>
      <c r="D32" s="48">
        <v>1</v>
      </c>
      <c r="E32" s="49" t="s">
        <v>169</v>
      </c>
      <c r="F32" s="48">
        <v>135</v>
      </c>
      <c r="G32" s="50">
        <v>135</v>
      </c>
      <c r="H32" s="456"/>
    </row>
    <row r="33" spans="1:8" s="34" customFormat="1" ht="18" hidden="1" customHeight="1" x14ac:dyDescent="0.3">
      <c r="A33" s="45" t="s">
        <v>210</v>
      </c>
      <c r="B33" s="52" t="s">
        <v>211</v>
      </c>
      <c r="C33" s="47" t="s">
        <v>212</v>
      </c>
      <c r="D33" s="49">
        <v>4</v>
      </c>
      <c r="E33" s="47" t="s">
        <v>200</v>
      </c>
      <c r="F33" s="48">
        <v>2.64</v>
      </c>
      <c r="G33" s="50">
        <v>10.56</v>
      </c>
      <c r="H33" s="456"/>
    </row>
    <row r="34" spans="1:8" s="34" customFormat="1" ht="18" hidden="1" customHeight="1" x14ac:dyDescent="0.3">
      <c r="A34" s="45" t="s">
        <v>213</v>
      </c>
      <c r="B34" s="52" t="s">
        <v>214</v>
      </c>
      <c r="C34" s="47" t="s">
        <v>215</v>
      </c>
      <c r="D34" s="48">
        <v>3</v>
      </c>
      <c r="E34" s="47" t="s">
        <v>169</v>
      </c>
      <c r="F34" s="48">
        <v>18.09</v>
      </c>
      <c r="G34" s="50">
        <v>54.269999999999996</v>
      </c>
      <c r="H34" s="456"/>
    </row>
    <row r="35" spans="1:8" s="34" customFormat="1" ht="18" hidden="1" customHeight="1" thickBot="1" x14ac:dyDescent="0.35">
      <c r="A35" s="45" t="s">
        <v>216</v>
      </c>
      <c r="B35" s="46" t="s">
        <v>217</v>
      </c>
      <c r="C35" s="47" t="s">
        <v>218</v>
      </c>
      <c r="D35" s="48">
        <v>1</v>
      </c>
      <c r="E35" s="49" t="s">
        <v>169</v>
      </c>
      <c r="F35" s="48">
        <v>28.82</v>
      </c>
      <c r="G35" s="50">
        <v>28.82</v>
      </c>
      <c r="H35" s="456"/>
    </row>
    <row r="36" spans="1:8" ht="15" hidden="1" thickBot="1" x14ac:dyDescent="0.35">
      <c r="B36" s="458" t="s">
        <v>573</v>
      </c>
      <c r="C36" s="459"/>
      <c r="D36" s="459"/>
      <c r="E36" s="460"/>
      <c r="F36" s="276"/>
      <c r="G36" s="276"/>
      <c r="H36" s="456"/>
    </row>
    <row r="37" spans="1:8" hidden="1" x14ac:dyDescent="0.3">
      <c r="A37" s="203">
        <v>1</v>
      </c>
      <c r="B37" s="277" t="s">
        <v>695</v>
      </c>
      <c r="C37" s="276"/>
      <c r="D37" s="205">
        <v>20</v>
      </c>
      <c r="E37" s="276"/>
      <c r="F37" s="205">
        <v>0.3</v>
      </c>
      <c r="G37" s="206">
        <f t="shared" ref="G37:G55" si="1">D37*F37</f>
        <v>6</v>
      </c>
      <c r="H37" s="456"/>
    </row>
    <row r="38" spans="1:8" hidden="1" x14ac:dyDescent="0.3">
      <c r="A38" s="191">
        <v>2</v>
      </c>
      <c r="B38" s="46" t="s">
        <v>696</v>
      </c>
      <c r="C38" s="276"/>
      <c r="D38" s="49">
        <v>1</v>
      </c>
      <c r="E38" s="276"/>
      <c r="F38" s="49">
        <v>7.35</v>
      </c>
      <c r="G38" s="206">
        <f t="shared" si="1"/>
        <v>7.35</v>
      </c>
      <c r="H38" s="456"/>
    </row>
    <row r="39" spans="1:8" hidden="1" x14ac:dyDescent="0.3">
      <c r="A39" s="191">
        <v>3</v>
      </c>
      <c r="B39" s="46" t="s">
        <v>697</v>
      </c>
      <c r="C39" s="276"/>
      <c r="D39" s="49">
        <v>2</v>
      </c>
      <c r="E39" s="276"/>
      <c r="F39" s="49">
        <v>4.5</v>
      </c>
      <c r="G39" s="206">
        <f t="shared" si="1"/>
        <v>9</v>
      </c>
      <c r="H39" s="456"/>
    </row>
    <row r="40" spans="1:8" hidden="1" x14ac:dyDescent="0.3">
      <c r="A40" s="191">
        <v>4</v>
      </c>
      <c r="B40" s="46" t="s">
        <v>692</v>
      </c>
      <c r="C40" s="276"/>
      <c r="D40" s="49">
        <v>1</v>
      </c>
      <c r="E40" s="276"/>
      <c r="F40" s="49">
        <v>1</v>
      </c>
      <c r="G40" s="206">
        <f t="shared" si="1"/>
        <v>1</v>
      </c>
      <c r="H40" s="456"/>
    </row>
    <row r="41" spans="1:8" hidden="1" x14ac:dyDescent="0.3">
      <c r="A41" s="191">
        <v>5</v>
      </c>
      <c r="B41" s="46" t="s">
        <v>698</v>
      </c>
      <c r="C41" s="276"/>
      <c r="D41" s="49">
        <v>0.1</v>
      </c>
      <c r="E41" s="276"/>
      <c r="F41" s="49">
        <v>3</v>
      </c>
      <c r="G41" s="206">
        <f t="shared" si="1"/>
        <v>0.30000000000000004</v>
      </c>
      <c r="H41" s="456"/>
    </row>
    <row r="42" spans="1:8" hidden="1" x14ac:dyDescent="0.3">
      <c r="A42" s="191">
        <v>6</v>
      </c>
      <c r="B42" s="46" t="s">
        <v>699</v>
      </c>
      <c r="C42" s="276"/>
      <c r="D42" s="49">
        <v>0</v>
      </c>
      <c r="E42" s="276"/>
      <c r="F42" s="49">
        <v>2</v>
      </c>
      <c r="G42" s="206">
        <f t="shared" si="1"/>
        <v>0</v>
      </c>
      <c r="H42" s="456"/>
    </row>
    <row r="43" spans="1:8" hidden="1" x14ac:dyDescent="0.3">
      <c r="A43" s="191">
        <v>7</v>
      </c>
      <c r="B43" s="46" t="s">
        <v>700</v>
      </c>
      <c r="C43" s="276"/>
      <c r="D43" s="49">
        <v>6</v>
      </c>
      <c r="E43" s="276"/>
      <c r="F43" s="49">
        <v>1</v>
      </c>
      <c r="G43" s="206">
        <f t="shared" si="1"/>
        <v>6</v>
      </c>
      <c r="H43" s="456"/>
    </row>
    <row r="44" spans="1:8" hidden="1" x14ac:dyDescent="0.3">
      <c r="A44" s="191">
        <v>8</v>
      </c>
      <c r="B44" s="46" t="s">
        <v>650</v>
      </c>
      <c r="C44" s="276"/>
      <c r="D44" s="49">
        <v>0.5</v>
      </c>
      <c r="E44" s="276"/>
      <c r="F44" s="49">
        <v>3</v>
      </c>
      <c r="G44" s="206">
        <f t="shared" si="1"/>
        <v>1.5</v>
      </c>
      <c r="H44" s="456"/>
    </row>
    <row r="45" spans="1:8" hidden="1" x14ac:dyDescent="0.3">
      <c r="A45" s="191">
        <v>9</v>
      </c>
      <c r="B45" s="46" t="s">
        <v>701</v>
      </c>
      <c r="C45" s="276"/>
      <c r="D45" s="49">
        <v>0</v>
      </c>
      <c r="E45" s="276"/>
      <c r="F45" s="49">
        <v>1.2</v>
      </c>
      <c r="G45" s="206">
        <f t="shared" si="1"/>
        <v>0</v>
      </c>
      <c r="H45" s="456"/>
    </row>
    <row r="46" spans="1:8" hidden="1" x14ac:dyDescent="0.3">
      <c r="A46" s="191">
        <v>10</v>
      </c>
      <c r="B46" s="46" t="s">
        <v>702</v>
      </c>
      <c r="C46" s="276"/>
      <c r="D46" s="49">
        <v>7</v>
      </c>
      <c r="E46" s="276"/>
      <c r="F46" s="49">
        <v>0.5</v>
      </c>
      <c r="G46" s="206">
        <f t="shared" si="1"/>
        <v>3.5</v>
      </c>
      <c r="H46" s="456"/>
    </row>
    <row r="47" spans="1:8" hidden="1" x14ac:dyDescent="0.3">
      <c r="A47" s="191">
        <v>11</v>
      </c>
      <c r="B47" s="46" t="s">
        <v>703</v>
      </c>
      <c r="C47" s="276"/>
      <c r="D47" s="49">
        <v>20</v>
      </c>
      <c r="E47" s="276"/>
      <c r="F47" s="49">
        <v>0.1</v>
      </c>
      <c r="G47" s="206">
        <f t="shared" si="1"/>
        <v>2</v>
      </c>
      <c r="H47" s="456"/>
    </row>
    <row r="48" spans="1:8" hidden="1" x14ac:dyDescent="0.3">
      <c r="A48" s="191">
        <v>12</v>
      </c>
      <c r="B48" s="46" t="s">
        <v>704</v>
      </c>
      <c r="C48" s="276"/>
      <c r="D48" s="49">
        <v>1</v>
      </c>
      <c r="E48" s="276"/>
      <c r="F48" s="49">
        <v>5</v>
      </c>
      <c r="G48" s="206">
        <f t="shared" si="1"/>
        <v>5</v>
      </c>
      <c r="H48" s="456"/>
    </row>
    <row r="49" spans="1:8" hidden="1" x14ac:dyDescent="0.3">
      <c r="A49" s="191">
        <v>14</v>
      </c>
      <c r="B49" s="46" t="s">
        <v>705</v>
      </c>
      <c r="C49" s="276"/>
      <c r="D49" s="49">
        <v>1</v>
      </c>
      <c r="E49" s="276"/>
      <c r="F49" s="49">
        <v>2</v>
      </c>
      <c r="G49" s="206">
        <f t="shared" si="1"/>
        <v>2</v>
      </c>
      <c r="H49" s="456"/>
    </row>
    <row r="50" spans="1:8" hidden="1" x14ac:dyDescent="0.3">
      <c r="A50" s="191">
        <v>15</v>
      </c>
      <c r="B50" s="46" t="s">
        <v>706</v>
      </c>
      <c r="C50" s="276"/>
      <c r="D50" s="49">
        <v>1</v>
      </c>
      <c r="E50" s="276"/>
      <c r="F50" s="49">
        <v>5</v>
      </c>
      <c r="G50" s="206">
        <f t="shared" si="1"/>
        <v>5</v>
      </c>
      <c r="H50" s="456"/>
    </row>
    <row r="51" spans="1:8" hidden="1" x14ac:dyDescent="0.3">
      <c r="A51" s="191">
        <v>16</v>
      </c>
      <c r="B51" s="46" t="s">
        <v>707</v>
      </c>
      <c r="C51" s="276"/>
      <c r="D51" s="49">
        <v>1</v>
      </c>
      <c r="E51" s="276"/>
      <c r="F51" s="49">
        <v>1.7</v>
      </c>
      <c r="G51" s="206">
        <f t="shared" si="1"/>
        <v>1.7</v>
      </c>
      <c r="H51" s="456"/>
    </row>
    <row r="52" spans="1:8" hidden="1" x14ac:dyDescent="0.3">
      <c r="A52" s="191">
        <v>17</v>
      </c>
      <c r="B52" s="46" t="s">
        <v>586</v>
      </c>
      <c r="C52" s="276"/>
      <c r="D52" s="49">
        <v>1</v>
      </c>
      <c r="E52" s="276"/>
      <c r="F52" s="49">
        <v>1</v>
      </c>
      <c r="G52" s="206">
        <f t="shared" si="1"/>
        <v>1</v>
      </c>
      <c r="H52" s="456"/>
    </row>
    <row r="53" spans="1:8" hidden="1" x14ac:dyDescent="0.3">
      <c r="A53" s="191">
        <v>18</v>
      </c>
      <c r="B53" s="277" t="s">
        <v>653</v>
      </c>
      <c r="C53" s="276"/>
      <c r="D53" s="205">
        <v>10</v>
      </c>
      <c r="E53" s="276"/>
      <c r="F53" s="205">
        <v>0.05</v>
      </c>
      <c r="G53" s="206">
        <f t="shared" si="1"/>
        <v>0.5</v>
      </c>
      <c r="H53" s="456"/>
    </row>
    <row r="54" spans="1:8" hidden="1" x14ac:dyDescent="0.3">
      <c r="A54" s="191">
        <v>19</v>
      </c>
      <c r="B54" s="46" t="s">
        <v>576</v>
      </c>
      <c r="C54" s="276"/>
      <c r="D54" s="49">
        <v>10</v>
      </c>
      <c r="E54" s="276"/>
      <c r="F54" s="49">
        <v>0.1</v>
      </c>
      <c r="G54" s="206">
        <f t="shared" si="1"/>
        <v>1</v>
      </c>
      <c r="H54" s="456"/>
    </row>
    <row r="55" spans="1:8" ht="15" hidden="1" thickBot="1" x14ac:dyDescent="0.35">
      <c r="A55" s="191">
        <v>20</v>
      </c>
      <c r="B55" s="54" t="s">
        <v>708</v>
      </c>
      <c r="C55" s="278"/>
      <c r="D55" s="57">
        <v>1</v>
      </c>
      <c r="E55" s="278"/>
      <c r="F55" s="57">
        <v>3.6</v>
      </c>
      <c r="G55" s="275">
        <f t="shared" si="1"/>
        <v>3.6</v>
      </c>
      <c r="H55" s="457"/>
    </row>
    <row r="56" spans="1:8" ht="15.75" hidden="1" customHeight="1" thickBot="1" x14ac:dyDescent="0.35">
      <c r="A56" s="183" t="s">
        <v>550</v>
      </c>
      <c r="B56" s="184" t="s">
        <v>551</v>
      </c>
      <c r="C56" s="184" t="s">
        <v>552</v>
      </c>
      <c r="D56" s="184" t="s">
        <v>553</v>
      </c>
      <c r="E56" s="184" t="s">
        <v>554</v>
      </c>
      <c r="F56" s="184" t="s">
        <v>555</v>
      </c>
      <c r="G56" s="185" t="s">
        <v>556</v>
      </c>
      <c r="H56" s="455" t="s">
        <v>557</v>
      </c>
    </row>
    <row r="57" spans="1:8" hidden="1" x14ac:dyDescent="0.3">
      <c r="A57" s="186">
        <v>1</v>
      </c>
      <c r="B57" s="187" t="s">
        <v>558</v>
      </c>
      <c r="C57" s="188" t="s">
        <v>559</v>
      </c>
      <c r="D57" s="189">
        <f>'[1]1103-1104 series '!$F$6</f>
        <v>0.8</v>
      </c>
      <c r="E57" s="189" t="s">
        <v>200</v>
      </c>
      <c r="F57" s="190">
        <f>'[1]400 series '!$H$6</f>
        <v>3.5238095238095237</v>
      </c>
      <c r="G57" s="190">
        <f t="shared" ref="G57:G64" si="2">F57*D57</f>
        <v>2.8190476190476192</v>
      </c>
      <c r="H57" s="456"/>
    </row>
    <row r="58" spans="1:8" hidden="1" x14ac:dyDescent="0.3">
      <c r="A58" s="191">
        <v>2</v>
      </c>
      <c r="B58" s="192" t="s">
        <v>560</v>
      </c>
      <c r="C58" s="193" t="s">
        <v>561</v>
      </c>
      <c r="D58" s="194" t="str">
        <f>'[1]1103-1104 series '!$F$7</f>
        <v>1</v>
      </c>
      <c r="E58" s="195" t="s">
        <v>169</v>
      </c>
      <c r="F58" s="190">
        <f>'[1]400 series '!$H$7</f>
        <v>20.647619047619045</v>
      </c>
      <c r="G58" s="190">
        <f t="shared" si="2"/>
        <v>20.647619047619045</v>
      </c>
      <c r="H58" s="456"/>
    </row>
    <row r="59" spans="1:8" hidden="1" x14ac:dyDescent="0.3">
      <c r="A59" s="191">
        <v>3</v>
      </c>
      <c r="B59" s="192" t="s">
        <v>562</v>
      </c>
      <c r="C59" s="193" t="s">
        <v>563</v>
      </c>
      <c r="D59" s="189">
        <f>'[1]1103-1104 series '!$F$8</f>
        <v>0.2</v>
      </c>
      <c r="E59" s="196" t="s">
        <v>200</v>
      </c>
      <c r="F59" s="190">
        <f>'[1]400 series '!$H$8</f>
        <v>4.8499999999999996</v>
      </c>
      <c r="G59" s="190">
        <f t="shared" si="2"/>
        <v>0.97</v>
      </c>
      <c r="H59" s="456"/>
    </row>
    <row r="60" spans="1:8" hidden="1" x14ac:dyDescent="0.3">
      <c r="A60" s="191">
        <v>4</v>
      </c>
      <c r="B60" s="197" t="s">
        <v>564</v>
      </c>
      <c r="C60" s="193" t="s">
        <v>565</v>
      </c>
      <c r="D60" s="189">
        <f>'[1]1103-1104 series '!$F$9</f>
        <v>1</v>
      </c>
      <c r="E60" s="196" t="s">
        <v>169</v>
      </c>
      <c r="F60" s="190">
        <f>'[1]400 series '!$H$9</f>
        <v>116.39047619047618</v>
      </c>
      <c r="G60" s="190">
        <f t="shared" si="2"/>
        <v>116.39047619047618</v>
      </c>
      <c r="H60" s="456"/>
    </row>
    <row r="61" spans="1:8" hidden="1" x14ac:dyDescent="0.3">
      <c r="A61" s="191">
        <v>5</v>
      </c>
      <c r="B61" s="192" t="s">
        <v>566</v>
      </c>
      <c r="C61" s="198" t="s">
        <v>567</v>
      </c>
      <c r="D61" s="189">
        <f>'[1]1103-1104 series '!$F$10</f>
        <v>2</v>
      </c>
      <c r="E61" s="196" t="s">
        <v>169</v>
      </c>
      <c r="F61" s="190">
        <f>'[1]400 series '!$H$10</f>
        <v>2.5</v>
      </c>
      <c r="G61" s="190">
        <f t="shared" si="2"/>
        <v>5</v>
      </c>
      <c r="H61" s="456"/>
    </row>
    <row r="62" spans="1:8" hidden="1" x14ac:dyDescent="0.3">
      <c r="A62" s="191">
        <v>6</v>
      </c>
      <c r="B62" s="192" t="s">
        <v>568</v>
      </c>
      <c r="C62" s="198" t="s">
        <v>569</v>
      </c>
      <c r="D62" s="189">
        <f>'[1]1103-1104 series '!$F$11</f>
        <v>4</v>
      </c>
      <c r="E62" s="196" t="s">
        <v>169</v>
      </c>
      <c r="F62" s="190">
        <f>'[1]400 series '!$H$11</f>
        <v>1.5238095238095237</v>
      </c>
      <c r="G62" s="190">
        <f t="shared" si="2"/>
        <v>6.0952380952380949</v>
      </c>
      <c r="H62" s="456"/>
    </row>
    <row r="63" spans="1:8" hidden="1" x14ac:dyDescent="0.3">
      <c r="A63" s="191">
        <v>7</v>
      </c>
      <c r="B63" s="197" t="s">
        <v>570</v>
      </c>
      <c r="C63" s="193" t="s">
        <v>571</v>
      </c>
      <c r="D63" s="189">
        <f>'[1]1103-1104 series '!$F$12</f>
        <v>3</v>
      </c>
      <c r="E63" s="196" t="s">
        <v>200</v>
      </c>
      <c r="F63" s="190"/>
      <c r="G63" s="190"/>
      <c r="H63" s="456"/>
    </row>
    <row r="64" spans="1:8" ht="15" hidden="1" thickBot="1" x14ac:dyDescent="0.35">
      <c r="A64" s="191">
        <v>8</v>
      </c>
      <c r="B64" s="199" t="s">
        <v>572</v>
      </c>
      <c r="C64" s="200">
        <v>5010006</v>
      </c>
      <c r="D64" s="194" t="str">
        <f>'[1]1103-1104 series '!$F$13</f>
        <v>.15</v>
      </c>
      <c r="E64" s="201" t="s">
        <v>169</v>
      </c>
      <c r="F64" s="190">
        <f>'[1]400 series '!$H$12</f>
        <v>135</v>
      </c>
      <c r="G64" s="190">
        <f t="shared" si="2"/>
        <v>20.25</v>
      </c>
      <c r="H64" s="456"/>
    </row>
    <row r="65" spans="1:8" ht="15" hidden="1" thickBot="1" x14ac:dyDescent="0.35">
      <c r="A65" s="202" t="s">
        <v>550</v>
      </c>
      <c r="B65" s="458" t="s">
        <v>573</v>
      </c>
      <c r="C65" s="459"/>
      <c r="D65" s="459"/>
      <c r="E65" s="460"/>
      <c r="F65" s="279" t="s">
        <v>574</v>
      </c>
      <c r="G65" s="185" t="s">
        <v>166</v>
      </c>
      <c r="H65" s="456"/>
    </row>
    <row r="66" spans="1:8" hidden="1" x14ac:dyDescent="0.3">
      <c r="A66" s="203">
        <v>1</v>
      </c>
      <c r="B66" s="204" t="s">
        <v>575</v>
      </c>
      <c r="D66" s="205">
        <v>0</v>
      </c>
      <c r="F66" s="205">
        <v>0.05</v>
      </c>
      <c r="G66" s="206">
        <f t="shared" ref="G66:G79" si="3">D66*F66</f>
        <v>0</v>
      </c>
      <c r="H66" s="456"/>
    </row>
    <row r="67" spans="1:8" hidden="1" x14ac:dyDescent="0.3">
      <c r="A67" s="191">
        <v>2</v>
      </c>
      <c r="B67" s="207" t="s">
        <v>576</v>
      </c>
      <c r="D67" s="49">
        <v>0</v>
      </c>
      <c r="F67" s="49">
        <v>0.1</v>
      </c>
      <c r="G67" s="206">
        <f t="shared" si="3"/>
        <v>0</v>
      </c>
      <c r="H67" s="456"/>
    </row>
    <row r="68" spans="1:8" hidden="1" x14ac:dyDescent="0.3">
      <c r="A68" s="191">
        <v>3</v>
      </c>
      <c r="B68" s="207" t="s">
        <v>577</v>
      </c>
      <c r="D68" s="49">
        <v>0.1</v>
      </c>
      <c r="F68" s="49">
        <v>3.25</v>
      </c>
      <c r="G68" s="206">
        <f t="shared" si="3"/>
        <v>0.32500000000000001</v>
      </c>
      <c r="H68" s="456"/>
    </row>
    <row r="69" spans="1:8" hidden="1" x14ac:dyDescent="0.3">
      <c r="A69" s="191">
        <v>4</v>
      </c>
      <c r="B69" s="207" t="s">
        <v>578</v>
      </c>
      <c r="D69" s="49">
        <v>0.1</v>
      </c>
      <c r="F69" s="49">
        <v>5</v>
      </c>
      <c r="G69" s="206">
        <f t="shared" si="3"/>
        <v>0.5</v>
      </c>
      <c r="H69" s="456"/>
    </row>
    <row r="70" spans="1:8" hidden="1" x14ac:dyDescent="0.3">
      <c r="A70" s="191">
        <v>5</v>
      </c>
      <c r="B70" s="207" t="s">
        <v>579</v>
      </c>
      <c r="D70" s="49">
        <v>0.1</v>
      </c>
      <c r="F70" s="49">
        <v>12.79</v>
      </c>
      <c r="G70" s="206">
        <f t="shared" si="3"/>
        <v>1.2789999999999999</v>
      </c>
      <c r="H70" s="456"/>
    </row>
    <row r="71" spans="1:8" hidden="1" x14ac:dyDescent="0.3">
      <c r="A71" s="191">
        <v>6</v>
      </c>
      <c r="B71" s="207" t="s">
        <v>580</v>
      </c>
      <c r="D71" s="49">
        <v>0</v>
      </c>
      <c r="F71" s="208">
        <v>38</v>
      </c>
      <c r="G71" s="206">
        <f t="shared" si="3"/>
        <v>0</v>
      </c>
      <c r="H71" s="456"/>
    </row>
    <row r="72" spans="1:8" hidden="1" x14ac:dyDescent="0.3">
      <c r="A72" s="191">
        <v>7</v>
      </c>
      <c r="B72" s="207" t="s">
        <v>581</v>
      </c>
      <c r="D72" s="49">
        <v>0.1</v>
      </c>
      <c r="F72" s="208">
        <v>28</v>
      </c>
      <c r="G72" s="206">
        <f t="shared" si="3"/>
        <v>2.8000000000000003</v>
      </c>
      <c r="H72" s="456"/>
    </row>
    <row r="73" spans="1:8" hidden="1" x14ac:dyDescent="0.3">
      <c r="A73" s="191">
        <v>8</v>
      </c>
      <c r="B73" s="207" t="s">
        <v>582</v>
      </c>
      <c r="D73" s="49">
        <v>0</v>
      </c>
      <c r="F73" s="49">
        <v>3.64</v>
      </c>
      <c r="G73" s="206">
        <f t="shared" si="3"/>
        <v>0</v>
      </c>
      <c r="H73" s="456"/>
    </row>
    <row r="74" spans="1:8" hidden="1" x14ac:dyDescent="0.3">
      <c r="A74" s="191">
        <v>9</v>
      </c>
      <c r="B74" s="207" t="s">
        <v>583</v>
      </c>
      <c r="D74" s="49">
        <v>0</v>
      </c>
      <c r="F74" s="49">
        <v>11.4</v>
      </c>
      <c r="G74" s="206">
        <f t="shared" si="3"/>
        <v>0</v>
      </c>
      <c r="H74" s="456"/>
    </row>
    <row r="75" spans="1:8" hidden="1" x14ac:dyDescent="0.3">
      <c r="A75" s="191">
        <v>10</v>
      </c>
      <c r="B75" s="207" t="s">
        <v>584</v>
      </c>
      <c r="D75" s="49">
        <v>0.2</v>
      </c>
      <c r="F75" s="49">
        <v>30</v>
      </c>
      <c r="G75" s="206">
        <f t="shared" si="3"/>
        <v>6</v>
      </c>
      <c r="H75" s="456"/>
    </row>
    <row r="76" spans="1:8" hidden="1" x14ac:dyDescent="0.3">
      <c r="A76" s="191">
        <v>11</v>
      </c>
      <c r="B76" s="207" t="s">
        <v>585</v>
      </c>
      <c r="D76" s="49">
        <v>1</v>
      </c>
      <c r="F76" s="49">
        <v>1</v>
      </c>
      <c r="G76" s="206">
        <f t="shared" si="3"/>
        <v>1</v>
      </c>
      <c r="H76" s="456"/>
    </row>
    <row r="77" spans="1:8" hidden="1" x14ac:dyDescent="0.3">
      <c r="A77" s="191">
        <v>12</v>
      </c>
      <c r="B77" s="207" t="s">
        <v>586</v>
      </c>
      <c r="D77" s="49">
        <v>1</v>
      </c>
      <c r="F77" s="49">
        <v>1</v>
      </c>
      <c r="G77" s="206">
        <f t="shared" si="3"/>
        <v>1</v>
      </c>
      <c r="H77" s="456"/>
    </row>
    <row r="78" spans="1:8" hidden="1" x14ac:dyDescent="0.3">
      <c r="A78" s="191">
        <v>14</v>
      </c>
      <c r="B78" s="207" t="s">
        <v>587</v>
      </c>
      <c r="D78" s="49">
        <v>0.2</v>
      </c>
      <c r="F78" s="49">
        <v>3</v>
      </c>
      <c r="G78" s="206">
        <f t="shared" si="3"/>
        <v>0.60000000000000009</v>
      </c>
      <c r="H78" s="456"/>
    </row>
    <row r="79" spans="1:8" ht="15" hidden="1" thickBot="1" x14ac:dyDescent="0.35">
      <c r="A79" s="191">
        <v>15</v>
      </c>
      <c r="B79" s="207" t="s">
        <v>588</v>
      </c>
      <c r="D79" s="49">
        <v>1</v>
      </c>
      <c r="F79" s="49">
        <v>1</v>
      </c>
      <c r="G79" s="206">
        <f t="shared" si="3"/>
        <v>1</v>
      </c>
      <c r="H79" s="457"/>
    </row>
    <row r="80" spans="1:8" ht="15.75" hidden="1" customHeight="1" thickBot="1" x14ac:dyDescent="0.35">
      <c r="A80" s="186" t="s">
        <v>550</v>
      </c>
      <c r="B80" s="183" t="s">
        <v>551</v>
      </c>
      <c r="C80" s="184" t="s">
        <v>552</v>
      </c>
      <c r="D80" s="184" t="s">
        <v>553</v>
      </c>
      <c r="E80" s="184" t="s">
        <v>554</v>
      </c>
      <c r="F80" s="184" t="s">
        <v>555</v>
      </c>
      <c r="G80" s="185" t="s">
        <v>556</v>
      </c>
      <c r="H80" s="455" t="s">
        <v>589</v>
      </c>
    </row>
    <row r="81" spans="1:8" hidden="1" x14ac:dyDescent="0.3">
      <c r="A81" s="191">
        <v>1</v>
      </c>
      <c r="B81" s="209" t="s">
        <v>590</v>
      </c>
      <c r="C81" s="210" t="s">
        <v>591</v>
      </c>
      <c r="D81" s="211">
        <f>'[2]2400x1100x1185-2700x1100x1185'!$F$6</f>
        <v>4</v>
      </c>
      <c r="E81" s="211" t="s">
        <v>169</v>
      </c>
      <c r="F81" s="212">
        <f>'[2]1900x1000x950'!$H$6</f>
        <v>1</v>
      </c>
      <c r="G81" s="213">
        <f>D81*F81</f>
        <v>4</v>
      </c>
      <c r="H81" s="456"/>
    </row>
    <row r="82" spans="1:8" hidden="1" x14ac:dyDescent="0.3">
      <c r="A82" s="191">
        <v>2</v>
      </c>
      <c r="B82" s="214" t="s">
        <v>592</v>
      </c>
      <c r="C82" s="139" t="s">
        <v>593</v>
      </c>
      <c r="D82" s="211">
        <f>'[2]2400x1100x1185-2700x1100x1185'!$F$7</f>
        <v>1</v>
      </c>
      <c r="E82" s="215" t="s">
        <v>169</v>
      </c>
      <c r="F82" s="212">
        <f>'[2]1900x1000x950'!$H$7</f>
        <v>25.771428571428569</v>
      </c>
      <c r="G82" s="113">
        <f t="shared" ref="G82:G99" si="4">D82*F82</f>
        <v>25.771428571428569</v>
      </c>
      <c r="H82" s="456"/>
    </row>
    <row r="83" spans="1:8" hidden="1" x14ac:dyDescent="0.3">
      <c r="A83" s="191">
        <v>3</v>
      </c>
      <c r="B83" s="216" t="s">
        <v>594</v>
      </c>
      <c r="C83" s="139" t="s">
        <v>595</v>
      </c>
      <c r="D83" s="211">
        <f>'[2]2400x1100x1185-2700x1100x1185'!$F$8</f>
        <v>1</v>
      </c>
      <c r="E83" s="215" t="s">
        <v>169</v>
      </c>
      <c r="F83" s="212">
        <f>'[2]1900x1000x950'!$H$8</f>
        <v>11</v>
      </c>
      <c r="G83" s="113">
        <f t="shared" si="4"/>
        <v>11</v>
      </c>
      <c r="H83" s="456"/>
    </row>
    <row r="84" spans="1:8" hidden="1" x14ac:dyDescent="0.3">
      <c r="A84" s="191">
        <v>4</v>
      </c>
      <c r="B84" s="216" t="s">
        <v>596</v>
      </c>
      <c r="C84" s="139" t="s">
        <v>597</v>
      </c>
      <c r="D84" s="211">
        <f>'[2]2400x1100x1185-2700x1100x1185'!$F$9</f>
        <v>1</v>
      </c>
      <c r="E84" s="215" t="s">
        <v>169</v>
      </c>
      <c r="F84" s="212">
        <f>'[2]1900x1000x950'!$H$9</f>
        <v>6.5047619047619047</v>
      </c>
      <c r="G84" s="113">
        <f t="shared" si="4"/>
        <v>6.5047619047619047</v>
      </c>
      <c r="H84" s="456"/>
    </row>
    <row r="85" spans="1:8" hidden="1" x14ac:dyDescent="0.3">
      <c r="A85" s="191">
        <v>5</v>
      </c>
      <c r="B85" s="214" t="s">
        <v>598</v>
      </c>
      <c r="C85" s="139" t="s">
        <v>244</v>
      </c>
      <c r="D85" s="211">
        <f>'[2]2400x1100x1185-2700x1100x1185'!$F$10</f>
        <v>2</v>
      </c>
      <c r="E85" s="215" t="s">
        <v>169</v>
      </c>
      <c r="F85" s="212">
        <f>'[2]1900x1000x950'!$H$10</f>
        <v>5</v>
      </c>
      <c r="G85" s="113">
        <f t="shared" si="4"/>
        <v>10</v>
      </c>
      <c r="H85" s="456"/>
    </row>
    <row r="86" spans="1:8" hidden="1" x14ac:dyDescent="0.3">
      <c r="A86" s="191">
        <v>6</v>
      </c>
      <c r="B86" s="214" t="s">
        <v>599</v>
      </c>
      <c r="C86" s="139" t="s">
        <v>246</v>
      </c>
      <c r="D86" s="211">
        <f>'[2]2400x1100x1185-2700x1100x1185'!$F$11</f>
        <v>2</v>
      </c>
      <c r="E86" s="215" t="s">
        <v>169</v>
      </c>
      <c r="F86" s="212">
        <f>'[2]1900x1000x950'!$H$11</f>
        <v>9.0476190476190474</v>
      </c>
      <c r="G86" s="113">
        <f t="shared" si="4"/>
        <v>18.095238095238095</v>
      </c>
      <c r="H86" s="456"/>
    </row>
    <row r="87" spans="1:8" hidden="1" x14ac:dyDescent="0.3">
      <c r="A87" s="191">
        <v>7</v>
      </c>
      <c r="B87" s="214" t="s">
        <v>600</v>
      </c>
      <c r="C87" s="115" t="s">
        <v>601</v>
      </c>
      <c r="D87" s="211">
        <f>'[2]2400x1100x1185-2700x1100x1185'!$F$12</f>
        <v>1</v>
      </c>
      <c r="E87" s="215" t="s">
        <v>169</v>
      </c>
      <c r="F87" s="212">
        <f>'[2]1900x1000x950'!$H$12</f>
        <v>9.0476190476190474</v>
      </c>
      <c r="G87" s="113">
        <f t="shared" si="4"/>
        <v>9.0476190476190474</v>
      </c>
      <c r="H87" s="456"/>
    </row>
    <row r="88" spans="1:8" hidden="1" x14ac:dyDescent="0.3">
      <c r="A88" s="191">
        <v>8</v>
      </c>
      <c r="B88" s="214" t="s">
        <v>602</v>
      </c>
      <c r="C88" s="139" t="s">
        <v>255</v>
      </c>
      <c r="D88" s="211">
        <f>'[2]2400x1100x1185-2700x1100x1185'!$F$13</f>
        <v>1</v>
      </c>
      <c r="E88" s="215" t="s">
        <v>169</v>
      </c>
      <c r="F88" s="212">
        <f>'[2]1900x1000x950'!$H$13</f>
        <v>503.69</v>
      </c>
      <c r="G88" s="113">
        <f t="shared" si="4"/>
        <v>503.69</v>
      </c>
      <c r="H88" s="456"/>
    </row>
    <row r="89" spans="1:8" hidden="1" x14ac:dyDescent="0.3">
      <c r="A89" s="191">
        <v>9</v>
      </c>
      <c r="B89" s="214" t="s">
        <v>603</v>
      </c>
      <c r="C89" s="139" t="s">
        <v>253</v>
      </c>
      <c r="D89" s="211">
        <f>'[2]2400x1100x1185-2700x1100x1185'!$F$14</f>
        <v>1</v>
      </c>
      <c r="E89" s="215" t="s">
        <v>169</v>
      </c>
      <c r="F89" s="212">
        <f>'[2]1900x1000x950'!$H$14</f>
        <v>3</v>
      </c>
      <c r="G89" s="113">
        <f t="shared" si="4"/>
        <v>3</v>
      </c>
      <c r="H89" s="456"/>
    </row>
    <row r="90" spans="1:8" hidden="1" x14ac:dyDescent="0.3">
      <c r="A90" s="191">
        <v>10</v>
      </c>
      <c r="B90" s="214" t="s">
        <v>604</v>
      </c>
      <c r="C90" s="115" t="s">
        <v>605</v>
      </c>
      <c r="D90" s="211">
        <f>'[2]2400x1100x1185-2700x1100x1185'!$F$15</f>
        <v>1</v>
      </c>
      <c r="E90" s="215" t="s">
        <v>169</v>
      </c>
      <c r="F90" s="212">
        <f>'[2]1900x1000x950'!$H$15</f>
        <v>0.5</v>
      </c>
      <c r="G90" s="113">
        <f t="shared" si="4"/>
        <v>0.5</v>
      </c>
      <c r="H90" s="456"/>
    </row>
    <row r="91" spans="1:8" hidden="1" x14ac:dyDescent="0.3">
      <c r="A91" s="191">
        <v>11</v>
      </c>
      <c r="B91" s="214" t="s">
        <v>606</v>
      </c>
      <c r="C91" s="115" t="s">
        <v>607</v>
      </c>
      <c r="D91" s="211">
        <f>'[2]2400x1100x1185-2700x1100x1185'!$F$16</f>
        <v>1</v>
      </c>
      <c r="E91" s="215" t="s">
        <v>169</v>
      </c>
      <c r="F91" s="212">
        <f>'[2]1900x1000x950'!$H$16</f>
        <v>6</v>
      </c>
      <c r="G91" s="113">
        <f t="shared" si="4"/>
        <v>6</v>
      </c>
      <c r="H91" s="456"/>
    </row>
    <row r="92" spans="1:8" hidden="1" x14ac:dyDescent="0.3">
      <c r="A92" s="191">
        <v>12</v>
      </c>
      <c r="B92" s="214" t="s">
        <v>608</v>
      </c>
      <c r="C92" s="139" t="s">
        <v>249</v>
      </c>
      <c r="D92" s="211">
        <f>'[2]2400x1100x1185-2700x1100x1185'!$F$17</f>
        <v>3</v>
      </c>
      <c r="E92" s="215" t="s">
        <v>169</v>
      </c>
      <c r="F92" s="212">
        <f>'[2]1900x1000x950'!$H$17</f>
        <v>8</v>
      </c>
      <c r="G92" s="113">
        <f t="shared" si="4"/>
        <v>24</v>
      </c>
      <c r="H92" s="456"/>
    </row>
    <row r="93" spans="1:8" hidden="1" x14ac:dyDescent="0.3">
      <c r="A93" s="191">
        <v>13</v>
      </c>
      <c r="B93" s="217" t="s">
        <v>609</v>
      </c>
      <c r="C93" s="139" t="s">
        <v>251</v>
      </c>
      <c r="D93" s="211">
        <f>'[2]2400x1100x1185-2700x1100x1185'!$F$18</f>
        <v>3</v>
      </c>
      <c r="E93" s="215" t="s">
        <v>169</v>
      </c>
      <c r="F93" s="212"/>
      <c r="G93" s="113"/>
      <c r="H93" s="456"/>
    </row>
    <row r="94" spans="1:8" hidden="1" x14ac:dyDescent="0.3">
      <c r="A94" s="191">
        <v>14</v>
      </c>
      <c r="B94" s="217" t="s">
        <v>610</v>
      </c>
      <c r="C94" s="218" t="s">
        <v>611</v>
      </c>
      <c r="D94" s="211">
        <f>'[2]2400x1100x1185-2700x1100x1185'!$F$19</f>
        <v>2</v>
      </c>
      <c r="E94" s="215" t="s">
        <v>169</v>
      </c>
      <c r="F94" s="212"/>
      <c r="G94" s="113"/>
      <c r="H94" s="456"/>
    </row>
    <row r="95" spans="1:8" hidden="1" x14ac:dyDescent="0.3">
      <c r="A95" s="191">
        <v>15</v>
      </c>
      <c r="B95" s="217" t="s">
        <v>612</v>
      </c>
      <c r="C95" s="219" t="s">
        <v>613</v>
      </c>
      <c r="D95" s="211">
        <f>'[2]2400x1100x1185-2700x1100x1185'!$F$20</f>
        <v>2</v>
      </c>
      <c r="E95" s="196" t="s">
        <v>169</v>
      </c>
      <c r="F95" s="212"/>
      <c r="G95" s="113"/>
      <c r="H95" s="456"/>
    </row>
    <row r="96" spans="1:8" hidden="1" x14ac:dyDescent="0.3">
      <c r="A96" s="191">
        <v>16</v>
      </c>
      <c r="B96" s="217" t="s">
        <v>614</v>
      </c>
      <c r="C96" s="219" t="s">
        <v>615</v>
      </c>
      <c r="D96" s="211">
        <f>'[2]2400x1100x1185-2700x1100x1185'!$F$21</f>
        <v>1</v>
      </c>
      <c r="E96" s="196" t="s">
        <v>169</v>
      </c>
      <c r="F96" s="212">
        <f>'[2]1900x1000x950'!$H$18</f>
        <v>2.3809523809523809</v>
      </c>
      <c r="G96" s="101">
        <f t="shared" si="4"/>
        <v>2.3809523809523809</v>
      </c>
      <c r="H96" s="456"/>
    </row>
    <row r="97" spans="1:8" hidden="1" x14ac:dyDescent="0.3">
      <c r="A97" s="191">
        <v>17</v>
      </c>
      <c r="B97" s="217" t="s">
        <v>616</v>
      </c>
      <c r="C97" s="198" t="s">
        <v>329</v>
      </c>
      <c r="D97" s="220">
        <f>'[2]2400x1100x1185-2700x1100x1185'!$F$22</f>
        <v>0.2</v>
      </c>
      <c r="E97" s="195" t="s">
        <v>200</v>
      </c>
      <c r="F97" s="212">
        <f>'[2]1900x1000x950'!$H$19</f>
        <v>5.2380952380952381</v>
      </c>
      <c r="G97" s="101">
        <f t="shared" si="4"/>
        <v>1.0476190476190477</v>
      </c>
      <c r="H97" s="456"/>
    </row>
    <row r="98" spans="1:8" hidden="1" x14ac:dyDescent="0.3">
      <c r="A98" s="191">
        <v>18</v>
      </c>
      <c r="B98" s="217" t="s">
        <v>330</v>
      </c>
      <c r="C98" s="198" t="s">
        <v>331</v>
      </c>
      <c r="D98" s="220">
        <f>'[2]2400x1100x1185-2700x1100x1185'!$F$23</f>
        <v>2</v>
      </c>
      <c r="E98" s="195" t="s">
        <v>169</v>
      </c>
      <c r="F98" s="221" t="str">
        <f>'[2]1900x1000x950'!$H$20</f>
        <v>2.75</v>
      </c>
      <c r="G98" s="101">
        <f t="shared" si="4"/>
        <v>5.5</v>
      </c>
      <c r="H98" s="456"/>
    </row>
    <row r="99" spans="1:8" ht="15" hidden="1" thickBot="1" x14ac:dyDescent="0.35">
      <c r="A99" s="222">
        <v>19</v>
      </c>
      <c r="B99" s="223" t="s">
        <v>617</v>
      </c>
      <c r="C99" s="224" t="s">
        <v>618</v>
      </c>
      <c r="D99" s="220" t="str">
        <f>'[2]2400x1100x1185-2700x1100x1185'!$F$24</f>
        <v>1</v>
      </c>
      <c r="E99" s="225" t="s">
        <v>169</v>
      </c>
      <c r="F99" s="212">
        <f>'[2]1900x1000x950'!$H$21</f>
        <v>98.952380952380949</v>
      </c>
      <c r="G99" s="226">
        <f t="shared" si="4"/>
        <v>98.952380952380949</v>
      </c>
      <c r="H99" s="456"/>
    </row>
    <row r="100" spans="1:8" ht="15" hidden="1" thickBot="1" x14ac:dyDescent="0.35">
      <c r="A100" s="202" t="s">
        <v>550</v>
      </c>
      <c r="B100" s="458" t="s">
        <v>573</v>
      </c>
      <c r="C100" s="459"/>
      <c r="D100" s="459"/>
      <c r="E100" s="460"/>
      <c r="H100" s="227"/>
    </row>
    <row r="101" spans="1:8" hidden="1" x14ac:dyDescent="0.3">
      <c r="A101" s="203">
        <v>1</v>
      </c>
      <c r="B101" s="204" t="s">
        <v>619</v>
      </c>
      <c r="D101" s="205">
        <v>20</v>
      </c>
      <c r="F101" s="205">
        <v>0.68</v>
      </c>
      <c r="G101" s="206">
        <f t="shared" ref="G101:G119" si="5">D101*F101</f>
        <v>13.600000000000001</v>
      </c>
      <c r="H101" s="227"/>
    </row>
    <row r="102" spans="1:8" hidden="1" x14ac:dyDescent="0.3">
      <c r="A102" s="191">
        <v>2</v>
      </c>
      <c r="B102" s="207" t="s">
        <v>620</v>
      </c>
      <c r="D102" s="49">
        <v>0.35</v>
      </c>
      <c r="F102" s="49">
        <v>6.5</v>
      </c>
      <c r="G102" s="206">
        <f t="shared" si="5"/>
        <v>2.2749999999999999</v>
      </c>
      <c r="H102" s="227"/>
    </row>
    <row r="103" spans="1:8" hidden="1" x14ac:dyDescent="0.3">
      <c r="A103" s="191">
        <v>3</v>
      </c>
      <c r="B103" s="207" t="s">
        <v>621</v>
      </c>
      <c r="D103" s="49">
        <v>1.2</v>
      </c>
      <c r="F103" s="49">
        <v>3.75</v>
      </c>
      <c r="G103" s="206">
        <f t="shared" si="5"/>
        <v>4.5</v>
      </c>
      <c r="H103" s="227"/>
    </row>
    <row r="104" spans="1:8" hidden="1" x14ac:dyDescent="0.3">
      <c r="A104" s="191">
        <v>4</v>
      </c>
      <c r="B104" s="207" t="s">
        <v>622</v>
      </c>
      <c r="D104" s="49">
        <v>2</v>
      </c>
      <c r="F104" s="49">
        <v>1</v>
      </c>
      <c r="G104" s="206">
        <f t="shared" si="5"/>
        <v>2</v>
      </c>
      <c r="H104" s="227"/>
    </row>
    <row r="105" spans="1:8" hidden="1" x14ac:dyDescent="0.3">
      <c r="A105" s="191">
        <v>5</v>
      </c>
      <c r="B105" s="207" t="s">
        <v>623</v>
      </c>
      <c r="D105" s="49">
        <v>2</v>
      </c>
      <c r="F105" s="49">
        <v>1.5</v>
      </c>
      <c r="G105" s="206">
        <f t="shared" si="5"/>
        <v>3</v>
      </c>
      <c r="H105" s="227"/>
    </row>
    <row r="106" spans="1:8" hidden="1" x14ac:dyDescent="0.3">
      <c r="A106" s="191">
        <v>6</v>
      </c>
      <c r="B106" s="207" t="s">
        <v>624</v>
      </c>
      <c r="D106" s="49">
        <v>2</v>
      </c>
      <c r="F106" s="49">
        <v>1</v>
      </c>
      <c r="G106" s="206">
        <f t="shared" si="5"/>
        <v>2</v>
      </c>
      <c r="H106" s="227"/>
    </row>
    <row r="107" spans="1:8" hidden="1" x14ac:dyDescent="0.3">
      <c r="A107" s="191">
        <v>7</v>
      </c>
      <c r="B107" s="207" t="s">
        <v>625</v>
      </c>
      <c r="D107" s="49">
        <v>1</v>
      </c>
      <c r="F107" s="49">
        <v>0.64</v>
      </c>
      <c r="G107" s="206">
        <f t="shared" si="5"/>
        <v>0.64</v>
      </c>
      <c r="H107" s="227"/>
    </row>
    <row r="108" spans="1:8" hidden="1" x14ac:dyDescent="0.3">
      <c r="A108" s="191">
        <v>8</v>
      </c>
      <c r="B108" s="207" t="s">
        <v>626</v>
      </c>
      <c r="D108" s="49">
        <v>4</v>
      </c>
      <c r="F108" s="49">
        <v>0.1</v>
      </c>
      <c r="G108" s="206">
        <f t="shared" si="5"/>
        <v>0.4</v>
      </c>
      <c r="H108" s="227"/>
    </row>
    <row r="109" spans="1:8" hidden="1" x14ac:dyDescent="0.3">
      <c r="A109" s="191">
        <v>9</v>
      </c>
      <c r="B109" s="207" t="s">
        <v>627</v>
      </c>
      <c r="D109" s="49">
        <v>20</v>
      </c>
      <c r="F109" s="49">
        <v>0.1</v>
      </c>
      <c r="G109" s="206">
        <f t="shared" si="5"/>
        <v>2</v>
      </c>
      <c r="H109" s="227"/>
    </row>
    <row r="110" spans="1:8" hidden="1" x14ac:dyDescent="0.3">
      <c r="A110" s="191">
        <v>10</v>
      </c>
      <c r="B110" s="207" t="s">
        <v>628</v>
      </c>
      <c r="D110" s="49">
        <v>0.5</v>
      </c>
      <c r="F110" s="49">
        <v>5</v>
      </c>
      <c r="G110" s="206">
        <f t="shared" si="5"/>
        <v>2.5</v>
      </c>
      <c r="H110" s="227"/>
    </row>
    <row r="111" spans="1:8" hidden="1" x14ac:dyDescent="0.3">
      <c r="A111" s="191">
        <v>11</v>
      </c>
      <c r="B111" s="207" t="s">
        <v>629</v>
      </c>
      <c r="D111" s="49">
        <v>42</v>
      </c>
      <c r="F111" s="49">
        <v>0.47</v>
      </c>
      <c r="G111" s="206">
        <f t="shared" si="5"/>
        <v>19.739999999999998</v>
      </c>
      <c r="H111" s="227"/>
    </row>
    <row r="112" spans="1:8" hidden="1" x14ac:dyDescent="0.3">
      <c r="A112" s="191">
        <v>12</v>
      </c>
      <c r="B112" s="207" t="s">
        <v>630</v>
      </c>
      <c r="D112" s="49">
        <v>12</v>
      </c>
      <c r="F112" s="49">
        <v>0.71</v>
      </c>
      <c r="G112" s="206">
        <f t="shared" si="5"/>
        <v>8.52</v>
      </c>
      <c r="H112" s="227"/>
    </row>
    <row r="113" spans="1:8" hidden="1" x14ac:dyDescent="0.3">
      <c r="A113" s="191">
        <v>14</v>
      </c>
      <c r="B113" s="207" t="s">
        <v>631</v>
      </c>
      <c r="D113" s="49">
        <v>2.5</v>
      </c>
      <c r="F113" s="49">
        <v>1.55</v>
      </c>
      <c r="G113" s="206">
        <f t="shared" si="5"/>
        <v>3.875</v>
      </c>
      <c r="H113" s="227"/>
    </row>
    <row r="114" spans="1:8" hidden="1" x14ac:dyDescent="0.3">
      <c r="A114" s="191">
        <v>15</v>
      </c>
      <c r="B114" s="207" t="s">
        <v>632</v>
      </c>
      <c r="D114" s="49">
        <v>2</v>
      </c>
      <c r="F114" s="49">
        <v>1.7</v>
      </c>
      <c r="G114" s="206">
        <f t="shared" si="5"/>
        <v>3.4</v>
      </c>
      <c r="H114" s="227"/>
    </row>
    <row r="115" spans="1:8" hidden="1" x14ac:dyDescent="0.3">
      <c r="A115" s="191">
        <v>16</v>
      </c>
      <c r="B115" s="207" t="s">
        <v>633</v>
      </c>
      <c r="D115" s="49">
        <v>1</v>
      </c>
      <c r="F115" s="49">
        <v>2.6</v>
      </c>
      <c r="G115" s="206">
        <f t="shared" si="5"/>
        <v>2.6</v>
      </c>
      <c r="H115" s="227"/>
    </row>
    <row r="116" spans="1:8" hidden="1" x14ac:dyDescent="0.3">
      <c r="A116" s="191">
        <v>17</v>
      </c>
      <c r="B116" s="46" t="s">
        <v>634</v>
      </c>
      <c r="D116" s="49">
        <v>0.5</v>
      </c>
      <c r="F116" s="49">
        <v>3.68</v>
      </c>
      <c r="G116" s="206">
        <f t="shared" si="5"/>
        <v>1.84</v>
      </c>
      <c r="H116" s="227"/>
    </row>
    <row r="117" spans="1:8" hidden="1" x14ac:dyDescent="0.3">
      <c r="A117" s="191">
        <v>18</v>
      </c>
      <c r="B117" s="204" t="s">
        <v>635</v>
      </c>
      <c r="D117" s="205">
        <v>0.1</v>
      </c>
      <c r="F117" s="205">
        <v>14</v>
      </c>
      <c r="G117" s="206">
        <f t="shared" si="5"/>
        <v>1.4000000000000001</v>
      </c>
      <c r="H117" s="227"/>
    </row>
    <row r="118" spans="1:8" hidden="1" x14ac:dyDescent="0.3">
      <c r="A118" s="191">
        <v>19</v>
      </c>
      <c r="B118" s="207" t="s">
        <v>636</v>
      </c>
      <c r="D118" s="49">
        <v>0.5</v>
      </c>
      <c r="F118" s="49">
        <v>4.8</v>
      </c>
      <c r="G118" s="206">
        <f t="shared" si="5"/>
        <v>2.4</v>
      </c>
      <c r="H118" s="227"/>
    </row>
    <row r="119" spans="1:8" ht="15" hidden="1" thickBot="1" x14ac:dyDescent="0.35">
      <c r="A119" s="191">
        <v>20</v>
      </c>
      <c r="B119" s="207" t="s">
        <v>637</v>
      </c>
      <c r="D119" s="49">
        <v>25</v>
      </c>
      <c r="F119" s="49">
        <v>0.25</v>
      </c>
      <c r="G119" s="206">
        <f t="shared" si="5"/>
        <v>6.25</v>
      </c>
      <c r="H119" s="227"/>
    </row>
    <row r="120" spans="1:8" ht="19.5" hidden="1" customHeight="1" thickBot="1" x14ac:dyDescent="0.35">
      <c r="A120" s="202" t="s">
        <v>550</v>
      </c>
      <c r="B120" s="184" t="s">
        <v>551</v>
      </c>
      <c r="C120" s="184" t="s">
        <v>552</v>
      </c>
      <c r="D120" s="184" t="s">
        <v>553</v>
      </c>
      <c r="E120" s="184" t="s">
        <v>554</v>
      </c>
      <c r="F120" s="184" t="s">
        <v>555</v>
      </c>
      <c r="G120" s="228" t="s">
        <v>556</v>
      </c>
      <c r="H120" s="455" t="s">
        <v>638</v>
      </c>
    </row>
    <row r="121" spans="1:8" hidden="1" x14ac:dyDescent="0.3">
      <c r="A121" s="203">
        <v>1</v>
      </c>
      <c r="B121" s="229" t="s">
        <v>639</v>
      </c>
      <c r="C121" s="95" t="s">
        <v>640</v>
      </c>
      <c r="D121" s="230">
        <f>'[3]3" to 4" end to end.'!$F$6</f>
        <v>0.35</v>
      </c>
      <c r="E121" s="230" t="s">
        <v>169</v>
      </c>
      <c r="F121" s="231">
        <f>'[3]2" end to end'!$H$6</f>
        <v>135</v>
      </c>
      <c r="G121" s="232">
        <f>F121*D121</f>
        <v>47.25</v>
      </c>
      <c r="H121" s="456"/>
    </row>
    <row r="122" spans="1:8" hidden="1" x14ac:dyDescent="0.3">
      <c r="A122" s="191">
        <v>2</v>
      </c>
      <c r="B122" s="136" t="s">
        <v>641</v>
      </c>
      <c r="C122" s="96" t="s">
        <v>642</v>
      </c>
      <c r="D122" s="230">
        <f>'[3]3" to 4" end to end.'!$F$7</f>
        <v>0.4</v>
      </c>
      <c r="E122" s="233" t="s">
        <v>643</v>
      </c>
      <c r="F122" s="208">
        <f>'[3]2" end to end'!$H$7</f>
        <v>20.647619047619045</v>
      </c>
      <c r="G122" s="234">
        <f>F122*D122</f>
        <v>8.2590476190476192</v>
      </c>
      <c r="H122" s="456"/>
    </row>
    <row r="123" spans="1:8" ht="15" hidden="1" thickBot="1" x14ac:dyDescent="0.35">
      <c r="A123" s="235">
        <v>3</v>
      </c>
      <c r="B123" s="236" t="s">
        <v>644</v>
      </c>
      <c r="C123" s="237" t="s">
        <v>645</v>
      </c>
      <c r="D123" s="230">
        <f>'[3]3" to 4" end to end.'!$F$8</f>
        <v>0.4</v>
      </c>
      <c r="E123" s="238" t="s">
        <v>200</v>
      </c>
      <c r="F123" s="239">
        <f>'[3]2" end to end'!$H$8</f>
        <v>11.61</v>
      </c>
      <c r="G123" s="240">
        <f>F123*D123</f>
        <v>4.6440000000000001</v>
      </c>
      <c r="H123" s="456"/>
    </row>
    <row r="124" spans="1:8" ht="15" hidden="1" thickBot="1" x14ac:dyDescent="0.35">
      <c r="A124" s="83">
        <v>4</v>
      </c>
      <c r="B124" s="236" t="s">
        <v>558</v>
      </c>
      <c r="C124" s="117" t="s">
        <v>559</v>
      </c>
      <c r="D124" s="238">
        <f>'[3]3" to 4" end to end.'!$F$9</f>
        <v>0.2</v>
      </c>
      <c r="E124" s="238" t="s">
        <v>200</v>
      </c>
      <c r="H124" s="456"/>
    </row>
    <row r="125" spans="1:8" ht="15" hidden="1" thickBot="1" x14ac:dyDescent="0.35">
      <c r="A125" s="202" t="s">
        <v>550</v>
      </c>
      <c r="B125" s="458" t="s">
        <v>573</v>
      </c>
      <c r="C125" s="459"/>
      <c r="D125" s="459"/>
      <c r="E125" s="460"/>
      <c r="H125" s="456"/>
    </row>
    <row r="126" spans="1:8" hidden="1" x14ac:dyDescent="0.3">
      <c r="A126" s="203">
        <v>1</v>
      </c>
      <c r="B126" s="204" t="s">
        <v>646</v>
      </c>
      <c r="D126" s="205">
        <v>0</v>
      </c>
      <c r="F126" s="231">
        <v>38</v>
      </c>
      <c r="G126" s="206">
        <f t="shared" ref="G126:G137" si="6">D126*F126</f>
        <v>0</v>
      </c>
      <c r="H126" s="456"/>
    </row>
    <row r="127" spans="1:8" hidden="1" x14ac:dyDescent="0.3">
      <c r="A127" s="191">
        <v>2</v>
      </c>
      <c r="B127" s="207" t="s">
        <v>647</v>
      </c>
      <c r="D127" s="49">
        <v>0.5</v>
      </c>
      <c r="F127" s="49">
        <v>5</v>
      </c>
      <c r="G127" s="206">
        <f t="shared" si="6"/>
        <v>2.5</v>
      </c>
      <c r="H127" s="456"/>
    </row>
    <row r="128" spans="1:8" hidden="1" x14ac:dyDescent="0.3">
      <c r="A128" s="191">
        <v>3</v>
      </c>
      <c r="B128" s="207" t="s">
        <v>648</v>
      </c>
      <c r="D128" s="49">
        <v>0.1</v>
      </c>
      <c r="F128" s="49">
        <v>12.79</v>
      </c>
      <c r="G128" s="206">
        <f t="shared" si="6"/>
        <v>1.2789999999999999</v>
      </c>
      <c r="H128" s="456"/>
    </row>
    <row r="129" spans="1:8" hidden="1" x14ac:dyDescent="0.3">
      <c r="A129" s="191">
        <v>4</v>
      </c>
      <c r="B129" s="207" t="s">
        <v>586</v>
      </c>
      <c r="D129" s="49">
        <v>1</v>
      </c>
      <c r="F129" s="49">
        <v>1</v>
      </c>
      <c r="G129" s="206">
        <f t="shared" si="6"/>
        <v>1</v>
      </c>
      <c r="H129" s="456"/>
    </row>
    <row r="130" spans="1:8" hidden="1" x14ac:dyDescent="0.3">
      <c r="A130" s="191">
        <v>5</v>
      </c>
      <c r="B130" s="207" t="s">
        <v>649</v>
      </c>
      <c r="D130" s="49">
        <v>1</v>
      </c>
      <c r="F130" s="49">
        <v>1</v>
      </c>
      <c r="G130" s="206">
        <f t="shared" si="6"/>
        <v>1</v>
      </c>
      <c r="H130" s="456"/>
    </row>
    <row r="131" spans="1:8" hidden="1" x14ac:dyDescent="0.3">
      <c r="A131" s="191">
        <v>6</v>
      </c>
      <c r="B131" s="207" t="s">
        <v>650</v>
      </c>
      <c r="D131" s="49">
        <v>0.25</v>
      </c>
      <c r="F131" s="49">
        <v>3</v>
      </c>
      <c r="G131" s="206">
        <f t="shared" si="6"/>
        <v>0.75</v>
      </c>
      <c r="H131" s="456"/>
    </row>
    <row r="132" spans="1:8" hidden="1" x14ac:dyDescent="0.3">
      <c r="A132" s="191">
        <v>7</v>
      </c>
      <c r="B132" s="207" t="s">
        <v>651</v>
      </c>
      <c r="D132" s="49">
        <v>0.3</v>
      </c>
      <c r="F132" s="49">
        <v>30</v>
      </c>
      <c r="G132" s="206">
        <f t="shared" si="6"/>
        <v>9</v>
      </c>
      <c r="H132" s="456"/>
    </row>
    <row r="133" spans="1:8" hidden="1" x14ac:dyDescent="0.3">
      <c r="A133" s="191">
        <v>8</v>
      </c>
      <c r="B133" s="207" t="s">
        <v>652</v>
      </c>
      <c r="D133" s="49">
        <v>1</v>
      </c>
      <c r="F133" s="49">
        <v>2</v>
      </c>
      <c r="G133" s="206">
        <f t="shared" si="6"/>
        <v>2</v>
      </c>
      <c r="H133" s="456"/>
    </row>
    <row r="134" spans="1:8" hidden="1" x14ac:dyDescent="0.3">
      <c r="A134" s="191">
        <v>9</v>
      </c>
      <c r="B134" s="207" t="s">
        <v>653</v>
      </c>
      <c r="D134" s="49">
        <v>0</v>
      </c>
      <c r="F134" s="49">
        <v>0.1</v>
      </c>
      <c r="G134" s="206">
        <f t="shared" si="6"/>
        <v>0</v>
      </c>
      <c r="H134" s="456"/>
    </row>
    <row r="135" spans="1:8" hidden="1" x14ac:dyDescent="0.3">
      <c r="A135" s="191">
        <v>10</v>
      </c>
      <c r="B135" s="207" t="s">
        <v>654</v>
      </c>
      <c r="D135" s="49">
        <v>0</v>
      </c>
      <c r="F135" s="49">
        <v>0.05</v>
      </c>
      <c r="G135" s="206">
        <f t="shared" si="6"/>
        <v>0</v>
      </c>
      <c r="H135" s="456"/>
    </row>
    <row r="136" spans="1:8" hidden="1" x14ac:dyDescent="0.3">
      <c r="A136" s="191">
        <v>11</v>
      </c>
      <c r="B136" s="207" t="s">
        <v>581</v>
      </c>
      <c r="D136" s="49">
        <v>0.1</v>
      </c>
      <c r="F136" s="208">
        <v>28</v>
      </c>
      <c r="G136" s="206">
        <f t="shared" si="6"/>
        <v>2.8000000000000003</v>
      </c>
      <c r="H136" s="456"/>
    </row>
    <row r="137" spans="1:8" ht="15" hidden="1" thickBot="1" x14ac:dyDescent="0.35">
      <c r="A137" s="191">
        <v>12</v>
      </c>
      <c r="B137" s="207" t="s">
        <v>588</v>
      </c>
      <c r="D137" s="49">
        <v>1</v>
      </c>
      <c r="F137" s="49">
        <v>1</v>
      </c>
      <c r="G137" s="206">
        <f t="shared" si="6"/>
        <v>1</v>
      </c>
      <c r="H137" s="457"/>
    </row>
    <row r="138" spans="1:8" ht="15.75" hidden="1" customHeight="1" thickBot="1" x14ac:dyDescent="0.35">
      <c r="A138" s="241"/>
      <c r="B138" s="242" t="s">
        <v>551</v>
      </c>
      <c r="C138" s="243" t="s">
        <v>552</v>
      </c>
      <c r="D138" s="243" t="s">
        <v>553</v>
      </c>
      <c r="E138" s="243" t="s">
        <v>554</v>
      </c>
      <c r="F138" s="184" t="s">
        <v>555</v>
      </c>
      <c r="G138" s="185" t="s">
        <v>556</v>
      </c>
      <c r="H138" s="455" t="s">
        <v>387</v>
      </c>
    </row>
    <row r="139" spans="1:8" hidden="1" x14ac:dyDescent="0.3">
      <c r="A139" s="244">
        <v>1</v>
      </c>
      <c r="B139" s="245" t="s">
        <v>655</v>
      </c>
      <c r="C139" s="246" t="s">
        <v>656</v>
      </c>
      <c r="D139" s="247" t="s">
        <v>657</v>
      </c>
      <c r="E139" s="247" t="s">
        <v>169</v>
      </c>
      <c r="F139" s="248">
        <v>189.72</v>
      </c>
      <c r="G139" s="249">
        <f>D139*F139</f>
        <v>455.32799999999997</v>
      </c>
      <c r="H139" s="456"/>
    </row>
    <row r="140" spans="1:8" hidden="1" x14ac:dyDescent="0.3">
      <c r="A140" s="250">
        <v>2</v>
      </c>
      <c r="B140" s="251" t="s">
        <v>658</v>
      </c>
      <c r="C140" s="133">
        <v>5010001</v>
      </c>
      <c r="D140" s="112" t="s">
        <v>659</v>
      </c>
      <c r="E140" s="112" t="s">
        <v>169</v>
      </c>
      <c r="F140" s="252">
        <v>570</v>
      </c>
      <c r="G140" s="253">
        <f t="shared" ref="G140:G151" si="7">D140*F140</f>
        <v>22.8</v>
      </c>
      <c r="H140" s="456"/>
    </row>
    <row r="141" spans="1:8" hidden="1" x14ac:dyDescent="0.3">
      <c r="A141" s="250">
        <v>3</v>
      </c>
      <c r="B141" s="254" t="s">
        <v>660</v>
      </c>
      <c r="C141" s="255" t="s">
        <v>661</v>
      </c>
      <c r="D141" s="112" t="s">
        <v>167</v>
      </c>
      <c r="E141" s="112" t="s">
        <v>169</v>
      </c>
      <c r="F141" s="252">
        <f>9.73/1.05</f>
        <v>9.2666666666666675</v>
      </c>
      <c r="G141" s="253">
        <f t="shared" si="7"/>
        <v>9.2666666666666675</v>
      </c>
      <c r="H141" s="456"/>
    </row>
    <row r="142" spans="1:8" hidden="1" x14ac:dyDescent="0.3">
      <c r="A142" s="250">
        <v>4</v>
      </c>
      <c r="B142" s="254" t="s">
        <v>662</v>
      </c>
      <c r="C142" s="255" t="s">
        <v>663</v>
      </c>
      <c r="D142" s="112" t="s">
        <v>167</v>
      </c>
      <c r="E142" s="112" t="s">
        <v>169</v>
      </c>
      <c r="F142" s="252">
        <f>54.12/1.05</f>
        <v>51.542857142857137</v>
      </c>
      <c r="G142" s="253">
        <f t="shared" si="7"/>
        <v>51.542857142857137</v>
      </c>
      <c r="H142" s="456"/>
    </row>
    <row r="143" spans="1:8" hidden="1" x14ac:dyDescent="0.3">
      <c r="A143" s="250">
        <v>5</v>
      </c>
      <c r="B143" s="256" t="s">
        <v>664</v>
      </c>
      <c r="C143" s="255">
        <v>5040046</v>
      </c>
      <c r="D143" s="257" t="s">
        <v>665</v>
      </c>
      <c r="E143" s="257" t="s">
        <v>169</v>
      </c>
      <c r="F143" s="252">
        <v>40</v>
      </c>
      <c r="G143" s="253">
        <f t="shared" si="7"/>
        <v>4</v>
      </c>
      <c r="H143" s="456"/>
    </row>
    <row r="144" spans="1:8" hidden="1" x14ac:dyDescent="0.3">
      <c r="A144" s="250">
        <v>6</v>
      </c>
      <c r="B144" s="258" t="s">
        <v>666</v>
      </c>
      <c r="C144" s="259" t="s">
        <v>667</v>
      </c>
      <c r="D144" s="260">
        <v>1</v>
      </c>
      <c r="E144" s="260" t="s">
        <v>169</v>
      </c>
      <c r="F144" s="105">
        <v>2</v>
      </c>
      <c r="G144" s="101">
        <f t="shared" si="7"/>
        <v>2</v>
      </c>
      <c r="H144" s="456"/>
    </row>
    <row r="145" spans="1:8" hidden="1" x14ac:dyDescent="0.3">
      <c r="A145" s="250">
        <v>7</v>
      </c>
      <c r="B145" s="258" t="s">
        <v>668</v>
      </c>
      <c r="C145" s="259" t="s">
        <v>669</v>
      </c>
      <c r="D145" s="260">
        <v>1</v>
      </c>
      <c r="E145" s="260" t="s">
        <v>169</v>
      </c>
      <c r="F145" s="105">
        <v>2.25</v>
      </c>
      <c r="G145" s="101">
        <f t="shared" si="7"/>
        <v>2.25</v>
      </c>
      <c r="H145" s="456"/>
    </row>
    <row r="146" spans="1:8" hidden="1" x14ac:dyDescent="0.3">
      <c r="A146" s="250">
        <v>8</v>
      </c>
      <c r="B146" s="258" t="s">
        <v>670</v>
      </c>
      <c r="C146" s="259" t="s">
        <v>671</v>
      </c>
      <c r="D146" s="260">
        <v>3</v>
      </c>
      <c r="E146" s="260" t="s">
        <v>169</v>
      </c>
      <c r="F146" s="105">
        <v>1.5</v>
      </c>
      <c r="G146" s="101">
        <f t="shared" si="7"/>
        <v>4.5</v>
      </c>
      <c r="H146" s="456"/>
    </row>
    <row r="147" spans="1:8" hidden="1" x14ac:dyDescent="0.3">
      <c r="A147" s="250">
        <v>9</v>
      </c>
      <c r="B147" s="258" t="s">
        <v>672</v>
      </c>
      <c r="C147" s="259" t="s">
        <v>673</v>
      </c>
      <c r="D147" s="260">
        <v>1</v>
      </c>
      <c r="E147" s="260" t="s">
        <v>169</v>
      </c>
      <c r="F147" s="105">
        <v>1.75</v>
      </c>
      <c r="G147" s="101">
        <f t="shared" si="7"/>
        <v>1.75</v>
      </c>
      <c r="H147" s="456"/>
    </row>
    <row r="148" spans="1:8" hidden="1" x14ac:dyDescent="0.3">
      <c r="A148" s="250">
        <v>10</v>
      </c>
      <c r="B148" s="258" t="s">
        <v>674</v>
      </c>
      <c r="C148" s="259" t="s">
        <v>675</v>
      </c>
      <c r="D148" s="260">
        <v>1</v>
      </c>
      <c r="E148" s="260" t="s">
        <v>169</v>
      </c>
      <c r="F148" s="105">
        <v>2.5</v>
      </c>
      <c r="G148" s="101">
        <f t="shared" si="7"/>
        <v>2.5</v>
      </c>
      <c r="H148" s="456"/>
    </row>
    <row r="149" spans="1:8" hidden="1" x14ac:dyDescent="0.3">
      <c r="A149" s="250">
        <v>11</v>
      </c>
      <c r="B149" s="258" t="s">
        <v>676</v>
      </c>
      <c r="C149" s="259" t="s">
        <v>677</v>
      </c>
      <c r="D149" s="260">
        <v>1</v>
      </c>
      <c r="E149" s="260" t="s">
        <v>169</v>
      </c>
      <c r="F149" s="105">
        <v>2.5</v>
      </c>
      <c r="G149" s="101">
        <f t="shared" si="7"/>
        <v>2.5</v>
      </c>
      <c r="H149" s="456"/>
    </row>
    <row r="150" spans="1:8" hidden="1" x14ac:dyDescent="0.3">
      <c r="A150" s="250">
        <v>12</v>
      </c>
      <c r="B150" s="258" t="s">
        <v>678</v>
      </c>
      <c r="C150" s="102" t="s">
        <v>679</v>
      </c>
      <c r="D150" s="260">
        <v>2</v>
      </c>
      <c r="E150" s="260" t="s">
        <v>169</v>
      </c>
      <c r="F150" s="105">
        <v>2.5</v>
      </c>
      <c r="G150" s="101">
        <f t="shared" si="7"/>
        <v>5</v>
      </c>
      <c r="H150" s="456"/>
    </row>
    <row r="151" spans="1:8" ht="15" hidden="1" thickBot="1" x14ac:dyDescent="0.35">
      <c r="A151" s="261">
        <v>13</v>
      </c>
      <c r="B151" s="262" t="s">
        <v>680</v>
      </c>
      <c r="C151" s="263" t="s">
        <v>681</v>
      </c>
      <c r="D151" s="264">
        <v>1</v>
      </c>
      <c r="E151" s="264" t="s">
        <v>169</v>
      </c>
      <c r="F151" s="265">
        <v>2</v>
      </c>
      <c r="G151" s="266">
        <f t="shared" si="7"/>
        <v>2</v>
      </c>
      <c r="H151" s="456"/>
    </row>
    <row r="152" spans="1:8" ht="15" hidden="1" thickBot="1" x14ac:dyDescent="0.35">
      <c r="A152" s="241" t="s">
        <v>550</v>
      </c>
      <c r="B152" s="461" t="s">
        <v>573</v>
      </c>
      <c r="C152" s="462"/>
      <c r="D152" s="462"/>
      <c r="E152" s="463"/>
      <c r="F152" s="184" t="s">
        <v>574</v>
      </c>
      <c r="G152" s="185" t="s">
        <v>166</v>
      </c>
      <c r="H152" s="456"/>
    </row>
    <row r="153" spans="1:8" hidden="1" x14ac:dyDescent="0.3">
      <c r="A153" s="267">
        <v>1</v>
      </c>
      <c r="B153" s="39" t="s">
        <v>682</v>
      </c>
      <c r="C153" s="268"/>
      <c r="D153" s="42">
        <v>0.5</v>
      </c>
      <c r="E153" s="269"/>
      <c r="F153" s="204">
        <v>5</v>
      </c>
      <c r="G153" s="206">
        <f t="shared" ref="G153:G167" si="8">D153*F153</f>
        <v>2.5</v>
      </c>
      <c r="H153" s="456"/>
    </row>
    <row r="154" spans="1:8" hidden="1" x14ac:dyDescent="0.3">
      <c r="A154" s="250">
        <v>2</v>
      </c>
      <c r="B154" s="46" t="s">
        <v>683</v>
      </c>
      <c r="C154" s="29"/>
      <c r="D154" s="49">
        <v>15</v>
      </c>
      <c r="E154" s="270"/>
      <c r="F154" s="207">
        <v>0.1</v>
      </c>
      <c r="G154" s="206">
        <f t="shared" si="8"/>
        <v>1.5</v>
      </c>
      <c r="H154" s="456"/>
    </row>
    <row r="155" spans="1:8" hidden="1" x14ac:dyDescent="0.3">
      <c r="A155" s="250">
        <v>3</v>
      </c>
      <c r="B155" s="46" t="s">
        <v>684</v>
      </c>
      <c r="C155" s="29"/>
      <c r="D155" s="49">
        <v>15</v>
      </c>
      <c r="E155" s="270"/>
      <c r="F155" s="207">
        <v>0.05</v>
      </c>
      <c r="G155" s="206">
        <f t="shared" si="8"/>
        <v>0.75</v>
      </c>
      <c r="H155" s="456"/>
    </row>
    <row r="156" spans="1:8" hidden="1" x14ac:dyDescent="0.3">
      <c r="A156" s="250">
        <v>4</v>
      </c>
      <c r="B156" s="46" t="s">
        <v>685</v>
      </c>
      <c r="C156" s="29"/>
      <c r="D156" s="49">
        <v>2</v>
      </c>
      <c r="E156" s="270"/>
      <c r="F156" s="207">
        <v>3.25</v>
      </c>
      <c r="G156" s="206">
        <f t="shared" si="8"/>
        <v>6.5</v>
      </c>
      <c r="H156" s="456"/>
    </row>
    <row r="157" spans="1:8" hidden="1" x14ac:dyDescent="0.3">
      <c r="A157" s="250">
        <v>5</v>
      </c>
      <c r="B157" s="46" t="s">
        <v>686</v>
      </c>
      <c r="C157" s="29"/>
      <c r="D157" s="49">
        <v>0.5</v>
      </c>
      <c r="E157" s="270"/>
      <c r="F157" s="271">
        <v>38</v>
      </c>
      <c r="G157" s="206">
        <f t="shared" si="8"/>
        <v>19</v>
      </c>
      <c r="H157" s="456"/>
    </row>
    <row r="158" spans="1:8" hidden="1" x14ac:dyDescent="0.3">
      <c r="A158" s="250">
        <v>6</v>
      </c>
      <c r="B158" s="46" t="s">
        <v>687</v>
      </c>
      <c r="C158" s="29"/>
      <c r="D158" s="49">
        <v>0</v>
      </c>
      <c r="E158" s="270"/>
      <c r="F158" s="207">
        <v>12.79</v>
      </c>
      <c r="G158" s="206">
        <f t="shared" si="8"/>
        <v>0</v>
      </c>
      <c r="H158" s="456"/>
    </row>
    <row r="159" spans="1:8" hidden="1" x14ac:dyDescent="0.3">
      <c r="A159" s="250">
        <v>7</v>
      </c>
      <c r="B159" s="46" t="s">
        <v>586</v>
      </c>
      <c r="C159" s="29"/>
      <c r="D159" s="49">
        <v>1</v>
      </c>
      <c r="E159" s="270"/>
      <c r="F159" s="207">
        <v>1</v>
      </c>
      <c r="G159" s="206">
        <f t="shared" si="8"/>
        <v>1</v>
      </c>
      <c r="H159" s="456"/>
    </row>
    <row r="160" spans="1:8" hidden="1" x14ac:dyDescent="0.3">
      <c r="A160" s="250">
        <v>8</v>
      </c>
      <c r="B160" s="46" t="s">
        <v>688</v>
      </c>
      <c r="C160" s="29"/>
      <c r="D160" s="49">
        <v>1</v>
      </c>
      <c r="E160" s="270"/>
      <c r="F160" s="207">
        <v>1</v>
      </c>
      <c r="G160" s="206">
        <f t="shared" si="8"/>
        <v>1</v>
      </c>
      <c r="H160" s="456"/>
    </row>
    <row r="161" spans="1:8" hidden="1" x14ac:dyDescent="0.3">
      <c r="A161" s="250">
        <v>9</v>
      </c>
      <c r="B161" s="46" t="s">
        <v>689</v>
      </c>
      <c r="C161" s="29"/>
      <c r="D161" s="49">
        <v>0.2</v>
      </c>
      <c r="E161" s="270"/>
      <c r="F161" s="207">
        <v>3</v>
      </c>
      <c r="G161" s="206">
        <f t="shared" si="8"/>
        <v>0.60000000000000009</v>
      </c>
      <c r="H161" s="456"/>
    </row>
    <row r="162" spans="1:8" hidden="1" x14ac:dyDescent="0.3">
      <c r="A162" s="250">
        <v>10</v>
      </c>
      <c r="B162" s="46" t="s">
        <v>690</v>
      </c>
      <c r="C162" s="29"/>
      <c r="D162" s="49">
        <v>2</v>
      </c>
      <c r="E162" s="270"/>
      <c r="F162" s="207">
        <v>3.64</v>
      </c>
      <c r="G162" s="206">
        <f t="shared" si="8"/>
        <v>7.28</v>
      </c>
      <c r="H162" s="456"/>
    </row>
    <row r="163" spans="1:8" hidden="1" x14ac:dyDescent="0.3">
      <c r="A163" s="250">
        <v>11</v>
      </c>
      <c r="B163" s="46" t="s">
        <v>691</v>
      </c>
      <c r="C163" s="29"/>
      <c r="D163" s="49">
        <v>2</v>
      </c>
      <c r="E163" s="270"/>
      <c r="F163" s="207">
        <v>11.4</v>
      </c>
      <c r="G163" s="206">
        <f t="shared" si="8"/>
        <v>22.8</v>
      </c>
      <c r="H163" s="456"/>
    </row>
    <row r="164" spans="1:8" hidden="1" x14ac:dyDescent="0.3">
      <c r="A164" s="250">
        <v>12</v>
      </c>
      <c r="B164" s="46" t="s">
        <v>692</v>
      </c>
      <c r="C164" s="29"/>
      <c r="D164" s="49">
        <v>0.5</v>
      </c>
      <c r="E164" s="270"/>
      <c r="F164" s="207">
        <v>1</v>
      </c>
      <c r="G164" s="206">
        <f t="shared" si="8"/>
        <v>0.5</v>
      </c>
      <c r="H164" s="456"/>
    </row>
    <row r="165" spans="1:8" hidden="1" x14ac:dyDescent="0.3">
      <c r="A165" s="250">
        <v>14</v>
      </c>
      <c r="B165" s="46" t="s">
        <v>650</v>
      </c>
      <c r="C165" s="29"/>
      <c r="D165" s="49">
        <v>0.25</v>
      </c>
      <c r="E165" s="270"/>
      <c r="F165" s="207">
        <v>3</v>
      </c>
      <c r="G165" s="206">
        <f t="shared" si="8"/>
        <v>0.75</v>
      </c>
      <c r="H165" s="456"/>
    </row>
    <row r="166" spans="1:8" hidden="1" x14ac:dyDescent="0.3">
      <c r="A166" s="250">
        <v>15</v>
      </c>
      <c r="B166" s="46" t="s">
        <v>693</v>
      </c>
      <c r="C166" s="29"/>
      <c r="D166" s="49">
        <v>0</v>
      </c>
      <c r="E166" s="270"/>
      <c r="F166" s="207">
        <v>1.7</v>
      </c>
      <c r="G166" s="206">
        <f t="shared" si="8"/>
        <v>0</v>
      </c>
      <c r="H166" s="456"/>
    </row>
    <row r="167" spans="1:8" ht="15" hidden="1" thickBot="1" x14ac:dyDescent="0.35">
      <c r="A167" s="250">
        <v>16</v>
      </c>
      <c r="B167" s="54" t="s">
        <v>588</v>
      </c>
      <c r="C167" s="272"/>
      <c r="D167" s="57">
        <v>1</v>
      </c>
      <c r="E167" s="273"/>
      <c r="F167" s="274">
        <v>1</v>
      </c>
      <c r="G167" s="275">
        <f t="shared" si="8"/>
        <v>1</v>
      </c>
      <c r="H167" s="457"/>
    </row>
    <row r="168" spans="1:8" hidden="1" x14ac:dyDescent="0.3"/>
    <row r="169" spans="1:8" hidden="1" x14ac:dyDescent="0.3"/>
    <row r="170" spans="1:8" hidden="1" x14ac:dyDescent="0.3"/>
    <row r="171" spans="1:8" hidden="1" x14ac:dyDescent="0.3"/>
    <row r="172" spans="1:8" hidden="1" x14ac:dyDescent="0.3"/>
    <row r="173" spans="1:8" hidden="1" x14ac:dyDescent="0.3"/>
    <row r="174" spans="1:8" hidden="1" x14ac:dyDescent="0.3"/>
    <row r="175" spans="1:8" hidden="1" x14ac:dyDescent="0.3"/>
    <row r="176" spans="1:8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spans="1:7" hidden="1" x14ac:dyDescent="0.3"/>
    <row r="194" spans="1:7" hidden="1" x14ac:dyDescent="0.3"/>
    <row r="195" spans="1:7" hidden="1" x14ac:dyDescent="0.3"/>
    <row r="196" spans="1:7" hidden="1" x14ac:dyDescent="0.3"/>
    <row r="197" spans="1:7" hidden="1" x14ac:dyDescent="0.3"/>
    <row r="198" spans="1:7" hidden="1" x14ac:dyDescent="0.3"/>
    <row r="199" spans="1:7" hidden="1" x14ac:dyDescent="0.3"/>
    <row r="200" spans="1:7" hidden="1" x14ac:dyDescent="0.3"/>
    <row r="201" spans="1:7" hidden="1" x14ac:dyDescent="0.3"/>
    <row r="202" spans="1:7" hidden="1" x14ac:dyDescent="0.3"/>
    <row r="203" spans="1:7" hidden="1" x14ac:dyDescent="0.3"/>
    <row r="204" spans="1:7" hidden="1" x14ac:dyDescent="0.3"/>
    <row r="205" spans="1:7" hidden="1" x14ac:dyDescent="0.3"/>
    <row r="206" spans="1:7" hidden="1" x14ac:dyDescent="0.3"/>
    <row r="207" spans="1:7" hidden="1" x14ac:dyDescent="0.3"/>
    <row r="208" spans="1:7" ht="15" thickBot="1" x14ac:dyDescent="0.35">
      <c r="A208" s="202" t="s">
        <v>550</v>
      </c>
      <c r="B208" s="279" t="s">
        <v>709</v>
      </c>
      <c r="D208" s="184" t="s">
        <v>163</v>
      </c>
      <c r="F208" s="184" t="s">
        <v>574</v>
      </c>
      <c r="G208" s="185" t="s">
        <v>166</v>
      </c>
    </row>
    <row r="209" spans="1:7" x14ac:dyDescent="0.3">
      <c r="A209" s="203">
        <v>1</v>
      </c>
      <c r="B209" s="204" t="s">
        <v>695</v>
      </c>
      <c r="D209" s="205">
        <v>20</v>
      </c>
      <c r="F209" s="205">
        <v>0.3</v>
      </c>
      <c r="G209" s="206">
        <f t="shared" ref="G209:G227" si="9">D209*F209</f>
        <v>6</v>
      </c>
    </row>
    <row r="210" spans="1:7" x14ac:dyDescent="0.3">
      <c r="A210" s="191">
        <v>2</v>
      </c>
      <c r="B210" s="207" t="s">
        <v>696</v>
      </c>
      <c r="D210" s="49">
        <v>1</v>
      </c>
      <c r="F210" s="49">
        <v>7.35</v>
      </c>
      <c r="G210" s="206">
        <f t="shared" si="9"/>
        <v>7.35</v>
      </c>
    </row>
    <row r="211" spans="1:7" x14ac:dyDescent="0.3">
      <c r="A211" s="191">
        <v>3</v>
      </c>
      <c r="B211" s="207" t="s">
        <v>697</v>
      </c>
      <c r="D211" s="49">
        <v>2</v>
      </c>
      <c r="F211" s="49">
        <v>4.5</v>
      </c>
      <c r="G211" s="206">
        <f t="shared" si="9"/>
        <v>9</v>
      </c>
    </row>
    <row r="212" spans="1:7" x14ac:dyDescent="0.3">
      <c r="A212" s="191">
        <v>4</v>
      </c>
      <c r="B212" s="207" t="s">
        <v>692</v>
      </c>
      <c r="D212" s="49">
        <v>1</v>
      </c>
      <c r="F212" s="49">
        <v>1</v>
      </c>
      <c r="G212" s="206">
        <f t="shared" si="9"/>
        <v>1</v>
      </c>
    </row>
    <row r="213" spans="1:7" x14ac:dyDescent="0.3">
      <c r="A213" s="191">
        <v>5</v>
      </c>
      <c r="B213" s="207" t="s">
        <v>698</v>
      </c>
      <c r="D213" s="49">
        <v>0.1</v>
      </c>
      <c r="F213" s="49">
        <v>3</v>
      </c>
      <c r="G213" s="206">
        <f t="shared" si="9"/>
        <v>0.30000000000000004</v>
      </c>
    </row>
    <row r="214" spans="1:7" x14ac:dyDescent="0.3">
      <c r="A214" s="191">
        <v>6</v>
      </c>
      <c r="B214" s="207" t="s">
        <v>699</v>
      </c>
      <c r="D214" s="49">
        <v>0</v>
      </c>
      <c r="F214" s="49">
        <v>2</v>
      </c>
      <c r="G214" s="206">
        <f t="shared" si="9"/>
        <v>0</v>
      </c>
    </row>
    <row r="215" spans="1:7" x14ac:dyDescent="0.3">
      <c r="A215" s="191">
        <v>7</v>
      </c>
      <c r="B215" s="207" t="s">
        <v>700</v>
      </c>
      <c r="D215" s="49">
        <v>6</v>
      </c>
      <c r="F215" s="49">
        <v>1</v>
      </c>
      <c r="G215" s="206">
        <f t="shared" si="9"/>
        <v>6</v>
      </c>
    </row>
    <row r="216" spans="1:7" x14ac:dyDescent="0.3">
      <c r="A216" s="191">
        <v>8</v>
      </c>
      <c r="B216" s="207" t="s">
        <v>650</v>
      </c>
      <c r="D216" s="49">
        <v>0.5</v>
      </c>
      <c r="F216" s="49">
        <v>3</v>
      </c>
      <c r="G216" s="206">
        <f t="shared" si="9"/>
        <v>1.5</v>
      </c>
    </row>
    <row r="217" spans="1:7" x14ac:dyDescent="0.3">
      <c r="A217" s="191">
        <v>9</v>
      </c>
      <c r="B217" s="207" t="s">
        <v>701</v>
      </c>
      <c r="D217" s="49">
        <v>0</v>
      </c>
      <c r="F217" s="49">
        <v>1.2</v>
      </c>
      <c r="G217" s="206">
        <f t="shared" si="9"/>
        <v>0</v>
      </c>
    </row>
    <row r="218" spans="1:7" x14ac:dyDescent="0.3">
      <c r="A218" s="191">
        <v>10</v>
      </c>
      <c r="B218" s="207" t="s">
        <v>702</v>
      </c>
      <c r="D218" s="49">
        <v>7</v>
      </c>
      <c r="F218" s="49">
        <v>0.5</v>
      </c>
      <c r="G218" s="206">
        <f t="shared" si="9"/>
        <v>3.5</v>
      </c>
    </row>
    <row r="219" spans="1:7" x14ac:dyDescent="0.3">
      <c r="A219" s="191">
        <v>11</v>
      </c>
      <c r="B219" s="207" t="s">
        <v>703</v>
      </c>
      <c r="D219" s="49">
        <v>20</v>
      </c>
      <c r="F219" s="49">
        <v>0.1</v>
      </c>
      <c r="G219" s="206">
        <f t="shared" si="9"/>
        <v>2</v>
      </c>
    </row>
    <row r="220" spans="1:7" x14ac:dyDescent="0.3">
      <c r="A220" s="191">
        <v>12</v>
      </c>
      <c r="B220" s="207" t="s">
        <v>704</v>
      </c>
      <c r="D220" s="49">
        <v>1</v>
      </c>
      <c r="F220" s="49">
        <v>5</v>
      </c>
      <c r="G220" s="206">
        <f t="shared" si="9"/>
        <v>5</v>
      </c>
    </row>
    <row r="221" spans="1:7" x14ac:dyDescent="0.3">
      <c r="A221" s="191">
        <v>14</v>
      </c>
      <c r="B221" s="207" t="s">
        <v>705</v>
      </c>
      <c r="D221" s="49">
        <v>1</v>
      </c>
      <c r="F221" s="49">
        <v>2</v>
      </c>
      <c r="G221" s="206">
        <f t="shared" si="9"/>
        <v>2</v>
      </c>
    </row>
    <row r="222" spans="1:7" x14ac:dyDescent="0.3">
      <c r="A222" s="191">
        <v>15</v>
      </c>
      <c r="B222" s="207" t="s">
        <v>706</v>
      </c>
      <c r="D222" s="49">
        <v>1</v>
      </c>
      <c r="F222" s="49">
        <v>5</v>
      </c>
      <c r="G222" s="206">
        <f t="shared" si="9"/>
        <v>5</v>
      </c>
    </row>
    <row r="223" spans="1:7" x14ac:dyDescent="0.3">
      <c r="A223" s="191">
        <v>16</v>
      </c>
      <c r="B223" s="207" t="s">
        <v>707</v>
      </c>
      <c r="D223" s="49">
        <v>1</v>
      </c>
      <c r="F223" s="49">
        <v>1.7</v>
      </c>
      <c r="G223" s="206">
        <f t="shared" si="9"/>
        <v>1.7</v>
      </c>
    </row>
    <row r="224" spans="1:7" x14ac:dyDescent="0.3">
      <c r="A224" s="191">
        <v>17</v>
      </c>
      <c r="B224" s="46" t="s">
        <v>586</v>
      </c>
      <c r="D224" s="49">
        <v>1</v>
      </c>
      <c r="F224" s="49">
        <v>1</v>
      </c>
      <c r="G224" s="206">
        <f t="shared" si="9"/>
        <v>1</v>
      </c>
    </row>
    <row r="225" spans="1:7" x14ac:dyDescent="0.3">
      <c r="A225" s="191">
        <v>18</v>
      </c>
      <c r="B225" s="204" t="s">
        <v>653</v>
      </c>
      <c r="D225" s="205">
        <v>10</v>
      </c>
      <c r="F225" s="205">
        <v>0.05</v>
      </c>
      <c r="G225" s="206">
        <f t="shared" si="9"/>
        <v>0.5</v>
      </c>
    </row>
    <row r="226" spans="1:7" x14ac:dyDescent="0.3">
      <c r="A226" s="191">
        <v>19</v>
      </c>
      <c r="B226" s="207" t="s">
        <v>576</v>
      </c>
      <c r="D226" s="49">
        <v>10</v>
      </c>
      <c r="F226" s="49">
        <v>0.1</v>
      </c>
      <c r="G226" s="206">
        <f t="shared" si="9"/>
        <v>1</v>
      </c>
    </row>
    <row r="227" spans="1:7" x14ac:dyDescent="0.3">
      <c r="A227" s="191">
        <v>20</v>
      </c>
      <c r="B227" s="207" t="s">
        <v>708</v>
      </c>
      <c r="D227" s="49">
        <v>1</v>
      </c>
      <c r="F227" s="49">
        <v>3.6</v>
      </c>
      <c r="G227" s="206">
        <f t="shared" si="9"/>
        <v>3.6</v>
      </c>
    </row>
  </sheetData>
  <mergeCells count="11">
    <mergeCell ref="H138:H167"/>
    <mergeCell ref="B152:E152"/>
    <mergeCell ref="H22:H55"/>
    <mergeCell ref="B36:E36"/>
    <mergeCell ref="B65:E65"/>
    <mergeCell ref="A20:G21"/>
    <mergeCell ref="H56:H79"/>
    <mergeCell ref="H80:H99"/>
    <mergeCell ref="B100:E100"/>
    <mergeCell ref="H120:H137"/>
    <mergeCell ref="B125:E125"/>
  </mergeCells>
  <hyperlinks>
    <hyperlink ref="B10" location="'1900x1000x950'!A1" display="Electrical Pannel &amp; Harness 403 / 404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opLeftCell="A10" zoomScaleNormal="100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8" ht="18" customHeight="1" thickTop="1" thickBot="1" x14ac:dyDescent="0.35">
      <c r="A1" s="422" t="s">
        <v>159</v>
      </c>
      <c r="B1" s="422"/>
      <c r="C1" s="422"/>
      <c r="D1" s="422"/>
      <c r="E1" s="422"/>
      <c r="F1" s="422"/>
      <c r="G1" s="422"/>
    </row>
    <row r="2" spans="1:8" ht="18" customHeight="1" thickTop="1" thickBot="1" x14ac:dyDescent="0.35"/>
    <row r="3" spans="1:8" ht="18" customHeight="1" thickBot="1" x14ac:dyDescent="0.35">
      <c r="A3" s="35" t="s">
        <v>160</v>
      </c>
      <c r="B3" s="36" t="s">
        <v>161</v>
      </c>
      <c r="C3" s="36" t="s">
        <v>162</v>
      </c>
      <c r="D3" s="36" t="s">
        <v>163</v>
      </c>
      <c r="E3" s="36" t="s">
        <v>164</v>
      </c>
      <c r="F3" s="36" t="s">
        <v>165</v>
      </c>
      <c r="G3" s="37" t="s">
        <v>166</v>
      </c>
    </row>
    <row r="4" spans="1:8" ht="18" customHeight="1" thickBot="1" x14ac:dyDescent="0.35">
      <c r="A4" s="38" t="s">
        <v>167</v>
      </c>
      <c r="B4" s="39" t="s">
        <v>168</v>
      </c>
      <c r="C4" s="40"/>
      <c r="D4" s="41">
        <v>1</v>
      </c>
      <c r="E4" s="42" t="s">
        <v>169</v>
      </c>
      <c r="F4" s="41" t="s">
        <v>170</v>
      </c>
      <c r="G4" s="43" t="e">
        <f>D4*F4</f>
        <v>#VALUE!</v>
      </c>
      <c r="H4" s="44" t="e">
        <f>G4+G5</f>
        <v>#VALUE!</v>
      </c>
    </row>
    <row r="5" spans="1:8" ht="18" customHeight="1" x14ac:dyDescent="0.3">
      <c r="A5" s="45" t="s">
        <v>171</v>
      </c>
      <c r="B5" s="46" t="s">
        <v>172</v>
      </c>
      <c r="C5" s="47"/>
      <c r="D5" s="48">
        <v>1</v>
      </c>
      <c r="E5" s="49" t="s">
        <v>169</v>
      </c>
      <c r="F5" s="41" t="s">
        <v>170</v>
      </c>
      <c r="G5" s="50" t="e">
        <f t="shared" ref="G5:G19" si="0">D5*F5</f>
        <v>#VALUE!</v>
      </c>
    </row>
    <row r="6" spans="1:8" ht="18" customHeight="1" x14ac:dyDescent="0.3">
      <c r="A6" s="45" t="s">
        <v>173</v>
      </c>
      <c r="B6" s="46" t="s">
        <v>174</v>
      </c>
      <c r="C6" s="47" t="s">
        <v>175</v>
      </c>
      <c r="D6" s="49">
        <v>3.05</v>
      </c>
      <c r="E6" s="49" t="s">
        <v>176</v>
      </c>
      <c r="F6" s="49">
        <f>6.5/1.05</f>
        <v>6.1904761904761898</v>
      </c>
      <c r="G6" s="51">
        <f t="shared" si="0"/>
        <v>18.880952380952376</v>
      </c>
    </row>
    <row r="7" spans="1:8" ht="18" customHeight="1" x14ac:dyDescent="0.3">
      <c r="A7" s="45" t="s">
        <v>177</v>
      </c>
      <c r="B7" s="46" t="s">
        <v>178</v>
      </c>
      <c r="C7" s="47" t="s">
        <v>179</v>
      </c>
      <c r="D7" s="49">
        <v>1</v>
      </c>
      <c r="E7" s="49" t="s">
        <v>176</v>
      </c>
      <c r="F7" s="49">
        <f>0.9/1.05</f>
        <v>0.8571428571428571</v>
      </c>
      <c r="G7" s="51">
        <f t="shared" si="0"/>
        <v>0.8571428571428571</v>
      </c>
    </row>
    <row r="8" spans="1:8" ht="18" customHeight="1" x14ac:dyDescent="0.3">
      <c r="A8" s="45" t="s">
        <v>180</v>
      </c>
      <c r="B8" s="46" t="s">
        <v>181</v>
      </c>
      <c r="C8" s="47" t="s">
        <v>182</v>
      </c>
      <c r="D8" s="49">
        <v>2</v>
      </c>
      <c r="E8" s="49" t="s">
        <v>176</v>
      </c>
      <c r="F8" s="49">
        <f>2.9/1.05</f>
        <v>2.7619047619047619</v>
      </c>
      <c r="G8" s="51">
        <f t="shared" si="0"/>
        <v>5.5238095238095237</v>
      </c>
    </row>
    <row r="9" spans="1:8" ht="18" customHeight="1" x14ac:dyDescent="0.3">
      <c r="A9" s="45" t="s">
        <v>183</v>
      </c>
      <c r="B9" s="46" t="s">
        <v>184</v>
      </c>
      <c r="C9" s="47" t="s">
        <v>185</v>
      </c>
      <c r="D9" s="48">
        <v>1</v>
      </c>
      <c r="E9" s="49" t="s">
        <v>169</v>
      </c>
      <c r="F9" s="48">
        <v>55.09</v>
      </c>
      <c r="G9" s="50">
        <f t="shared" si="0"/>
        <v>55.09</v>
      </c>
    </row>
    <row r="10" spans="1:8" ht="18" customHeight="1" x14ac:dyDescent="0.3">
      <c r="A10" s="45" t="s">
        <v>186</v>
      </c>
      <c r="B10" s="46" t="s">
        <v>187</v>
      </c>
      <c r="C10" s="47" t="s">
        <v>188</v>
      </c>
      <c r="D10" s="48">
        <v>1</v>
      </c>
      <c r="E10" s="49" t="s">
        <v>169</v>
      </c>
      <c r="F10" s="48">
        <v>665.28</v>
      </c>
      <c r="G10" s="50">
        <f t="shared" si="0"/>
        <v>665.28</v>
      </c>
    </row>
    <row r="11" spans="1:8" ht="18" customHeight="1" x14ac:dyDescent="0.3">
      <c r="A11" s="45" t="s">
        <v>189</v>
      </c>
      <c r="B11" s="46" t="s">
        <v>190</v>
      </c>
      <c r="C11" s="47" t="s">
        <v>191</v>
      </c>
      <c r="D11" s="48">
        <v>4</v>
      </c>
      <c r="E11" s="49" t="s">
        <v>169</v>
      </c>
      <c r="F11" s="48">
        <f>17.7/1.05</f>
        <v>16.857142857142854</v>
      </c>
      <c r="G11" s="50">
        <f t="shared" si="0"/>
        <v>67.428571428571416</v>
      </c>
    </row>
    <row r="12" spans="1:8" ht="18" customHeight="1" x14ac:dyDescent="0.3">
      <c r="A12" s="45" t="s">
        <v>192</v>
      </c>
      <c r="B12" s="46" t="s">
        <v>193</v>
      </c>
      <c r="C12" s="47" t="s">
        <v>194</v>
      </c>
      <c r="D12" s="48">
        <v>1</v>
      </c>
      <c r="E12" s="49" t="s">
        <v>169</v>
      </c>
      <c r="F12" s="48">
        <v>814</v>
      </c>
      <c r="G12" s="50">
        <f t="shared" si="0"/>
        <v>814</v>
      </c>
    </row>
    <row r="13" spans="1:8" ht="18" customHeight="1" x14ac:dyDescent="0.3">
      <c r="A13" s="45" t="s">
        <v>195</v>
      </c>
      <c r="B13" s="46" t="s">
        <v>196</v>
      </c>
      <c r="C13" s="47" t="s">
        <v>188</v>
      </c>
      <c r="D13" s="49">
        <v>1</v>
      </c>
      <c r="E13" s="49" t="s">
        <v>169</v>
      </c>
      <c r="F13" s="49">
        <v>91.42</v>
      </c>
      <c r="G13" s="50">
        <f t="shared" si="0"/>
        <v>91.42</v>
      </c>
    </row>
    <row r="14" spans="1:8" ht="18" customHeight="1" x14ac:dyDescent="0.3">
      <c r="A14" s="45" t="s">
        <v>197</v>
      </c>
      <c r="B14" s="46" t="s">
        <v>198</v>
      </c>
      <c r="C14" s="47" t="s">
        <v>199</v>
      </c>
      <c r="D14" s="48">
        <v>0.8</v>
      </c>
      <c r="E14" s="49" t="s">
        <v>200</v>
      </c>
      <c r="F14" s="48">
        <v>13.8</v>
      </c>
      <c r="G14" s="50">
        <f t="shared" si="0"/>
        <v>11.040000000000001</v>
      </c>
    </row>
    <row r="15" spans="1:8" ht="18" customHeight="1" x14ac:dyDescent="0.3">
      <c r="A15" s="45" t="s">
        <v>201</v>
      </c>
      <c r="B15" s="46" t="s">
        <v>202</v>
      </c>
      <c r="C15" s="47" t="s">
        <v>203</v>
      </c>
      <c r="D15" s="48">
        <v>0.8</v>
      </c>
      <c r="E15" s="49" t="s">
        <v>200</v>
      </c>
      <c r="F15" s="48">
        <v>13.81</v>
      </c>
      <c r="G15" s="50">
        <f t="shared" si="0"/>
        <v>11.048000000000002</v>
      </c>
    </row>
    <row r="16" spans="1:8" ht="18" customHeight="1" x14ac:dyDescent="0.3">
      <c r="A16" s="45" t="s">
        <v>204</v>
      </c>
      <c r="B16" s="46" t="s">
        <v>205</v>
      </c>
      <c r="C16" s="47" t="s">
        <v>206</v>
      </c>
      <c r="D16" s="48">
        <v>0.3</v>
      </c>
      <c r="E16" s="49" t="s">
        <v>200</v>
      </c>
      <c r="F16" s="48">
        <v>3.42</v>
      </c>
      <c r="G16" s="50">
        <f t="shared" si="0"/>
        <v>1.026</v>
      </c>
    </row>
    <row r="17" spans="1:7" ht="18" customHeight="1" x14ac:dyDescent="0.3">
      <c r="A17" s="45" t="s">
        <v>207</v>
      </c>
      <c r="B17" s="46" t="s">
        <v>208</v>
      </c>
      <c r="C17" s="47" t="s">
        <v>209</v>
      </c>
      <c r="D17" s="48">
        <v>1</v>
      </c>
      <c r="E17" s="49" t="s">
        <v>169</v>
      </c>
      <c r="F17" s="48">
        <f>141.75/1.05</f>
        <v>135</v>
      </c>
      <c r="G17" s="50">
        <f t="shared" si="0"/>
        <v>135</v>
      </c>
    </row>
    <row r="18" spans="1:7" ht="18" customHeight="1" x14ac:dyDescent="0.3">
      <c r="A18" s="45" t="s">
        <v>210</v>
      </c>
      <c r="B18" s="52" t="s">
        <v>211</v>
      </c>
      <c r="C18" s="47" t="s">
        <v>212</v>
      </c>
      <c r="D18" s="49">
        <v>4</v>
      </c>
      <c r="E18" s="47" t="s">
        <v>200</v>
      </c>
      <c r="F18" s="48">
        <v>2.64</v>
      </c>
      <c r="G18" s="50">
        <f t="shared" si="0"/>
        <v>10.56</v>
      </c>
    </row>
    <row r="19" spans="1:7" ht="18" customHeight="1" x14ac:dyDescent="0.3">
      <c r="A19" s="45" t="s">
        <v>213</v>
      </c>
      <c r="B19" s="52" t="s">
        <v>214</v>
      </c>
      <c r="C19" s="47" t="s">
        <v>215</v>
      </c>
      <c r="D19" s="48">
        <v>3</v>
      </c>
      <c r="E19" s="47" t="s">
        <v>169</v>
      </c>
      <c r="F19" s="48">
        <v>18.09</v>
      </c>
      <c r="G19" s="50">
        <f t="shared" si="0"/>
        <v>54.269999999999996</v>
      </c>
    </row>
    <row r="20" spans="1:7" ht="18" customHeight="1" x14ac:dyDescent="0.3">
      <c r="A20" s="45" t="s">
        <v>216</v>
      </c>
      <c r="B20" s="46" t="s">
        <v>217</v>
      </c>
      <c r="C20" s="47" t="s">
        <v>218</v>
      </c>
      <c r="D20" s="48">
        <v>1</v>
      </c>
      <c r="E20" s="49" t="s">
        <v>169</v>
      </c>
      <c r="F20" s="48">
        <v>28.82</v>
      </c>
      <c r="G20" s="50">
        <f>D20*F20</f>
        <v>28.82</v>
      </c>
    </row>
    <row r="21" spans="1:7" ht="18" customHeight="1" thickBot="1" x14ac:dyDescent="0.35">
      <c r="A21" s="53" t="s">
        <v>219</v>
      </c>
      <c r="B21" s="54" t="s">
        <v>220</v>
      </c>
      <c r="C21" s="55" t="s">
        <v>188</v>
      </c>
      <c r="D21" s="56">
        <v>1</v>
      </c>
      <c r="E21" s="57" t="s">
        <v>169</v>
      </c>
      <c r="F21" s="56">
        <v>240.4</v>
      </c>
      <c r="G21" s="58">
        <f>D21*F21</f>
        <v>240.4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 t="e">
        <f>H4*0.05</f>
        <v>#VALUE!</v>
      </c>
      <c r="G22" s="63" t="e">
        <f>F22*D22</f>
        <v>#VALUE!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5500/88</f>
        <v>62.5</v>
      </c>
      <c r="G23" s="68">
        <f>F23*D23</f>
        <v>62.5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 t="e">
        <f>H4*0.035</f>
        <v>#VALUE!</v>
      </c>
      <c r="G24" s="68" t="e">
        <f>F24*D24</f>
        <v>#VALUE!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3000/88</f>
        <v>34.090909090909093</v>
      </c>
      <c r="G25" s="72">
        <f>F25*D25</f>
        <v>34.090909090909093</v>
      </c>
    </row>
    <row r="26" spans="1:7" ht="18" customHeight="1" thickBot="1" x14ac:dyDescent="0.35">
      <c r="A26" s="73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23" t="s">
        <v>229</v>
      </c>
      <c r="B27" s="424"/>
      <c r="C27" s="424"/>
      <c r="D27" s="424"/>
      <c r="E27" s="424"/>
      <c r="F27" s="425"/>
      <c r="G27" s="76" t="e">
        <f>SUM(G4:G26)</f>
        <v>#VALUE!</v>
      </c>
    </row>
    <row r="28" spans="1:7" ht="18" customHeight="1" x14ac:dyDescent="0.3"/>
    <row r="29" spans="1:7" ht="18" customHeight="1" thickBot="1" x14ac:dyDescent="0.35"/>
    <row r="30" spans="1:7" ht="18" customHeight="1" thickTop="1" thickBot="1" x14ac:dyDescent="0.35">
      <c r="A30" s="422" t="s">
        <v>230</v>
      </c>
      <c r="B30" s="422"/>
      <c r="C30" s="422"/>
      <c r="D30" s="422"/>
      <c r="E30" s="422"/>
      <c r="F30" s="422"/>
      <c r="G30" s="422"/>
    </row>
    <row r="31" spans="1:7" ht="18" customHeight="1" thickTop="1" thickBot="1" x14ac:dyDescent="0.35"/>
    <row r="32" spans="1:7" ht="18" customHeight="1" thickBot="1" x14ac:dyDescent="0.35">
      <c r="A32" s="77" t="s">
        <v>160</v>
      </c>
      <c r="B32" s="78" t="s">
        <v>231</v>
      </c>
      <c r="C32" s="78" t="s">
        <v>232</v>
      </c>
      <c r="D32" s="78" t="s">
        <v>163</v>
      </c>
      <c r="E32" s="78" t="s">
        <v>164</v>
      </c>
      <c r="F32" s="78" t="s">
        <v>165</v>
      </c>
      <c r="G32" s="79" t="s">
        <v>166</v>
      </c>
    </row>
    <row r="33" spans="1:7" ht="18" customHeight="1" x14ac:dyDescent="0.3">
      <c r="A33" s="80">
        <v>1</v>
      </c>
      <c r="B33" s="39" t="s">
        <v>233</v>
      </c>
      <c r="C33" s="40" t="s">
        <v>188</v>
      </c>
      <c r="D33" s="42">
        <v>1</v>
      </c>
      <c r="E33" s="42" t="s">
        <v>169</v>
      </c>
      <c r="F33" s="42">
        <v>0</v>
      </c>
      <c r="G33" s="81">
        <f>D33*F33</f>
        <v>0</v>
      </c>
    </row>
    <row r="34" spans="1:7" ht="18" customHeight="1" x14ac:dyDescent="0.3">
      <c r="A34" s="82">
        <v>2</v>
      </c>
      <c r="B34" s="46" t="s">
        <v>234</v>
      </c>
      <c r="C34" s="47" t="s">
        <v>188</v>
      </c>
      <c r="D34" s="49">
        <v>0</v>
      </c>
      <c r="E34" s="49" t="s">
        <v>169</v>
      </c>
      <c r="F34" s="49">
        <v>0</v>
      </c>
      <c r="G34" s="51">
        <f>D34*F34</f>
        <v>0</v>
      </c>
    </row>
    <row r="35" spans="1:7" ht="18" customHeight="1" x14ac:dyDescent="0.3">
      <c r="A35" s="82">
        <v>3</v>
      </c>
      <c r="B35" s="46" t="s">
        <v>235</v>
      </c>
      <c r="C35" s="47" t="s">
        <v>188</v>
      </c>
      <c r="D35" s="49">
        <v>0</v>
      </c>
      <c r="E35" s="49" t="s">
        <v>169</v>
      </c>
      <c r="F35" s="49">
        <v>0</v>
      </c>
      <c r="G35" s="51">
        <f t="shared" ref="G35:G46" si="1">D35*F35</f>
        <v>0</v>
      </c>
    </row>
    <row r="36" spans="1:7" ht="18" customHeight="1" x14ac:dyDescent="0.3">
      <c r="A36" s="82">
        <v>4</v>
      </c>
      <c r="B36" s="46" t="s">
        <v>236</v>
      </c>
      <c r="C36" s="47">
        <v>25010001</v>
      </c>
      <c r="D36" s="49">
        <v>1</v>
      </c>
      <c r="E36" s="49" t="s">
        <v>169</v>
      </c>
      <c r="F36" s="49">
        <v>1210</v>
      </c>
      <c r="G36" s="51">
        <f t="shared" si="1"/>
        <v>1210</v>
      </c>
    </row>
    <row r="37" spans="1:7" ht="18" customHeight="1" x14ac:dyDescent="0.3">
      <c r="A37" s="82">
        <v>5</v>
      </c>
      <c r="B37" s="46" t="s">
        <v>237</v>
      </c>
      <c r="C37" s="47" t="s">
        <v>238</v>
      </c>
      <c r="D37" s="49">
        <v>1</v>
      </c>
      <c r="E37" s="49" t="s">
        <v>169</v>
      </c>
      <c r="F37" s="49">
        <f>115/1.05</f>
        <v>109.52380952380952</v>
      </c>
      <c r="G37" s="51">
        <f t="shared" si="1"/>
        <v>109.52380952380952</v>
      </c>
    </row>
    <row r="38" spans="1:7" ht="18" customHeight="1" x14ac:dyDescent="0.3">
      <c r="A38" s="82">
        <v>6</v>
      </c>
      <c r="B38" s="46" t="s">
        <v>239</v>
      </c>
      <c r="C38" s="47" t="s">
        <v>240</v>
      </c>
      <c r="D38" s="49">
        <v>1</v>
      </c>
      <c r="E38" s="49" t="s">
        <v>169</v>
      </c>
      <c r="F38" s="49">
        <v>12</v>
      </c>
      <c r="G38" s="51">
        <f t="shared" si="1"/>
        <v>12</v>
      </c>
    </row>
    <row r="39" spans="1:7" ht="18" customHeight="1" x14ac:dyDescent="0.3">
      <c r="A39" s="82">
        <v>7</v>
      </c>
      <c r="B39" s="46" t="s">
        <v>241</v>
      </c>
      <c r="C39" s="47" t="s">
        <v>242</v>
      </c>
      <c r="D39" s="49">
        <v>1</v>
      </c>
      <c r="E39" s="49" t="s">
        <v>169</v>
      </c>
      <c r="F39" s="49">
        <v>35</v>
      </c>
      <c r="G39" s="51">
        <f t="shared" si="1"/>
        <v>35</v>
      </c>
    </row>
    <row r="40" spans="1:7" ht="18" customHeight="1" x14ac:dyDescent="0.3">
      <c r="A40" s="82">
        <v>8</v>
      </c>
      <c r="B40" s="46" t="s">
        <v>243</v>
      </c>
      <c r="C40" s="47" t="s">
        <v>244</v>
      </c>
      <c r="D40" s="49">
        <v>3</v>
      </c>
      <c r="E40" s="49" t="s">
        <v>169</v>
      </c>
      <c r="F40" s="49">
        <f>11.55/1.05</f>
        <v>11</v>
      </c>
      <c r="G40" s="51">
        <f t="shared" si="1"/>
        <v>33</v>
      </c>
    </row>
    <row r="41" spans="1:7" ht="18" customHeight="1" x14ac:dyDescent="0.3">
      <c r="A41" s="82">
        <v>9</v>
      </c>
      <c r="B41" s="46" t="s">
        <v>245</v>
      </c>
      <c r="C41" s="47" t="s">
        <v>246</v>
      </c>
      <c r="D41" s="49">
        <v>3</v>
      </c>
      <c r="E41" s="49" t="s">
        <v>169</v>
      </c>
      <c r="F41" s="49">
        <f>6.83/1.05</f>
        <v>6.5047619047619047</v>
      </c>
      <c r="G41" s="51">
        <f t="shared" si="1"/>
        <v>19.514285714285712</v>
      </c>
    </row>
    <row r="42" spans="1:7" ht="18" customHeight="1" x14ac:dyDescent="0.3">
      <c r="A42" s="82">
        <v>10</v>
      </c>
      <c r="B42" s="46" t="s">
        <v>247</v>
      </c>
      <c r="C42" s="47" t="s">
        <v>188</v>
      </c>
      <c r="D42" s="49">
        <v>0</v>
      </c>
      <c r="E42" s="49" t="s">
        <v>169</v>
      </c>
      <c r="F42" s="49">
        <v>0</v>
      </c>
      <c r="G42" s="51">
        <f t="shared" si="1"/>
        <v>0</v>
      </c>
    </row>
    <row r="43" spans="1:7" ht="18" customHeight="1" x14ac:dyDescent="0.3">
      <c r="A43" s="82">
        <v>11</v>
      </c>
      <c r="B43" s="46" t="s">
        <v>248</v>
      </c>
      <c r="C43" s="47" t="s">
        <v>249</v>
      </c>
      <c r="D43" s="49">
        <v>5</v>
      </c>
      <c r="E43" s="49" t="s">
        <v>169</v>
      </c>
      <c r="F43" s="49">
        <v>3</v>
      </c>
      <c r="G43" s="51">
        <f t="shared" si="1"/>
        <v>15</v>
      </c>
    </row>
    <row r="44" spans="1:7" ht="18" customHeight="1" x14ac:dyDescent="0.3">
      <c r="A44" s="82">
        <v>12</v>
      </c>
      <c r="B44" s="46" t="s">
        <v>250</v>
      </c>
      <c r="C44" s="47" t="s">
        <v>251</v>
      </c>
      <c r="D44" s="49">
        <v>5</v>
      </c>
      <c r="E44" s="49" t="s">
        <v>169</v>
      </c>
      <c r="F44" s="49">
        <v>0.5</v>
      </c>
      <c r="G44" s="51">
        <f t="shared" si="1"/>
        <v>2.5</v>
      </c>
    </row>
    <row r="45" spans="1:7" ht="18" customHeight="1" x14ac:dyDescent="0.3">
      <c r="A45" s="82">
        <v>13</v>
      </c>
      <c r="B45" s="46" t="s">
        <v>252</v>
      </c>
      <c r="C45" s="47" t="s">
        <v>253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x14ac:dyDescent="0.3">
      <c r="A46" s="82">
        <v>14</v>
      </c>
      <c r="B46" s="46" t="s">
        <v>254</v>
      </c>
      <c r="C46" s="47" t="s">
        <v>255</v>
      </c>
      <c r="D46" s="49">
        <v>2</v>
      </c>
      <c r="E46" s="49" t="s">
        <v>169</v>
      </c>
      <c r="F46" s="49">
        <f>9.5/1.05</f>
        <v>9.0476190476190474</v>
      </c>
      <c r="G46" s="51">
        <f t="shared" si="1"/>
        <v>18.095238095238095</v>
      </c>
    </row>
    <row r="47" spans="1:7" ht="18" customHeight="1" thickBot="1" x14ac:dyDescent="0.35">
      <c r="A47" s="83">
        <v>15</v>
      </c>
      <c r="B47" s="54" t="s">
        <v>256</v>
      </c>
      <c r="C47" s="55" t="s">
        <v>188</v>
      </c>
      <c r="D47" s="57">
        <v>1</v>
      </c>
      <c r="E47" s="57" t="s">
        <v>257</v>
      </c>
      <c r="F47" s="57">
        <v>50</v>
      </c>
      <c r="G47" s="84">
        <f>D47*F47</f>
        <v>50</v>
      </c>
    </row>
    <row r="48" spans="1:7" ht="18" customHeight="1" thickBot="1" x14ac:dyDescent="0.35">
      <c r="A48" s="426" t="s">
        <v>229</v>
      </c>
      <c r="B48" s="427"/>
      <c r="C48" s="427"/>
      <c r="D48" s="427"/>
      <c r="E48" s="427"/>
      <c r="F48" s="428"/>
      <c r="G48" s="85">
        <f>SUM(G33:G47)</f>
        <v>1522.7285714285715</v>
      </c>
    </row>
    <row r="49" spans="1:5" ht="18" customHeight="1" thickBot="1" x14ac:dyDescent="0.35">
      <c r="A49" s="429" t="s">
        <v>229</v>
      </c>
      <c r="B49" s="430"/>
      <c r="C49" s="430"/>
      <c r="D49" s="431"/>
      <c r="E49" s="76" t="e">
        <f>SUM(#REF!)</f>
        <v>#REF!</v>
      </c>
    </row>
    <row r="50" spans="1:5" ht="18" customHeight="1" thickBot="1" x14ac:dyDescent="0.35"/>
    <row r="51" spans="1:5" ht="18" customHeight="1" thickBot="1" x14ac:dyDescent="0.35">
      <c r="A51" s="419" t="s">
        <v>258</v>
      </c>
      <c r="B51" s="420"/>
      <c r="C51" s="420"/>
      <c r="D51" s="421"/>
      <c r="E51" s="86" t="e">
        <f>E49+G48+#REF!</f>
        <v>#REF!</v>
      </c>
    </row>
    <row r="52" spans="1:5" ht="18" customHeight="1" x14ac:dyDescent="0.3"/>
    <row r="53" spans="1:5" ht="18" customHeight="1" x14ac:dyDescent="0.3">
      <c r="A53" t="s">
        <v>259</v>
      </c>
      <c r="B53" s="4">
        <v>43450</v>
      </c>
    </row>
    <row r="54" spans="1:5" ht="18" customHeight="1" x14ac:dyDescent="0.3"/>
  </sheetData>
  <mergeCells count="6">
    <mergeCell ref="A51:D51"/>
    <mergeCell ref="A1:G1"/>
    <mergeCell ref="A27:F27"/>
    <mergeCell ref="A30:G30"/>
    <mergeCell ref="A48:F48"/>
    <mergeCell ref="A49:D49"/>
  </mergeCells>
  <pageMargins left="0.7" right="0.7" top="0.75" bottom="0.75" header="0.3" footer="0.3"/>
  <pageSetup scale="6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topLeftCell="A46" workbookViewId="0">
      <selection activeCell="I5" sqref="I5"/>
    </sheetView>
  </sheetViews>
  <sheetFormatPr defaultColWidth="0" defaultRowHeight="15" customHeight="1" zeroHeight="1" x14ac:dyDescent="0.3"/>
  <cols>
    <col min="1" max="3" width="9.109375" style="280" customWidth="1"/>
    <col min="4" max="4" width="43.6640625" style="280" bestFit="1" customWidth="1"/>
    <col min="5" max="5" width="11.88671875" style="280" customWidth="1"/>
    <col min="6" max="6" width="9.109375" style="280" customWidth="1"/>
    <col min="7" max="7" width="10.109375" style="280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186" t="s">
        <v>550</v>
      </c>
      <c r="D5" s="183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91">
        <v>1</v>
      </c>
      <c r="D6" s="209" t="s">
        <v>590</v>
      </c>
      <c r="E6" s="281" t="s">
        <v>591</v>
      </c>
      <c r="F6" s="182">
        <v>6</v>
      </c>
      <c r="G6" s="182" t="s">
        <v>169</v>
      </c>
      <c r="H6" s="212">
        <v>1</v>
      </c>
      <c r="I6" s="213">
        <f>F6*H6</f>
        <v>6</v>
      </c>
    </row>
    <row r="7" spans="3:9" ht="14.4" x14ac:dyDescent="0.3">
      <c r="C7" s="191">
        <v>2</v>
      </c>
      <c r="D7" s="282" t="s">
        <v>710</v>
      </c>
      <c r="E7" s="97" t="s">
        <v>711</v>
      </c>
      <c r="F7" s="105">
        <v>1</v>
      </c>
      <c r="G7" s="105" t="s">
        <v>169</v>
      </c>
      <c r="H7" s="283">
        <f>27.06/1.05</f>
        <v>25.771428571428569</v>
      </c>
      <c r="I7" s="113">
        <f t="shared" ref="I7:I21" si="0">F7*H7</f>
        <v>25.771428571428569</v>
      </c>
    </row>
    <row r="8" spans="3:9" ht="14.4" x14ac:dyDescent="0.3">
      <c r="C8" s="191">
        <v>3</v>
      </c>
      <c r="D8" s="214" t="s">
        <v>598</v>
      </c>
      <c r="E8" s="115" t="s">
        <v>244</v>
      </c>
      <c r="F8" s="105">
        <v>2</v>
      </c>
      <c r="G8" s="105" t="s">
        <v>169</v>
      </c>
      <c r="H8" s="283">
        <f>11.55/1.05</f>
        <v>11</v>
      </c>
      <c r="I8" s="113">
        <f t="shared" si="0"/>
        <v>22</v>
      </c>
    </row>
    <row r="9" spans="3:9" ht="14.4" x14ac:dyDescent="0.3">
      <c r="C9" s="191">
        <v>4</v>
      </c>
      <c r="D9" s="214" t="s">
        <v>599</v>
      </c>
      <c r="E9" s="115" t="s">
        <v>246</v>
      </c>
      <c r="F9" s="105">
        <v>2</v>
      </c>
      <c r="G9" s="105" t="s">
        <v>169</v>
      </c>
      <c r="H9" s="283">
        <f>6.83/1.05</f>
        <v>6.5047619047619047</v>
      </c>
      <c r="I9" s="113">
        <f t="shared" si="0"/>
        <v>13.009523809523809</v>
      </c>
    </row>
    <row r="10" spans="3:9" ht="14.4" x14ac:dyDescent="0.3">
      <c r="C10" s="191">
        <v>5</v>
      </c>
      <c r="D10" s="214" t="s">
        <v>712</v>
      </c>
      <c r="E10" s="115" t="s">
        <v>601</v>
      </c>
      <c r="F10" s="105">
        <v>1</v>
      </c>
      <c r="G10" s="105" t="s">
        <v>169</v>
      </c>
      <c r="H10" s="283">
        <v>5</v>
      </c>
      <c r="I10" s="113">
        <f t="shared" si="0"/>
        <v>5</v>
      </c>
    </row>
    <row r="11" spans="3:9" ht="14.4" x14ac:dyDescent="0.3">
      <c r="C11" s="191">
        <v>6</v>
      </c>
      <c r="D11" s="214" t="s">
        <v>602</v>
      </c>
      <c r="E11" s="115" t="s">
        <v>255</v>
      </c>
      <c r="F11" s="105">
        <v>1</v>
      </c>
      <c r="G11" s="105" t="s">
        <v>169</v>
      </c>
      <c r="H11" s="283">
        <f>9.5/1.05</f>
        <v>9.0476190476190474</v>
      </c>
      <c r="I11" s="113">
        <f t="shared" si="0"/>
        <v>9.0476190476190474</v>
      </c>
    </row>
    <row r="12" spans="3:9" ht="14.4" x14ac:dyDescent="0.3">
      <c r="C12" s="191">
        <v>7</v>
      </c>
      <c r="D12" s="214" t="s">
        <v>603</v>
      </c>
      <c r="E12" s="115" t="s">
        <v>253</v>
      </c>
      <c r="F12" s="105">
        <v>1</v>
      </c>
      <c r="G12" s="105" t="s">
        <v>169</v>
      </c>
      <c r="H12" s="284">
        <f>9.5/1.05</f>
        <v>9.0476190476190474</v>
      </c>
      <c r="I12" s="113">
        <f t="shared" si="0"/>
        <v>9.0476190476190474</v>
      </c>
    </row>
    <row r="13" spans="3:9" ht="14.4" x14ac:dyDescent="0.3">
      <c r="C13" s="191">
        <v>8</v>
      </c>
      <c r="D13" s="216" t="s">
        <v>713</v>
      </c>
      <c r="E13" s="115" t="s">
        <v>605</v>
      </c>
      <c r="F13" s="105">
        <v>1</v>
      </c>
      <c r="G13" s="105" t="s">
        <v>169</v>
      </c>
      <c r="H13" s="284">
        <v>503.69</v>
      </c>
      <c r="I13" s="113">
        <f t="shared" si="0"/>
        <v>503.69</v>
      </c>
    </row>
    <row r="14" spans="3:9" ht="14.4" x14ac:dyDescent="0.3">
      <c r="C14" s="191">
        <v>9</v>
      </c>
      <c r="D14" s="214" t="s">
        <v>608</v>
      </c>
      <c r="E14" s="115" t="s">
        <v>249</v>
      </c>
      <c r="F14" s="105">
        <v>3</v>
      </c>
      <c r="G14" s="105" t="s">
        <v>169</v>
      </c>
      <c r="H14" s="284">
        <v>3</v>
      </c>
      <c r="I14" s="113">
        <f t="shared" si="0"/>
        <v>9</v>
      </c>
    </row>
    <row r="15" spans="3:9" ht="14.4" x14ac:dyDescent="0.3">
      <c r="C15" s="191">
        <v>10</v>
      </c>
      <c r="D15" s="214" t="s">
        <v>609</v>
      </c>
      <c r="E15" s="115" t="s">
        <v>251</v>
      </c>
      <c r="F15" s="105">
        <v>3</v>
      </c>
      <c r="G15" s="105" t="s">
        <v>169</v>
      </c>
      <c r="H15" s="284">
        <v>0.5</v>
      </c>
      <c r="I15" s="113">
        <f t="shared" si="0"/>
        <v>1.5</v>
      </c>
    </row>
    <row r="16" spans="3:9" ht="14.4" x14ac:dyDescent="0.3">
      <c r="C16" s="191">
        <v>11</v>
      </c>
      <c r="D16" s="214" t="s">
        <v>606</v>
      </c>
      <c r="E16" s="115" t="s">
        <v>607</v>
      </c>
      <c r="F16" s="284">
        <v>1</v>
      </c>
      <c r="G16" s="105" t="s">
        <v>169</v>
      </c>
      <c r="H16" s="284">
        <v>6</v>
      </c>
      <c r="I16" s="113">
        <f t="shared" si="0"/>
        <v>6</v>
      </c>
    </row>
    <row r="17" spans="3:9" ht="14.4" x14ac:dyDescent="0.3">
      <c r="C17" s="191">
        <v>12</v>
      </c>
      <c r="D17" s="282" t="s">
        <v>610</v>
      </c>
      <c r="E17" s="97" t="s">
        <v>611</v>
      </c>
      <c r="F17" s="105">
        <v>2</v>
      </c>
      <c r="G17" s="105" t="s">
        <v>169</v>
      </c>
      <c r="H17" s="284">
        <v>8</v>
      </c>
      <c r="I17" s="113">
        <f t="shared" si="0"/>
        <v>16</v>
      </c>
    </row>
    <row r="18" spans="3:9" ht="14.4" x14ac:dyDescent="0.3">
      <c r="C18" s="191">
        <v>13</v>
      </c>
      <c r="D18" s="282" t="s">
        <v>612</v>
      </c>
      <c r="E18" s="285" t="s">
        <v>613</v>
      </c>
      <c r="F18" s="286">
        <v>2</v>
      </c>
      <c r="G18" s="286" t="s">
        <v>169</v>
      </c>
      <c r="H18" s="100">
        <f>2.5/1.05</f>
        <v>2.3809523809523809</v>
      </c>
      <c r="I18" s="101">
        <f t="shared" si="0"/>
        <v>4.7619047619047619</v>
      </c>
    </row>
    <row r="19" spans="3:9" ht="14.4" x14ac:dyDescent="0.3">
      <c r="C19" s="191">
        <v>14</v>
      </c>
      <c r="D19" s="282" t="s">
        <v>714</v>
      </c>
      <c r="E19" s="285" t="s">
        <v>615</v>
      </c>
      <c r="F19" s="286">
        <v>2</v>
      </c>
      <c r="G19" s="286" t="s">
        <v>169</v>
      </c>
      <c r="H19" s="100">
        <f>5.5/1.05</f>
        <v>5.2380952380952381</v>
      </c>
      <c r="I19" s="101">
        <f t="shared" si="0"/>
        <v>10.476190476190476</v>
      </c>
    </row>
    <row r="20" spans="3:9" ht="14.4" x14ac:dyDescent="0.3">
      <c r="C20" s="287">
        <v>15</v>
      </c>
      <c r="D20" s="282" t="s">
        <v>330</v>
      </c>
      <c r="E20" s="97" t="s">
        <v>331</v>
      </c>
      <c r="F20" s="110" t="s">
        <v>167</v>
      </c>
      <c r="G20" s="110" t="s">
        <v>169</v>
      </c>
      <c r="H20" s="110" t="s">
        <v>715</v>
      </c>
      <c r="I20" s="101">
        <f t="shared" si="0"/>
        <v>2.75</v>
      </c>
    </row>
    <row r="21" spans="3:9" thickBot="1" x14ac:dyDescent="0.35">
      <c r="C21" s="288">
        <v>16</v>
      </c>
      <c r="D21" s="289" t="s">
        <v>716</v>
      </c>
      <c r="E21" s="290" t="s">
        <v>717</v>
      </c>
      <c r="F21" s="265">
        <v>1</v>
      </c>
      <c r="G21" s="265" t="s">
        <v>169</v>
      </c>
      <c r="H21" s="291">
        <f>103.9/1.05</f>
        <v>98.952380952380949</v>
      </c>
      <c r="I21" s="226">
        <f t="shared" si="0"/>
        <v>98.952380952380949</v>
      </c>
    </row>
    <row r="22" spans="3:9" thickBot="1" x14ac:dyDescent="0.35">
      <c r="C22" s="464" t="s">
        <v>229</v>
      </c>
      <c r="D22" s="465"/>
      <c r="E22" s="465"/>
      <c r="F22" s="465"/>
      <c r="G22" s="465"/>
      <c r="H22" s="466"/>
      <c r="I22" s="76">
        <f>SUM(I6:I21)</f>
        <v>743.00666666666677</v>
      </c>
    </row>
    <row r="23" spans="3:9" ht="14.4" x14ac:dyDescent="0.3"/>
    <row r="24" spans="3:9" thickBot="1" x14ac:dyDescent="0.35"/>
    <row r="25" spans="3:9" thickBot="1" x14ac:dyDescent="0.35">
      <c r="C25" s="202" t="s">
        <v>550</v>
      </c>
      <c r="D25" s="279" t="s">
        <v>709</v>
      </c>
      <c r="E25" s="184" t="s">
        <v>163</v>
      </c>
      <c r="F25" s="184" t="s">
        <v>574</v>
      </c>
      <c r="G25" s="185" t="s">
        <v>166</v>
      </c>
    </row>
    <row r="26" spans="3:9" ht="14.4" x14ac:dyDescent="0.3">
      <c r="C26" s="203">
        <v>1</v>
      </c>
      <c r="D26" s="204" t="s">
        <v>619</v>
      </c>
      <c r="E26" s="205">
        <v>20</v>
      </c>
      <c r="F26" s="205">
        <v>0.68</v>
      </c>
      <c r="G26" s="206">
        <f>E26*F26</f>
        <v>13.600000000000001</v>
      </c>
    </row>
    <row r="27" spans="3:9" ht="14.4" x14ac:dyDescent="0.3">
      <c r="C27" s="191">
        <v>2</v>
      </c>
      <c r="D27" s="207" t="s">
        <v>620</v>
      </c>
      <c r="E27" s="49">
        <v>0.35</v>
      </c>
      <c r="F27" s="49">
        <v>6.5</v>
      </c>
      <c r="G27" s="206">
        <f t="shared" ref="G27:G44" si="1">E27*F27</f>
        <v>2.2749999999999999</v>
      </c>
    </row>
    <row r="28" spans="3:9" ht="14.4" x14ac:dyDescent="0.3">
      <c r="C28" s="191">
        <v>3</v>
      </c>
      <c r="D28" s="207" t="s">
        <v>621</v>
      </c>
      <c r="E28" s="49">
        <v>1.2</v>
      </c>
      <c r="F28" s="49">
        <v>3.75</v>
      </c>
      <c r="G28" s="206">
        <f t="shared" si="1"/>
        <v>4.5</v>
      </c>
    </row>
    <row r="29" spans="3:9" ht="14.4" x14ac:dyDescent="0.3">
      <c r="C29" s="191">
        <v>4</v>
      </c>
      <c r="D29" s="207" t="s">
        <v>622</v>
      </c>
      <c r="E29" s="49">
        <v>2</v>
      </c>
      <c r="F29" s="49">
        <v>1</v>
      </c>
      <c r="G29" s="206">
        <f t="shared" si="1"/>
        <v>2</v>
      </c>
    </row>
    <row r="30" spans="3:9" ht="14.4" x14ac:dyDescent="0.3">
      <c r="C30" s="191">
        <v>5</v>
      </c>
      <c r="D30" s="207" t="s">
        <v>623</v>
      </c>
      <c r="E30" s="49">
        <v>2</v>
      </c>
      <c r="F30" s="49">
        <v>1.5</v>
      </c>
      <c r="G30" s="206">
        <f t="shared" si="1"/>
        <v>3</v>
      </c>
    </row>
    <row r="31" spans="3:9" ht="14.4" x14ac:dyDescent="0.3">
      <c r="C31" s="191">
        <v>6</v>
      </c>
      <c r="D31" s="207" t="s">
        <v>624</v>
      </c>
      <c r="E31" s="49">
        <v>2</v>
      </c>
      <c r="F31" s="49">
        <v>1</v>
      </c>
      <c r="G31" s="206">
        <f t="shared" si="1"/>
        <v>2</v>
      </c>
    </row>
    <row r="32" spans="3:9" ht="14.4" x14ac:dyDescent="0.3">
      <c r="C32" s="191">
        <v>7</v>
      </c>
      <c r="D32" s="207" t="s">
        <v>625</v>
      </c>
      <c r="E32" s="49">
        <v>1</v>
      </c>
      <c r="F32" s="49">
        <v>0.64</v>
      </c>
      <c r="G32" s="206">
        <f t="shared" si="1"/>
        <v>0.64</v>
      </c>
    </row>
    <row r="33" spans="3:7" ht="14.4" x14ac:dyDescent="0.3">
      <c r="C33" s="191">
        <v>8</v>
      </c>
      <c r="D33" s="207" t="s">
        <v>626</v>
      </c>
      <c r="E33" s="49">
        <v>4</v>
      </c>
      <c r="F33" s="49">
        <v>0.1</v>
      </c>
      <c r="G33" s="206">
        <f t="shared" si="1"/>
        <v>0.4</v>
      </c>
    </row>
    <row r="34" spans="3:7" ht="14.4" x14ac:dyDescent="0.3">
      <c r="C34" s="191">
        <v>9</v>
      </c>
      <c r="D34" s="207" t="s">
        <v>627</v>
      </c>
      <c r="E34" s="49">
        <v>20</v>
      </c>
      <c r="F34" s="49">
        <v>0.1</v>
      </c>
      <c r="G34" s="206">
        <f t="shared" si="1"/>
        <v>2</v>
      </c>
    </row>
    <row r="35" spans="3:7" ht="14.4" x14ac:dyDescent="0.3">
      <c r="C35" s="191">
        <v>10</v>
      </c>
      <c r="D35" s="207" t="s">
        <v>628</v>
      </c>
      <c r="E35" s="49">
        <v>0.5</v>
      </c>
      <c r="F35" s="49">
        <v>5</v>
      </c>
      <c r="G35" s="206">
        <f t="shared" si="1"/>
        <v>2.5</v>
      </c>
    </row>
    <row r="36" spans="3:7" ht="14.4" x14ac:dyDescent="0.3">
      <c r="C36" s="191">
        <v>11</v>
      </c>
      <c r="D36" s="207" t="s">
        <v>629</v>
      </c>
      <c r="E36" s="49">
        <v>42</v>
      </c>
      <c r="F36" s="49">
        <v>0.47</v>
      </c>
      <c r="G36" s="206">
        <f t="shared" si="1"/>
        <v>19.739999999999998</v>
      </c>
    </row>
    <row r="37" spans="3:7" ht="14.4" x14ac:dyDescent="0.3">
      <c r="C37" s="191">
        <v>12</v>
      </c>
      <c r="D37" s="207" t="s">
        <v>630</v>
      </c>
      <c r="E37" s="49">
        <v>12</v>
      </c>
      <c r="F37" s="49">
        <v>0.71</v>
      </c>
      <c r="G37" s="206">
        <f t="shared" si="1"/>
        <v>8.52</v>
      </c>
    </row>
    <row r="38" spans="3:7" ht="14.4" x14ac:dyDescent="0.3">
      <c r="C38" s="191">
        <v>14</v>
      </c>
      <c r="D38" s="207" t="s">
        <v>631</v>
      </c>
      <c r="E38" s="49">
        <v>2.5</v>
      </c>
      <c r="F38" s="49">
        <v>1.55</v>
      </c>
      <c r="G38" s="206">
        <f t="shared" si="1"/>
        <v>3.875</v>
      </c>
    </row>
    <row r="39" spans="3:7" ht="14.4" x14ac:dyDescent="0.3">
      <c r="C39" s="191">
        <v>15</v>
      </c>
      <c r="D39" s="207" t="s">
        <v>632</v>
      </c>
      <c r="E39" s="49">
        <v>2</v>
      </c>
      <c r="F39" s="49">
        <v>1.7</v>
      </c>
      <c r="G39" s="206">
        <f t="shared" si="1"/>
        <v>3.4</v>
      </c>
    </row>
    <row r="40" spans="3:7" ht="14.4" x14ac:dyDescent="0.3">
      <c r="C40" s="191">
        <v>16</v>
      </c>
      <c r="D40" s="207" t="s">
        <v>633</v>
      </c>
      <c r="E40" s="49">
        <v>1</v>
      </c>
      <c r="F40" s="49">
        <v>2.6</v>
      </c>
      <c r="G40" s="206">
        <f t="shared" si="1"/>
        <v>2.6</v>
      </c>
    </row>
    <row r="41" spans="3:7" ht="14.4" x14ac:dyDescent="0.3">
      <c r="C41" s="191">
        <v>17</v>
      </c>
      <c r="D41" s="46" t="s">
        <v>634</v>
      </c>
      <c r="E41" s="49">
        <v>0.5</v>
      </c>
      <c r="F41" s="49">
        <v>3.68</v>
      </c>
      <c r="G41" s="206">
        <f t="shared" si="1"/>
        <v>1.84</v>
      </c>
    </row>
    <row r="42" spans="3:7" ht="14.4" x14ac:dyDescent="0.3">
      <c r="C42" s="191">
        <v>18</v>
      </c>
      <c r="D42" s="204" t="s">
        <v>635</v>
      </c>
      <c r="E42" s="205">
        <v>0.1</v>
      </c>
      <c r="F42" s="205">
        <v>14</v>
      </c>
      <c r="G42" s="206">
        <f t="shared" si="1"/>
        <v>1.4000000000000001</v>
      </c>
    </row>
    <row r="43" spans="3:7" ht="14.4" x14ac:dyDescent="0.3">
      <c r="C43" s="191">
        <v>19</v>
      </c>
      <c r="D43" s="207" t="s">
        <v>636</v>
      </c>
      <c r="E43" s="49">
        <v>0.5</v>
      </c>
      <c r="F43" s="49">
        <v>4.8</v>
      </c>
      <c r="G43" s="206">
        <f t="shared" si="1"/>
        <v>2.4</v>
      </c>
    </row>
    <row r="44" spans="3:7" thickBot="1" x14ac:dyDescent="0.35">
      <c r="C44" s="191">
        <v>20</v>
      </c>
      <c r="D44" s="207" t="s">
        <v>637</v>
      </c>
      <c r="E44" s="49">
        <v>25</v>
      </c>
      <c r="F44" s="49">
        <v>0.25</v>
      </c>
      <c r="G44" s="206">
        <f t="shared" si="1"/>
        <v>6.25</v>
      </c>
    </row>
    <row r="45" spans="3:7" thickBot="1" x14ac:dyDescent="0.35">
      <c r="C45" s="426" t="s">
        <v>751</v>
      </c>
      <c r="D45" s="427"/>
      <c r="E45" s="427"/>
      <c r="F45" s="473"/>
      <c r="G45" s="85">
        <f>SUM(G26:G44)</f>
        <v>82.940000000000012</v>
      </c>
    </row>
    <row r="46" spans="3:7" thickBot="1" x14ac:dyDescent="0.35"/>
    <row r="47" spans="3:7" ht="15" customHeight="1" thickBot="1" x14ac:dyDescent="0.35">
      <c r="C47" s="292" t="s">
        <v>550</v>
      </c>
      <c r="D47" s="293" t="s">
        <v>718</v>
      </c>
      <c r="E47" s="294" t="s">
        <v>719</v>
      </c>
      <c r="F47" s="294" t="s">
        <v>720</v>
      </c>
      <c r="G47" s="295" t="s">
        <v>721</v>
      </c>
    </row>
    <row r="48" spans="3:7" ht="15" customHeight="1" x14ac:dyDescent="0.3">
      <c r="C48" s="296" t="s">
        <v>167</v>
      </c>
      <c r="D48" s="297" t="s">
        <v>722</v>
      </c>
      <c r="E48" s="298">
        <v>0.5</v>
      </c>
      <c r="F48" s="298">
        <v>12.23</v>
      </c>
      <c r="G48" s="213">
        <f t="shared" ref="G48:G53" si="2">E48*F48</f>
        <v>6.1150000000000002</v>
      </c>
    </row>
    <row r="49" spans="3:7" ht="15" customHeight="1" x14ac:dyDescent="0.3">
      <c r="C49" s="299" t="s">
        <v>171</v>
      </c>
      <c r="D49" s="300" t="s">
        <v>723</v>
      </c>
      <c r="E49" s="106">
        <v>0.5</v>
      </c>
      <c r="F49" s="106">
        <v>4.45</v>
      </c>
      <c r="G49" s="213">
        <f t="shared" si="2"/>
        <v>2.2250000000000001</v>
      </c>
    </row>
    <row r="50" spans="3:7" ht="15" customHeight="1" x14ac:dyDescent="0.3">
      <c r="C50" s="299" t="s">
        <v>173</v>
      </c>
      <c r="D50" s="300" t="s">
        <v>724</v>
      </c>
      <c r="E50" s="106">
        <v>3</v>
      </c>
      <c r="F50" s="106">
        <v>9.26</v>
      </c>
      <c r="G50" s="213">
        <f t="shared" si="2"/>
        <v>27.78</v>
      </c>
    </row>
    <row r="51" spans="3:7" ht="15" customHeight="1" x14ac:dyDescent="0.3">
      <c r="C51" s="299" t="s">
        <v>177</v>
      </c>
      <c r="D51" s="300" t="s">
        <v>725</v>
      </c>
      <c r="E51" s="106">
        <v>0.5</v>
      </c>
      <c r="F51" s="106">
        <v>4.62</v>
      </c>
      <c r="G51" s="213">
        <f t="shared" si="2"/>
        <v>2.31</v>
      </c>
    </row>
    <row r="52" spans="3:7" ht="15" customHeight="1" x14ac:dyDescent="0.3">
      <c r="C52" s="299" t="s">
        <v>180</v>
      </c>
      <c r="D52" s="300" t="s">
        <v>726</v>
      </c>
      <c r="E52" s="106">
        <v>13.19</v>
      </c>
      <c r="F52" s="106">
        <v>2.2999999999999998</v>
      </c>
      <c r="G52" s="113">
        <f t="shared" si="2"/>
        <v>30.336999999999996</v>
      </c>
    </row>
    <row r="53" spans="3:7" ht="15" customHeight="1" thickBot="1" x14ac:dyDescent="0.35">
      <c r="C53" s="301" t="s">
        <v>183</v>
      </c>
      <c r="D53" s="302" t="s">
        <v>727</v>
      </c>
      <c r="E53" s="303">
        <v>0.5</v>
      </c>
      <c r="F53" s="303">
        <v>4.62</v>
      </c>
      <c r="G53" s="122">
        <f t="shared" si="2"/>
        <v>2.31</v>
      </c>
    </row>
    <row r="54" spans="3:7" ht="15" customHeight="1" thickBot="1" x14ac:dyDescent="0.35">
      <c r="C54" s="467" t="s">
        <v>229</v>
      </c>
      <c r="D54" s="468"/>
      <c r="E54" s="468"/>
      <c r="F54" s="469"/>
      <c r="G54" s="304">
        <f>SUM(G48:G53)</f>
        <v>71.076999999999998</v>
      </c>
    </row>
    <row r="55" spans="3:7" ht="14.4" x14ac:dyDescent="0.3"/>
    <row r="56" spans="3:7" thickBot="1" x14ac:dyDescent="0.35"/>
    <row r="57" spans="3:7" thickBot="1" x14ac:dyDescent="0.35">
      <c r="C57" s="470" t="s">
        <v>166</v>
      </c>
      <c r="D57" s="471"/>
      <c r="E57" s="471"/>
      <c r="F57" s="472"/>
      <c r="G57" s="86">
        <f>I22+G54</f>
        <v>814.08366666666677</v>
      </c>
    </row>
    <row r="58" spans="3:7" ht="15" customHeight="1" x14ac:dyDescent="0.3"/>
    <row r="59" spans="3:7" ht="15" customHeight="1" x14ac:dyDescent="0.3"/>
    <row r="60" spans="3:7" ht="15" customHeight="1" x14ac:dyDescent="0.3"/>
    <row r="61" spans="3:7" ht="15" customHeight="1" x14ac:dyDescent="0.3"/>
    <row r="62" spans="3:7" ht="15" customHeight="1" x14ac:dyDescent="0.3"/>
    <row r="63" spans="3:7" ht="15" customHeight="1" x14ac:dyDescent="0.3"/>
    <row r="64" spans="3:7" ht="15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</sheetData>
  <mergeCells count="4">
    <mergeCell ref="C22:H22"/>
    <mergeCell ref="C54:F54"/>
    <mergeCell ref="C57:F57"/>
    <mergeCell ref="C45:F45"/>
  </mergeCells>
  <pageMargins left="0.7" right="0.7" top="0.75" bottom="0.75" header="0.3" footer="0.3"/>
  <pageSetup scale="78" orientation="landscape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40"/>
  <sheetViews>
    <sheetView topLeftCell="B16" workbookViewId="0">
      <selection activeCell="I37" sqref="I37"/>
    </sheetView>
  </sheetViews>
  <sheetFormatPr defaultColWidth="9.109375" defaultRowHeight="15" customHeight="1" zeroHeight="1" x14ac:dyDescent="0.3"/>
  <cols>
    <col min="1" max="3" width="9.109375" style="280" customWidth="1"/>
    <col min="4" max="4" width="38.44140625" style="280" bestFit="1" customWidth="1"/>
    <col min="5" max="5" width="11.88671875" style="280" customWidth="1"/>
    <col min="6" max="6" width="9.109375" style="280" customWidth="1"/>
    <col min="7" max="7" width="10.109375" style="280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186" t="s">
        <v>550</v>
      </c>
      <c r="D5" s="183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91">
        <v>1</v>
      </c>
      <c r="D6" s="209" t="s">
        <v>590</v>
      </c>
      <c r="E6" s="210" t="s">
        <v>591</v>
      </c>
      <c r="F6" s="305">
        <v>4</v>
      </c>
      <c r="G6" s="305" t="s">
        <v>169</v>
      </c>
      <c r="H6" s="306">
        <v>1</v>
      </c>
      <c r="I6" s="307">
        <f>H6*F6</f>
        <v>4</v>
      </c>
    </row>
    <row r="7" spans="3:9" ht="14.4" x14ac:dyDescent="0.3">
      <c r="C7" s="191">
        <v>2</v>
      </c>
      <c r="D7" s="214" t="s">
        <v>592</v>
      </c>
      <c r="E7" s="139" t="s">
        <v>593</v>
      </c>
      <c r="F7" s="308">
        <v>1</v>
      </c>
      <c r="G7" s="309" t="s">
        <v>169</v>
      </c>
      <c r="H7" s="310">
        <v>1</v>
      </c>
      <c r="I7" s="190">
        <f t="shared" ref="I7:I24" si="0">H7*F7</f>
        <v>1</v>
      </c>
    </row>
    <row r="8" spans="3:9" ht="14.4" x14ac:dyDescent="0.3">
      <c r="C8" s="191">
        <v>3</v>
      </c>
      <c r="D8" s="216" t="s">
        <v>594</v>
      </c>
      <c r="E8" s="139" t="s">
        <v>595</v>
      </c>
      <c r="F8" s="309">
        <v>1</v>
      </c>
      <c r="G8" s="309" t="s">
        <v>169</v>
      </c>
      <c r="H8" s="310">
        <f>27.06/1.05</f>
        <v>25.771428571428569</v>
      </c>
      <c r="I8" s="190">
        <f t="shared" si="0"/>
        <v>25.771428571428569</v>
      </c>
    </row>
    <row r="9" spans="3:9" ht="14.4" x14ac:dyDescent="0.3">
      <c r="C9" s="191">
        <v>4</v>
      </c>
      <c r="D9" s="216" t="s">
        <v>596</v>
      </c>
      <c r="E9" s="139" t="s">
        <v>597</v>
      </c>
      <c r="F9" s="309">
        <v>1</v>
      </c>
      <c r="G9" s="309" t="s">
        <v>169</v>
      </c>
      <c r="H9" s="310">
        <f>54.12/1.05</f>
        <v>51.542857142857137</v>
      </c>
      <c r="I9" s="190">
        <f t="shared" si="0"/>
        <v>51.542857142857137</v>
      </c>
    </row>
    <row r="10" spans="3:9" ht="14.4" x14ac:dyDescent="0.3">
      <c r="C10" s="191">
        <v>5</v>
      </c>
      <c r="D10" s="214" t="s">
        <v>598</v>
      </c>
      <c r="E10" s="139" t="s">
        <v>244</v>
      </c>
      <c r="F10" s="309">
        <v>2</v>
      </c>
      <c r="G10" s="309" t="s">
        <v>169</v>
      </c>
      <c r="H10" s="310">
        <f>11.55/1.05</f>
        <v>11</v>
      </c>
      <c r="I10" s="190">
        <f t="shared" si="0"/>
        <v>22</v>
      </c>
    </row>
    <row r="11" spans="3:9" ht="14.4" x14ac:dyDescent="0.3">
      <c r="C11" s="191">
        <v>6</v>
      </c>
      <c r="D11" s="214" t="s">
        <v>599</v>
      </c>
      <c r="E11" s="139" t="s">
        <v>246</v>
      </c>
      <c r="F11" s="309">
        <v>2</v>
      </c>
      <c r="G11" s="309" t="s">
        <v>169</v>
      </c>
      <c r="H11" s="310">
        <f>6.83/1.05</f>
        <v>6.5047619047619047</v>
      </c>
      <c r="I11" s="190">
        <f t="shared" si="0"/>
        <v>13.009523809523809</v>
      </c>
    </row>
    <row r="12" spans="3:9" ht="14.4" x14ac:dyDescent="0.3">
      <c r="C12" s="191">
        <v>7</v>
      </c>
      <c r="D12" s="214" t="s">
        <v>600</v>
      </c>
      <c r="E12" s="115" t="s">
        <v>601</v>
      </c>
      <c r="F12" s="309">
        <v>1</v>
      </c>
      <c r="G12" s="309" t="s">
        <v>169</v>
      </c>
      <c r="H12" s="308">
        <v>5</v>
      </c>
      <c r="I12" s="190">
        <f t="shared" si="0"/>
        <v>5</v>
      </c>
    </row>
    <row r="13" spans="3:9" ht="14.4" x14ac:dyDescent="0.3">
      <c r="C13" s="191">
        <v>8</v>
      </c>
      <c r="D13" s="214" t="s">
        <v>602</v>
      </c>
      <c r="E13" s="139" t="s">
        <v>255</v>
      </c>
      <c r="F13" s="309">
        <v>1</v>
      </c>
      <c r="G13" s="309" t="s">
        <v>169</v>
      </c>
      <c r="H13" s="308">
        <f>9.5/1.05</f>
        <v>9.0476190476190474</v>
      </c>
      <c r="I13" s="190">
        <f t="shared" si="0"/>
        <v>9.0476190476190474</v>
      </c>
    </row>
    <row r="14" spans="3:9" ht="14.4" x14ac:dyDescent="0.3">
      <c r="C14" s="191">
        <v>9</v>
      </c>
      <c r="D14" s="214" t="s">
        <v>603</v>
      </c>
      <c r="E14" s="139" t="s">
        <v>253</v>
      </c>
      <c r="F14" s="309">
        <v>1</v>
      </c>
      <c r="G14" s="309" t="s">
        <v>169</v>
      </c>
      <c r="H14" s="308">
        <f>9.5/1.05</f>
        <v>9.0476190476190474</v>
      </c>
      <c r="I14" s="190">
        <f t="shared" si="0"/>
        <v>9.0476190476190474</v>
      </c>
    </row>
    <row r="15" spans="3:9" ht="14.4" x14ac:dyDescent="0.3">
      <c r="C15" s="191">
        <v>10</v>
      </c>
      <c r="D15" s="214" t="s">
        <v>604</v>
      </c>
      <c r="E15" s="115" t="s">
        <v>605</v>
      </c>
      <c r="F15" s="309">
        <v>1</v>
      </c>
      <c r="G15" s="309" t="s">
        <v>169</v>
      </c>
      <c r="H15" s="308">
        <v>503.69</v>
      </c>
      <c r="I15" s="190">
        <f t="shared" si="0"/>
        <v>503.69</v>
      </c>
    </row>
    <row r="16" spans="3:9" ht="14.4" x14ac:dyDescent="0.3">
      <c r="C16" s="191">
        <v>11</v>
      </c>
      <c r="D16" s="214" t="s">
        <v>606</v>
      </c>
      <c r="E16" s="115" t="s">
        <v>607</v>
      </c>
      <c r="F16" s="308">
        <v>1</v>
      </c>
      <c r="G16" s="309" t="s">
        <v>169</v>
      </c>
      <c r="H16" s="308">
        <v>6</v>
      </c>
      <c r="I16" s="190">
        <f t="shared" si="0"/>
        <v>6</v>
      </c>
    </row>
    <row r="17" spans="3:9" ht="14.4" x14ac:dyDescent="0.3">
      <c r="C17" s="191">
        <v>12</v>
      </c>
      <c r="D17" s="214" t="s">
        <v>608</v>
      </c>
      <c r="E17" s="139" t="s">
        <v>249</v>
      </c>
      <c r="F17" s="309">
        <v>3</v>
      </c>
      <c r="G17" s="309" t="s">
        <v>169</v>
      </c>
      <c r="H17" s="308">
        <v>3</v>
      </c>
      <c r="I17" s="190">
        <f t="shared" si="0"/>
        <v>9</v>
      </c>
    </row>
    <row r="18" spans="3:9" ht="14.4" x14ac:dyDescent="0.3">
      <c r="C18" s="191">
        <v>13</v>
      </c>
      <c r="D18" s="311" t="s">
        <v>609</v>
      </c>
      <c r="E18" s="139" t="s">
        <v>251</v>
      </c>
      <c r="F18" s="309">
        <v>3</v>
      </c>
      <c r="G18" s="309" t="s">
        <v>169</v>
      </c>
      <c r="H18" s="308">
        <v>0.5</v>
      </c>
      <c r="I18" s="190">
        <f t="shared" si="0"/>
        <v>1.5</v>
      </c>
    </row>
    <row r="19" spans="3:9" ht="14.4" x14ac:dyDescent="0.3">
      <c r="C19" s="191">
        <v>14</v>
      </c>
      <c r="D19" s="311" t="s">
        <v>610</v>
      </c>
      <c r="E19" s="312" t="s">
        <v>611</v>
      </c>
      <c r="F19" s="309">
        <v>2</v>
      </c>
      <c r="G19" s="309" t="s">
        <v>169</v>
      </c>
      <c r="H19" s="308">
        <v>8</v>
      </c>
      <c r="I19" s="190">
        <f t="shared" si="0"/>
        <v>16</v>
      </c>
    </row>
    <row r="20" spans="3:9" ht="14.4" x14ac:dyDescent="0.3">
      <c r="C20" s="191">
        <v>15</v>
      </c>
      <c r="D20" s="311" t="s">
        <v>612</v>
      </c>
      <c r="E20" s="313" t="s">
        <v>613</v>
      </c>
      <c r="F20" s="314">
        <v>2</v>
      </c>
      <c r="G20" s="314" t="s">
        <v>169</v>
      </c>
      <c r="H20" s="315">
        <f>2.5/1.05</f>
        <v>2.3809523809523809</v>
      </c>
      <c r="I20" s="190">
        <f t="shared" si="0"/>
        <v>4.7619047619047619</v>
      </c>
    </row>
    <row r="21" spans="3:9" ht="15" customHeight="1" x14ac:dyDescent="0.3">
      <c r="C21" s="191">
        <v>16</v>
      </c>
      <c r="D21" s="311" t="s">
        <v>614</v>
      </c>
      <c r="E21" s="313" t="s">
        <v>615</v>
      </c>
      <c r="F21" s="314">
        <v>1</v>
      </c>
      <c r="G21" s="314" t="s">
        <v>169</v>
      </c>
      <c r="H21" s="309">
        <f>5.5/1.05</f>
        <v>5.2380952380952381</v>
      </c>
      <c r="I21" s="190">
        <f t="shared" si="0"/>
        <v>5.2380952380952381</v>
      </c>
    </row>
    <row r="22" spans="3:9" ht="14.4" x14ac:dyDescent="0.3">
      <c r="C22" s="191">
        <v>17</v>
      </c>
      <c r="D22" s="311" t="s">
        <v>616</v>
      </c>
      <c r="E22" s="316" t="s">
        <v>329</v>
      </c>
      <c r="F22" s="317">
        <v>0.2</v>
      </c>
      <c r="G22" s="317" t="s">
        <v>200</v>
      </c>
      <c r="H22" s="318">
        <v>42.76</v>
      </c>
      <c r="I22" s="190">
        <f t="shared" si="0"/>
        <v>8.5519999999999996</v>
      </c>
    </row>
    <row r="23" spans="3:9" ht="15" customHeight="1" x14ac:dyDescent="0.3">
      <c r="C23" s="191">
        <v>18</v>
      </c>
      <c r="D23" s="311" t="s">
        <v>330</v>
      </c>
      <c r="E23" s="316" t="s">
        <v>331</v>
      </c>
      <c r="F23" s="317">
        <v>2</v>
      </c>
      <c r="G23" s="317" t="s">
        <v>169</v>
      </c>
      <c r="H23" s="318">
        <v>2.75</v>
      </c>
      <c r="I23" s="190">
        <f t="shared" si="0"/>
        <v>5.5</v>
      </c>
    </row>
    <row r="24" spans="3:9" ht="15" customHeight="1" thickBot="1" x14ac:dyDescent="0.35">
      <c r="C24" s="222">
        <v>19</v>
      </c>
      <c r="D24" s="223" t="s">
        <v>617</v>
      </c>
      <c r="E24" s="224" t="s">
        <v>618</v>
      </c>
      <c r="F24" s="319" t="s">
        <v>167</v>
      </c>
      <c r="G24" s="320" t="s">
        <v>169</v>
      </c>
      <c r="H24" s="321">
        <f>131.3/1.05</f>
        <v>125.04761904761905</v>
      </c>
      <c r="I24" s="322">
        <f t="shared" si="0"/>
        <v>125.04761904761905</v>
      </c>
    </row>
    <row r="25" spans="3:9" ht="15" customHeight="1" thickBot="1" x14ac:dyDescent="0.35">
      <c r="C25" s="474" t="s">
        <v>229</v>
      </c>
      <c r="D25" s="475"/>
      <c r="E25" s="475"/>
      <c r="F25" s="475"/>
      <c r="G25" s="475"/>
      <c r="H25" s="476"/>
      <c r="I25" s="181">
        <f>SUM(I6:I24)</f>
        <v>825.70866666666666</v>
      </c>
    </row>
    <row r="26" spans="3:9" ht="15" customHeight="1" thickBot="1" x14ac:dyDescent="0.35"/>
    <row r="27" spans="3:9" ht="15" customHeight="1" thickBot="1" x14ac:dyDescent="0.35">
      <c r="C27" s="292" t="s">
        <v>550</v>
      </c>
      <c r="D27" s="293" t="s">
        <v>718</v>
      </c>
      <c r="E27" s="294" t="s">
        <v>719</v>
      </c>
      <c r="F27" s="294" t="s">
        <v>720</v>
      </c>
      <c r="G27" s="295" t="s">
        <v>721</v>
      </c>
    </row>
    <row r="28" spans="3:9" ht="15" customHeight="1" x14ac:dyDescent="0.3">
      <c r="C28" s="296" t="s">
        <v>167</v>
      </c>
      <c r="D28" s="323" t="s">
        <v>728</v>
      </c>
      <c r="E28" s="324">
        <v>0.5</v>
      </c>
      <c r="F28" s="324">
        <v>12.23</v>
      </c>
      <c r="G28" s="325">
        <f t="shared" ref="G28:G33" si="1">E28*F28</f>
        <v>6.1150000000000002</v>
      </c>
    </row>
    <row r="29" spans="3:9" ht="14.4" x14ac:dyDescent="0.3">
      <c r="C29" s="299" t="s">
        <v>171</v>
      </c>
      <c r="D29" s="326" t="s">
        <v>723</v>
      </c>
      <c r="E29" s="327">
        <v>0.5</v>
      </c>
      <c r="F29" s="327">
        <v>4.45</v>
      </c>
      <c r="G29" s="325">
        <f t="shared" si="1"/>
        <v>2.2250000000000001</v>
      </c>
    </row>
    <row r="30" spans="3:9" ht="15" customHeight="1" x14ac:dyDescent="0.3">
      <c r="C30" s="299" t="s">
        <v>173</v>
      </c>
      <c r="D30" s="326" t="s">
        <v>724</v>
      </c>
      <c r="E30" s="327">
        <v>4</v>
      </c>
      <c r="F30" s="327">
        <v>9.26</v>
      </c>
      <c r="G30" s="325">
        <f t="shared" si="1"/>
        <v>37.04</v>
      </c>
    </row>
    <row r="31" spans="3:9" ht="15" customHeight="1" x14ac:dyDescent="0.3">
      <c r="C31" s="299" t="s">
        <v>177</v>
      </c>
      <c r="D31" s="326" t="s">
        <v>726</v>
      </c>
      <c r="E31" s="327">
        <v>23.67</v>
      </c>
      <c r="F31" s="327">
        <v>2.2999999999999998</v>
      </c>
      <c r="G31" s="325">
        <f t="shared" si="1"/>
        <v>54.441000000000003</v>
      </c>
    </row>
    <row r="32" spans="3:9" ht="15" customHeight="1" x14ac:dyDescent="0.3">
      <c r="C32" s="299" t="s">
        <v>180</v>
      </c>
      <c r="D32" s="326" t="s">
        <v>725</v>
      </c>
      <c r="E32" s="327">
        <v>0.5</v>
      </c>
      <c r="F32" s="327">
        <v>4.62</v>
      </c>
      <c r="G32" s="325">
        <f t="shared" si="1"/>
        <v>2.31</v>
      </c>
    </row>
    <row r="33" spans="3:7" ht="15" customHeight="1" thickBot="1" x14ac:dyDescent="0.35">
      <c r="C33" s="301" t="s">
        <v>183</v>
      </c>
      <c r="D33" s="328" t="s">
        <v>729</v>
      </c>
      <c r="E33" s="329">
        <v>0.5</v>
      </c>
      <c r="F33" s="329">
        <v>4.62</v>
      </c>
      <c r="G33" s="330">
        <f t="shared" si="1"/>
        <v>2.31</v>
      </c>
    </row>
    <row r="34" spans="3:7" ht="15" customHeight="1" thickBot="1" x14ac:dyDescent="0.35">
      <c r="C34" s="467" t="s">
        <v>229</v>
      </c>
      <c r="D34" s="468"/>
      <c r="E34" s="468"/>
      <c r="F34" s="469"/>
      <c r="G34" s="304">
        <f>SUM(G28:G33)</f>
        <v>104.441</v>
      </c>
    </row>
    <row r="35" spans="3:7" ht="15" customHeight="1" thickBot="1" x14ac:dyDescent="0.35"/>
    <row r="36" spans="3:7" ht="15" customHeight="1" thickBot="1" x14ac:dyDescent="0.35">
      <c r="C36" s="470" t="s">
        <v>166</v>
      </c>
      <c r="D36" s="471"/>
      <c r="E36" s="471"/>
      <c r="F36" s="472"/>
      <c r="G36" s="86">
        <f>G34+I25</f>
        <v>930.14966666666669</v>
      </c>
    </row>
    <row r="37" spans="3:7" ht="15" customHeight="1" x14ac:dyDescent="0.3"/>
    <row r="38" spans="3:7" ht="15" customHeight="1" x14ac:dyDescent="0.3"/>
    <row r="39" spans="3:7" ht="15" customHeight="1" x14ac:dyDescent="0.3"/>
    <row r="40" spans="3:7" ht="15" customHeight="1" x14ac:dyDescent="0.3"/>
  </sheetData>
  <mergeCells count="3">
    <mergeCell ref="C25:H25"/>
    <mergeCell ref="C34:F34"/>
    <mergeCell ref="C36:F36"/>
  </mergeCells>
  <pageMargins left="0.7" right="0.7" top="0.75" bottom="0.75" header="0.3" footer="0.3"/>
  <pageSetup scale="86" orientation="landscape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A26" sqref="A26:XFD26"/>
    </sheetView>
  </sheetViews>
  <sheetFormatPr defaultColWidth="0" defaultRowHeight="15" customHeight="1" zeroHeight="1" x14ac:dyDescent="0.3"/>
  <cols>
    <col min="1" max="3" width="9.109375" style="280" customWidth="1"/>
    <col min="4" max="4" width="37.44140625" style="280" bestFit="1" customWidth="1"/>
    <col min="5" max="5" width="15.5546875" style="280" customWidth="1"/>
    <col min="6" max="6" width="9.109375" style="280" customWidth="1"/>
    <col min="7" max="7" width="14" style="280" customWidth="1"/>
    <col min="8" max="8" width="11.4414062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331" t="s">
        <v>550</v>
      </c>
      <c r="D5" s="332" t="s">
        <v>551</v>
      </c>
      <c r="E5" s="333" t="s">
        <v>552</v>
      </c>
      <c r="F5" s="333" t="s">
        <v>553</v>
      </c>
      <c r="G5" s="333" t="s">
        <v>554</v>
      </c>
      <c r="H5" s="333" t="s">
        <v>555</v>
      </c>
      <c r="I5" s="334" t="s">
        <v>556</v>
      </c>
    </row>
    <row r="6" spans="3:9" ht="14.4" x14ac:dyDescent="0.3">
      <c r="C6" s="335">
        <v>1</v>
      </c>
      <c r="D6" s="336" t="s">
        <v>590</v>
      </c>
      <c r="E6" s="337" t="s">
        <v>591</v>
      </c>
      <c r="F6" s="338">
        <v>4</v>
      </c>
      <c r="G6" s="338" t="s">
        <v>169</v>
      </c>
      <c r="H6" s="339">
        <v>1</v>
      </c>
      <c r="I6" s="307">
        <f>H6*F6</f>
        <v>4</v>
      </c>
    </row>
    <row r="7" spans="3:9" ht="14.4" x14ac:dyDescent="0.3">
      <c r="C7" s="340">
        <v>2</v>
      </c>
      <c r="D7" s="341" t="s">
        <v>592</v>
      </c>
      <c r="E7" s="342" t="s">
        <v>593</v>
      </c>
      <c r="F7" s="343">
        <v>1</v>
      </c>
      <c r="G7" s="344" t="s">
        <v>169</v>
      </c>
      <c r="H7" s="345">
        <v>1</v>
      </c>
      <c r="I7" s="190">
        <f t="shared" ref="I7:I16" si="0">H7*F7</f>
        <v>1</v>
      </c>
    </row>
    <row r="8" spans="3:9" ht="14.4" x14ac:dyDescent="0.3">
      <c r="C8" s="346">
        <v>3</v>
      </c>
      <c r="D8" s="341" t="s">
        <v>594</v>
      </c>
      <c r="E8" s="342" t="s">
        <v>595</v>
      </c>
      <c r="F8" s="344">
        <v>1</v>
      </c>
      <c r="G8" s="344" t="s">
        <v>169</v>
      </c>
      <c r="H8" s="345">
        <f>27.06/1.05</f>
        <v>25.771428571428569</v>
      </c>
      <c r="I8" s="190">
        <f t="shared" si="0"/>
        <v>25.771428571428569</v>
      </c>
    </row>
    <row r="9" spans="3:9" ht="14.4" x14ac:dyDescent="0.3">
      <c r="C9" s="346">
        <v>4</v>
      </c>
      <c r="D9" s="341" t="s">
        <v>596</v>
      </c>
      <c r="E9" s="342" t="s">
        <v>597</v>
      </c>
      <c r="F9" s="344">
        <v>1</v>
      </c>
      <c r="G9" s="344" t="s">
        <v>169</v>
      </c>
      <c r="H9" s="345">
        <f>54.12/1.05</f>
        <v>51.542857142857137</v>
      </c>
      <c r="I9" s="190">
        <f t="shared" si="0"/>
        <v>51.542857142857137</v>
      </c>
    </row>
    <row r="10" spans="3:9" ht="14.4" x14ac:dyDescent="0.3">
      <c r="C10" s="346">
        <v>5</v>
      </c>
      <c r="D10" s="341" t="s">
        <v>598</v>
      </c>
      <c r="E10" s="342" t="s">
        <v>244</v>
      </c>
      <c r="F10" s="344">
        <v>2</v>
      </c>
      <c r="G10" s="344" t="s">
        <v>169</v>
      </c>
      <c r="H10" s="345">
        <f>11.55/1.05</f>
        <v>11</v>
      </c>
      <c r="I10" s="190">
        <f t="shared" si="0"/>
        <v>22</v>
      </c>
    </row>
    <row r="11" spans="3:9" ht="14.4" x14ac:dyDescent="0.3">
      <c r="C11" s="346">
        <v>6</v>
      </c>
      <c r="D11" s="341" t="s">
        <v>599</v>
      </c>
      <c r="E11" s="342" t="s">
        <v>246</v>
      </c>
      <c r="F11" s="344">
        <v>2</v>
      </c>
      <c r="G11" s="344" t="s">
        <v>169</v>
      </c>
      <c r="H11" s="345">
        <f>6.83/1.05</f>
        <v>6.5047619047619047</v>
      </c>
      <c r="I11" s="190">
        <f t="shared" si="0"/>
        <v>13.009523809523809</v>
      </c>
    </row>
    <row r="12" spans="3:9" ht="14.4" x14ac:dyDescent="0.3">
      <c r="C12" s="346">
        <v>7</v>
      </c>
      <c r="D12" s="341" t="s">
        <v>602</v>
      </c>
      <c r="E12" s="342" t="s">
        <v>255</v>
      </c>
      <c r="F12" s="344">
        <v>1</v>
      </c>
      <c r="G12" s="344" t="s">
        <v>169</v>
      </c>
      <c r="H12" s="343">
        <f>9.5/1.05</f>
        <v>9.0476190476190474</v>
      </c>
      <c r="I12" s="190">
        <f t="shared" si="0"/>
        <v>9.0476190476190474</v>
      </c>
    </row>
    <row r="13" spans="3:9" ht="14.4" x14ac:dyDescent="0.3">
      <c r="C13" s="346">
        <v>8</v>
      </c>
      <c r="D13" s="341" t="s">
        <v>603</v>
      </c>
      <c r="E13" s="342" t="s">
        <v>253</v>
      </c>
      <c r="F13" s="344">
        <v>1</v>
      </c>
      <c r="G13" s="344" t="s">
        <v>169</v>
      </c>
      <c r="H13" s="343">
        <f>9.5/1.05</f>
        <v>9.0476190476190474</v>
      </c>
      <c r="I13" s="190">
        <f t="shared" si="0"/>
        <v>9.0476190476190474</v>
      </c>
    </row>
    <row r="14" spans="3:9" ht="14.4" x14ac:dyDescent="0.3">
      <c r="C14" s="346">
        <v>9</v>
      </c>
      <c r="D14" s="341" t="s">
        <v>604</v>
      </c>
      <c r="E14" s="347" t="s">
        <v>605</v>
      </c>
      <c r="F14" s="344">
        <v>1</v>
      </c>
      <c r="G14" s="344" t="s">
        <v>169</v>
      </c>
      <c r="H14" s="343">
        <v>503.69</v>
      </c>
      <c r="I14" s="190">
        <f t="shared" si="0"/>
        <v>503.69</v>
      </c>
    </row>
    <row r="15" spans="3:9" ht="14.4" x14ac:dyDescent="0.3">
      <c r="C15" s="346">
        <v>10</v>
      </c>
      <c r="D15" s="341" t="s">
        <v>608</v>
      </c>
      <c r="E15" s="342" t="s">
        <v>249</v>
      </c>
      <c r="F15" s="344">
        <v>3</v>
      </c>
      <c r="G15" s="344" t="s">
        <v>169</v>
      </c>
      <c r="H15" s="343">
        <v>3</v>
      </c>
      <c r="I15" s="190">
        <f t="shared" si="0"/>
        <v>9</v>
      </c>
    </row>
    <row r="16" spans="3:9" ht="14.4" x14ac:dyDescent="0.3">
      <c r="C16" s="346">
        <v>11</v>
      </c>
      <c r="D16" s="348" t="s">
        <v>609</v>
      </c>
      <c r="E16" s="342" t="s">
        <v>251</v>
      </c>
      <c r="F16" s="344">
        <v>3</v>
      </c>
      <c r="G16" s="344" t="s">
        <v>169</v>
      </c>
      <c r="H16" s="343">
        <v>0.5</v>
      </c>
      <c r="I16" s="190">
        <f t="shared" si="0"/>
        <v>1.5</v>
      </c>
    </row>
    <row r="17" spans="3:9" ht="14.4" x14ac:dyDescent="0.3">
      <c r="C17" s="346">
        <v>12</v>
      </c>
      <c r="D17" s="348" t="s">
        <v>606</v>
      </c>
      <c r="E17" s="349" t="s">
        <v>607</v>
      </c>
      <c r="F17" s="344">
        <v>1</v>
      </c>
      <c r="G17" s="344" t="s">
        <v>169</v>
      </c>
      <c r="H17" s="343">
        <v>6</v>
      </c>
      <c r="I17" s="190">
        <f>H17*F17</f>
        <v>6</v>
      </c>
    </row>
    <row r="18" spans="3:9" ht="14.4" x14ac:dyDescent="0.3">
      <c r="C18" s="346">
        <v>13</v>
      </c>
      <c r="D18" s="348" t="s">
        <v>610</v>
      </c>
      <c r="E18" s="349" t="s">
        <v>611</v>
      </c>
      <c r="F18" s="344">
        <v>2</v>
      </c>
      <c r="G18" s="344" t="s">
        <v>169</v>
      </c>
      <c r="H18" s="343">
        <v>8</v>
      </c>
      <c r="I18" s="190">
        <f t="shared" ref="I18:I23" si="1">H18*F18</f>
        <v>16</v>
      </c>
    </row>
    <row r="19" spans="3:9" ht="14.4" x14ac:dyDescent="0.3">
      <c r="C19" s="346">
        <v>14</v>
      </c>
      <c r="D19" s="348" t="s">
        <v>730</v>
      </c>
      <c r="E19" s="350" t="s">
        <v>613</v>
      </c>
      <c r="F19" s="351">
        <v>2</v>
      </c>
      <c r="G19" s="351" t="s">
        <v>169</v>
      </c>
      <c r="H19" s="352">
        <f>2.5/1.05</f>
        <v>2.3809523809523809</v>
      </c>
      <c r="I19" s="190">
        <f t="shared" si="1"/>
        <v>4.7619047619047619</v>
      </c>
    </row>
    <row r="20" spans="3:9" ht="15" customHeight="1" x14ac:dyDescent="0.3">
      <c r="C20" s="346">
        <v>15</v>
      </c>
      <c r="D20" s="348" t="s">
        <v>614</v>
      </c>
      <c r="E20" s="350" t="s">
        <v>615</v>
      </c>
      <c r="F20" s="351">
        <v>1</v>
      </c>
      <c r="G20" s="351" t="s">
        <v>169</v>
      </c>
      <c r="H20" s="344">
        <f>5.5/1.05</f>
        <v>5.2380952380952381</v>
      </c>
      <c r="I20" s="190">
        <f t="shared" si="1"/>
        <v>5.2380952380952381</v>
      </c>
    </row>
    <row r="21" spans="3:9" ht="15" customHeight="1" x14ac:dyDescent="0.3">
      <c r="C21" s="346">
        <v>16</v>
      </c>
      <c r="D21" s="348" t="s">
        <v>616</v>
      </c>
      <c r="E21" s="353" t="s">
        <v>329</v>
      </c>
      <c r="F21" s="354">
        <v>0.2</v>
      </c>
      <c r="G21" s="354" t="s">
        <v>200</v>
      </c>
      <c r="H21" s="350" t="s">
        <v>731</v>
      </c>
      <c r="I21" s="190">
        <f t="shared" si="1"/>
        <v>8.5519999999999996</v>
      </c>
    </row>
    <row r="22" spans="3:9" ht="15" customHeight="1" x14ac:dyDescent="0.3">
      <c r="C22" s="346">
        <v>17</v>
      </c>
      <c r="D22" s="348" t="s">
        <v>330</v>
      </c>
      <c r="E22" s="353" t="s">
        <v>331</v>
      </c>
      <c r="F22" s="354">
        <v>2</v>
      </c>
      <c r="G22" s="354" t="s">
        <v>169</v>
      </c>
      <c r="H22" s="350" t="s">
        <v>715</v>
      </c>
      <c r="I22" s="190">
        <f t="shared" si="1"/>
        <v>5.5</v>
      </c>
    </row>
    <row r="23" spans="3:9" ht="15" customHeight="1" thickBot="1" x14ac:dyDescent="0.35">
      <c r="C23" s="355">
        <v>18</v>
      </c>
      <c r="D23" s="356" t="s">
        <v>732</v>
      </c>
      <c r="E23" s="357" t="s">
        <v>733</v>
      </c>
      <c r="F23" s="358" t="s">
        <v>167</v>
      </c>
      <c r="G23" s="359" t="s">
        <v>169</v>
      </c>
      <c r="H23" s="360">
        <f>160.7/1.05</f>
        <v>153.04761904761904</v>
      </c>
      <c r="I23" s="322">
        <f t="shared" si="1"/>
        <v>153.04761904761904</v>
      </c>
    </row>
    <row r="24" spans="3:9" ht="15" customHeight="1" thickBot="1" x14ac:dyDescent="0.35">
      <c r="C24" s="474" t="s">
        <v>229</v>
      </c>
      <c r="D24" s="475"/>
      <c r="E24" s="475"/>
      <c r="F24" s="475"/>
      <c r="G24" s="475"/>
      <c r="H24" s="476"/>
      <c r="I24" s="85">
        <f>SUM(I6:I23)</f>
        <v>848.70866666666666</v>
      </c>
    </row>
    <row r="25" spans="3:9" ht="15" customHeight="1" thickBot="1" x14ac:dyDescent="0.35"/>
    <row r="26" spans="3:9" ht="15" customHeight="1" thickBot="1" x14ac:dyDescent="0.35">
      <c r="C26" s="361" t="s">
        <v>550</v>
      </c>
      <c r="D26" s="362" t="s">
        <v>718</v>
      </c>
      <c r="E26" s="363" t="s">
        <v>719</v>
      </c>
      <c r="F26" s="363" t="s">
        <v>720</v>
      </c>
      <c r="G26" s="364" t="s">
        <v>721</v>
      </c>
    </row>
    <row r="27" spans="3:9" ht="15" customHeight="1" x14ac:dyDescent="0.3">
      <c r="C27" s="365" t="s">
        <v>167</v>
      </c>
      <c r="D27" s="366" t="s">
        <v>728</v>
      </c>
      <c r="E27" s="367">
        <v>0.5</v>
      </c>
      <c r="F27" s="367">
        <v>12.23</v>
      </c>
      <c r="G27" s="368">
        <f t="shared" ref="G27:G32" si="2">E27*F27</f>
        <v>6.1150000000000002</v>
      </c>
    </row>
    <row r="28" spans="3:9" ht="15" customHeight="1" x14ac:dyDescent="0.3">
      <c r="C28" s="369" t="s">
        <v>171</v>
      </c>
      <c r="D28" s="370" t="s">
        <v>723</v>
      </c>
      <c r="E28" s="159">
        <v>0.5</v>
      </c>
      <c r="F28" s="159">
        <v>4.45</v>
      </c>
      <c r="G28" s="164">
        <f t="shared" si="2"/>
        <v>2.2250000000000001</v>
      </c>
    </row>
    <row r="29" spans="3:9" ht="15" customHeight="1" x14ac:dyDescent="0.3">
      <c r="C29" s="369" t="s">
        <v>173</v>
      </c>
      <c r="D29" s="370" t="s">
        <v>724</v>
      </c>
      <c r="E29" s="159">
        <v>4</v>
      </c>
      <c r="F29" s="159">
        <v>9.26</v>
      </c>
      <c r="G29" s="164">
        <f t="shared" si="2"/>
        <v>37.04</v>
      </c>
    </row>
    <row r="30" spans="3:9" ht="15" customHeight="1" x14ac:dyDescent="0.3">
      <c r="C30" s="369" t="s">
        <v>177</v>
      </c>
      <c r="D30" s="370" t="s">
        <v>726</v>
      </c>
      <c r="E30" s="159">
        <v>27.27</v>
      </c>
      <c r="F30" s="159">
        <v>2.2999999999999998</v>
      </c>
      <c r="G30" s="164">
        <f t="shared" si="2"/>
        <v>62.720999999999997</v>
      </c>
    </row>
    <row r="31" spans="3:9" ht="15" customHeight="1" x14ac:dyDescent="0.3">
      <c r="C31" s="369" t="s">
        <v>180</v>
      </c>
      <c r="D31" s="370" t="s">
        <v>725</v>
      </c>
      <c r="E31" s="159">
        <v>1</v>
      </c>
      <c r="F31" s="159">
        <v>4.62</v>
      </c>
      <c r="G31" s="164">
        <f t="shared" si="2"/>
        <v>4.62</v>
      </c>
    </row>
    <row r="32" spans="3:9" ht="15" customHeight="1" thickBot="1" x14ac:dyDescent="0.35">
      <c r="C32" s="371" t="s">
        <v>183</v>
      </c>
      <c r="D32" s="372" t="s">
        <v>729</v>
      </c>
      <c r="E32" s="373">
        <v>1</v>
      </c>
      <c r="F32" s="373">
        <v>4.62</v>
      </c>
      <c r="G32" s="374">
        <f t="shared" si="2"/>
        <v>4.62</v>
      </c>
    </row>
    <row r="33" spans="3:7" ht="15" customHeight="1" thickBot="1" x14ac:dyDescent="0.35">
      <c r="C33" s="467" t="s">
        <v>229</v>
      </c>
      <c r="D33" s="468"/>
      <c r="E33" s="468"/>
      <c r="F33" s="469"/>
      <c r="G33" s="304">
        <f>SUM(G27:G32)</f>
        <v>117.34100000000001</v>
      </c>
    </row>
    <row r="34" spans="3:7" ht="15" customHeight="1" thickBot="1" x14ac:dyDescent="0.35"/>
    <row r="35" spans="3:7" ht="15" customHeight="1" thickBot="1" x14ac:dyDescent="0.35">
      <c r="C35" s="470" t="s">
        <v>166</v>
      </c>
      <c r="D35" s="471"/>
      <c r="E35" s="471"/>
      <c r="F35" s="472"/>
      <c r="G35" s="86">
        <f>G33+I24</f>
        <v>966.04966666666667</v>
      </c>
    </row>
    <row r="36" spans="3:7" ht="15" customHeight="1" x14ac:dyDescent="0.3"/>
    <row r="37" spans="3:7" ht="15" customHeight="1" x14ac:dyDescent="0.3"/>
    <row r="38" spans="3:7" ht="15" customHeight="1" x14ac:dyDescent="0.3"/>
    <row r="39" spans="3:7" ht="15" customHeight="1" x14ac:dyDescent="0.3"/>
    <row r="40" spans="3:7" ht="15" customHeight="1" x14ac:dyDescent="0.3"/>
    <row r="41" spans="3:7" ht="15" customHeight="1" x14ac:dyDescent="0.3"/>
    <row r="42" spans="3:7" ht="15" customHeight="1" x14ac:dyDescent="0.3"/>
    <row r="43" spans="3:7" ht="15" customHeight="1" x14ac:dyDescent="0.3"/>
    <row r="44" spans="3:7" ht="15" customHeight="1" x14ac:dyDescent="0.3"/>
    <row r="45" spans="3:7" ht="15" customHeight="1" x14ac:dyDescent="0.3"/>
    <row r="46" spans="3:7" ht="15" customHeight="1" x14ac:dyDescent="0.3"/>
    <row r="47" spans="3:7" ht="15" customHeight="1" x14ac:dyDescent="0.3"/>
    <row r="48" spans="3:7" ht="15" customHeight="1" x14ac:dyDescent="0.3"/>
    <row r="49" ht="15" customHeight="1" x14ac:dyDescent="0.3"/>
  </sheetData>
  <mergeCells count="3">
    <mergeCell ref="C24:H24"/>
    <mergeCell ref="C33:F33"/>
    <mergeCell ref="C35:F35"/>
  </mergeCells>
  <pageMargins left="0.7" right="0.7" top="0.75" bottom="0.75" header="0.3" footer="0.3"/>
  <pageSetup scale="72" orientation="landscape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selection activeCell="C5" sqref="C5:I22"/>
    </sheetView>
  </sheetViews>
  <sheetFormatPr defaultColWidth="0" defaultRowHeight="0" customHeight="1" zeroHeight="1" x14ac:dyDescent="0.3"/>
  <cols>
    <col min="1" max="3" width="9.109375" style="280" customWidth="1"/>
    <col min="4" max="4" width="43.6640625" style="280" bestFit="1" customWidth="1"/>
    <col min="5" max="5" width="15.88671875" style="280" customWidth="1"/>
    <col min="6" max="6" width="11.6640625" style="280" customWidth="1"/>
    <col min="7" max="8" width="11.88671875" style="280" customWidth="1"/>
    <col min="9" max="9" width="12.5546875" style="280" customWidth="1"/>
    <col min="10" max="10" width="12.3320312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ht="15" thickBot="1" x14ac:dyDescent="0.35"/>
    <row r="5" spans="3:9" ht="15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5</v>
      </c>
      <c r="G6" s="377" t="s">
        <v>169</v>
      </c>
      <c r="H6" s="378">
        <v>1</v>
      </c>
      <c r="I6" s="379">
        <f>H6*F6</f>
        <v>5</v>
      </c>
    </row>
    <row r="7" spans="3:9" ht="14.4" x14ac:dyDescent="0.3">
      <c r="C7" s="191">
        <v>2</v>
      </c>
      <c r="D7" s="380" t="s">
        <v>734</v>
      </c>
      <c r="E7" s="381" t="s">
        <v>735</v>
      </c>
      <c r="F7" s="382">
        <v>2</v>
      </c>
      <c r="G7" s="382" t="s">
        <v>169</v>
      </c>
      <c r="H7" s="383">
        <f>11.55/1.05</f>
        <v>11</v>
      </c>
      <c r="I7" s="384">
        <f t="shared" ref="I7:I19" si="0">H7*F7</f>
        <v>22</v>
      </c>
    </row>
    <row r="8" spans="3:9" ht="14.4" x14ac:dyDescent="0.3">
      <c r="C8" s="191">
        <v>3</v>
      </c>
      <c r="D8" s="380" t="s">
        <v>599</v>
      </c>
      <c r="E8" s="385" t="s">
        <v>246</v>
      </c>
      <c r="F8" s="382">
        <v>2</v>
      </c>
      <c r="G8" s="382" t="s">
        <v>169</v>
      </c>
      <c r="H8" s="383">
        <f>6.83/1.05</f>
        <v>6.5047619047619047</v>
      </c>
      <c r="I8" s="384">
        <f t="shared" si="0"/>
        <v>13.009523809523809</v>
      </c>
    </row>
    <row r="9" spans="3:9" ht="14.4" x14ac:dyDescent="0.3">
      <c r="C9" s="191">
        <v>4</v>
      </c>
      <c r="D9" s="380" t="s">
        <v>602</v>
      </c>
      <c r="E9" s="385" t="s">
        <v>255</v>
      </c>
      <c r="F9" s="382">
        <v>2</v>
      </c>
      <c r="G9" s="382" t="s">
        <v>169</v>
      </c>
      <c r="H9" s="383">
        <f>9.5/1.05</f>
        <v>9.0476190476190474</v>
      </c>
      <c r="I9" s="384">
        <f t="shared" si="0"/>
        <v>18.095238095238095</v>
      </c>
    </row>
    <row r="10" spans="3:9" ht="14.4" x14ac:dyDescent="0.3">
      <c r="C10" s="191">
        <v>5</v>
      </c>
      <c r="D10" s="380" t="s">
        <v>736</v>
      </c>
      <c r="E10" s="381" t="s">
        <v>605</v>
      </c>
      <c r="F10" s="382">
        <v>1</v>
      </c>
      <c r="G10" s="382" t="s">
        <v>169</v>
      </c>
      <c r="H10" s="383">
        <v>503.69</v>
      </c>
      <c r="I10" s="384">
        <f t="shared" si="0"/>
        <v>503.69</v>
      </c>
    </row>
    <row r="11" spans="3:9" ht="14.4" x14ac:dyDescent="0.3">
      <c r="C11" s="191">
        <v>6</v>
      </c>
      <c r="D11" s="380" t="s">
        <v>608</v>
      </c>
      <c r="E11" s="385" t="s">
        <v>249</v>
      </c>
      <c r="F11" s="382">
        <v>3</v>
      </c>
      <c r="G11" s="382" t="s">
        <v>169</v>
      </c>
      <c r="H11" s="383">
        <v>3</v>
      </c>
      <c r="I11" s="384">
        <f t="shared" si="0"/>
        <v>9</v>
      </c>
    </row>
    <row r="12" spans="3:9" ht="14.4" x14ac:dyDescent="0.3">
      <c r="C12" s="191">
        <v>7</v>
      </c>
      <c r="D12" s="386" t="s">
        <v>609</v>
      </c>
      <c r="E12" s="385" t="s">
        <v>251</v>
      </c>
      <c r="F12" s="382">
        <v>3</v>
      </c>
      <c r="G12" s="382" t="s">
        <v>169</v>
      </c>
      <c r="H12" s="383">
        <v>0.5</v>
      </c>
      <c r="I12" s="384">
        <f t="shared" si="0"/>
        <v>1.5</v>
      </c>
    </row>
    <row r="13" spans="3:9" ht="14.4" x14ac:dyDescent="0.3">
      <c r="C13" s="191">
        <v>8</v>
      </c>
      <c r="D13" s="386" t="s">
        <v>606</v>
      </c>
      <c r="E13" s="387" t="s">
        <v>607</v>
      </c>
      <c r="F13" s="382">
        <v>1</v>
      </c>
      <c r="G13" s="382" t="s">
        <v>169</v>
      </c>
      <c r="H13" s="383">
        <v>6</v>
      </c>
      <c r="I13" s="384">
        <f t="shared" si="0"/>
        <v>6</v>
      </c>
    </row>
    <row r="14" spans="3:9" ht="14.4" x14ac:dyDescent="0.3">
      <c r="C14" s="191">
        <v>9</v>
      </c>
      <c r="D14" s="386" t="s">
        <v>610</v>
      </c>
      <c r="E14" s="387" t="s">
        <v>611</v>
      </c>
      <c r="F14" s="382">
        <v>2</v>
      </c>
      <c r="G14" s="382" t="s">
        <v>169</v>
      </c>
      <c r="H14" s="383">
        <v>8</v>
      </c>
      <c r="I14" s="384">
        <f t="shared" si="0"/>
        <v>16</v>
      </c>
    </row>
    <row r="15" spans="3:9" ht="14.4" x14ac:dyDescent="0.3">
      <c r="C15" s="191">
        <v>10</v>
      </c>
      <c r="D15" s="388" t="s">
        <v>737</v>
      </c>
      <c r="E15" s="389" t="s">
        <v>733</v>
      </c>
      <c r="F15" s="390">
        <v>1</v>
      </c>
      <c r="G15" s="391" t="s">
        <v>169</v>
      </c>
      <c r="H15" s="383">
        <f>160.7/1.05</f>
        <v>153.04761904761904</v>
      </c>
      <c r="I15" s="384">
        <f t="shared" si="0"/>
        <v>153.04761904761904</v>
      </c>
    </row>
    <row r="16" spans="3:9" ht="14.4" x14ac:dyDescent="0.3">
      <c r="C16" s="191">
        <v>11</v>
      </c>
      <c r="D16" s="392" t="s">
        <v>730</v>
      </c>
      <c r="E16" s="350" t="s">
        <v>613</v>
      </c>
      <c r="F16" s="351">
        <v>2</v>
      </c>
      <c r="G16" s="351" t="s">
        <v>169</v>
      </c>
      <c r="H16" s="383">
        <f>2.5/1.05</f>
        <v>2.3809523809523809</v>
      </c>
      <c r="I16" s="384">
        <f t="shared" si="0"/>
        <v>4.7619047619047619</v>
      </c>
    </row>
    <row r="17" spans="3:9" ht="14.4" x14ac:dyDescent="0.3">
      <c r="C17" s="191">
        <v>12</v>
      </c>
      <c r="D17" s="392" t="s">
        <v>614</v>
      </c>
      <c r="E17" s="350" t="s">
        <v>615</v>
      </c>
      <c r="F17" s="351">
        <v>1</v>
      </c>
      <c r="G17" s="351" t="s">
        <v>169</v>
      </c>
      <c r="H17" s="383">
        <f>5.5/1.05</f>
        <v>5.2380952380952381</v>
      </c>
      <c r="I17" s="384">
        <f t="shared" si="0"/>
        <v>5.2380952380952381</v>
      </c>
    </row>
    <row r="18" spans="3:9" ht="14.4" x14ac:dyDescent="0.3">
      <c r="C18" s="191">
        <v>13</v>
      </c>
      <c r="D18" s="392" t="s">
        <v>616</v>
      </c>
      <c r="E18" s="353" t="s">
        <v>329</v>
      </c>
      <c r="F18" s="354">
        <v>0.2</v>
      </c>
      <c r="G18" s="354" t="s">
        <v>200</v>
      </c>
      <c r="H18" s="383">
        <f>42.76</f>
        <v>42.76</v>
      </c>
      <c r="I18" s="384">
        <f t="shared" si="0"/>
        <v>8.5519999999999996</v>
      </c>
    </row>
    <row r="19" spans="3:9" ht="15" thickBot="1" x14ac:dyDescent="0.35">
      <c r="C19" s="235">
        <v>14</v>
      </c>
      <c r="D19" s="393" t="s">
        <v>330</v>
      </c>
      <c r="E19" s="394" t="s">
        <v>331</v>
      </c>
      <c r="F19" s="358">
        <v>2</v>
      </c>
      <c r="G19" s="358" t="s">
        <v>169</v>
      </c>
      <c r="H19" s="395">
        <v>2.75</v>
      </c>
      <c r="I19" s="396">
        <f t="shared" si="0"/>
        <v>5.5</v>
      </c>
    </row>
    <row r="20" spans="3:9" ht="15" customHeight="1" thickBot="1" x14ac:dyDescent="0.35">
      <c r="C20" s="474" t="s">
        <v>229</v>
      </c>
      <c r="D20" s="475"/>
      <c r="E20" s="475"/>
      <c r="F20" s="475"/>
      <c r="G20" s="475"/>
      <c r="H20" s="476"/>
      <c r="I20" s="181">
        <f>SUM(I6:I19)</f>
        <v>771.39438095238097</v>
      </c>
    </row>
    <row r="21" spans="3:9" ht="15" customHeight="1" thickBot="1" x14ac:dyDescent="0.35"/>
    <row r="22" spans="3:9" ht="15" customHeight="1" thickBot="1" x14ac:dyDescent="0.35">
      <c r="C22" s="361" t="s">
        <v>550</v>
      </c>
      <c r="D22" s="362" t="s">
        <v>718</v>
      </c>
      <c r="E22" s="363" t="s">
        <v>719</v>
      </c>
      <c r="F22" s="363" t="s">
        <v>720</v>
      </c>
      <c r="G22" s="364" t="s">
        <v>721</v>
      </c>
    </row>
    <row r="23" spans="3:9" ht="14.4" x14ac:dyDescent="0.3">
      <c r="C23" s="365" t="s">
        <v>167</v>
      </c>
      <c r="D23" s="366" t="s">
        <v>728</v>
      </c>
      <c r="E23" s="367">
        <v>0.5</v>
      </c>
      <c r="F23" s="367">
        <v>12.23</v>
      </c>
      <c r="G23" s="368">
        <f t="shared" ref="G23:G28" si="1">E23*F23</f>
        <v>6.1150000000000002</v>
      </c>
    </row>
    <row r="24" spans="3:9" ht="14.4" x14ac:dyDescent="0.3">
      <c r="C24" s="369" t="s">
        <v>171</v>
      </c>
      <c r="D24" s="370" t="s">
        <v>723</v>
      </c>
      <c r="E24" s="159">
        <v>0.5</v>
      </c>
      <c r="F24" s="159">
        <v>4.45</v>
      </c>
      <c r="G24" s="164">
        <f t="shared" si="1"/>
        <v>2.2250000000000001</v>
      </c>
    </row>
    <row r="25" spans="3:9" ht="14.4" x14ac:dyDescent="0.3">
      <c r="C25" s="369" t="s">
        <v>173</v>
      </c>
      <c r="D25" s="370" t="s">
        <v>724</v>
      </c>
      <c r="E25" s="159">
        <v>4</v>
      </c>
      <c r="F25" s="159">
        <v>9.26</v>
      </c>
      <c r="G25" s="164">
        <f t="shared" si="1"/>
        <v>37.04</v>
      </c>
    </row>
    <row r="26" spans="3:9" ht="14.4" x14ac:dyDescent="0.3">
      <c r="C26" s="369" t="s">
        <v>177</v>
      </c>
      <c r="D26" s="370" t="s">
        <v>726</v>
      </c>
      <c r="E26" s="159">
        <v>29.56</v>
      </c>
      <c r="F26" s="159">
        <v>2.2999999999999998</v>
      </c>
      <c r="G26" s="164">
        <f t="shared" si="1"/>
        <v>67.987999999999985</v>
      </c>
    </row>
    <row r="27" spans="3:9" ht="14.4" x14ac:dyDescent="0.3">
      <c r="C27" s="369" t="s">
        <v>180</v>
      </c>
      <c r="D27" s="370" t="s">
        <v>725</v>
      </c>
      <c r="E27" s="159">
        <v>1</v>
      </c>
      <c r="F27" s="159">
        <v>4.62</v>
      </c>
      <c r="G27" s="164">
        <f t="shared" si="1"/>
        <v>4.62</v>
      </c>
    </row>
    <row r="28" spans="3:9" ht="15" thickBot="1" x14ac:dyDescent="0.35">
      <c r="C28" s="371" t="s">
        <v>183</v>
      </c>
      <c r="D28" s="372" t="s">
        <v>729</v>
      </c>
      <c r="E28" s="373">
        <v>1</v>
      </c>
      <c r="F28" s="373">
        <v>4.62</v>
      </c>
      <c r="G28" s="374">
        <f t="shared" si="1"/>
        <v>4.62</v>
      </c>
    </row>
    <row r="29" spans="3:9" ht="15" customHeight="1" thickBot="1" x14ac:dyDescent="0.35">
      <c r="C29" s="467" t="s">
        <v>229</v>
      </c>
      <c r="D29" s="468"/>
      <c r="E29" s="468"/>
      <c r="F29" s="469"/>
      <c r="G29" s="304">
        <f>SUM(G23:G28)</f>
        <v>122.60799999999999</v>
      </c>
    </row>
    <row r="30" spans="3:9" ht="15" customHeight="1" thickBot="1" x14ac:dyDescent="0.35"/>
    <row r="31" spans="3:9" ht="15" customHeight="1" thickBot="1" x14ac:dyDescent="0.35">
      <c r="C31" s="470" t="s">
        <v>166</v>
      </c>
      <c r="D31" s="471"/>
      <c r="E31" s="471"/>
      <c r="F31" s="471"/>
      <c r="G31" s="397">
        <f>G29+I20</f>
        <v>894.00238095238092</v>
      </c>
    </row>
    <row r="32" spans="3:9" ht="14.4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</sheetData>
  <mergeCells count="3">
    <mergeCell ref="C20:H20"/>
    <mergeCell ref="C29:F29"/>
    <mergeCell ref="C31:F31"/>
  </mergeCells>
  <pageMargins left="0.7" right="0.7" top="0.75" bottom="0.75" header="0.3" footer="0.3"/>
  <pageSetup scale="90" orientation="landscape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workbookViewId="0">
      <selection activeCell="C5" sqref="C5:I22"/>
    </sheetView>
  </sheetViews>
  <sheetFormatPr defaultColWidth="0" defaultRowHeight="15" customHeight="1" zeroHeight="1" x14ac:dyDescent="0.3"/>
  <cols>
    <col min="1" max="3" width="9.109375" style="280" customWidth="1"/>
    <col min="4" max="4" width="32.5546875" style="280" bestFit="1" customWidth="1"/>
    <col min="5" max="5" width="16" style="280" customWidth="1"/>
    <col min="6" max="6" width="9.109375" style="280" customWidth="1"/>
    <col min="7" max="7" width="11.88671875" style="280" customWidth="1"/>
    <col min="8" max="8" width="10.664062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5</v>
      </c>
      <c r="G6" s="377" t="s">
        <v>169</v>
      </c>
      <c r="H6" s="378">
        <v>1</v>
      </c>
      <c r="I6" s="379">
        <f>H6*F6</f>
        <v>5</v>
      </c>
    </row>
    <row r="7" spans="3:9" ht="14.4" x14ac:dyDescent="0.3">
      <c r="C7" s="191">
        <v>2</v>
      </c>
      <c r="D7" s="380" t="s">
        <v>734</v>
      </c>
      <c r="E7" s="381" t="s">
        <v>735</v>
      </c>
      <c r="F7" s="382">
        <v>2</v>
      </c>
      <c r="G7" s="382" t="s">
        <v>169</v>
      </c>
      <c r="H7" s="383">
        <f>11.55/1.05</f>
        <v>11</v>
      </c>
      <c r="I7" s="384">
        <f t="shared" ref="I7:I19" si="0">H7*F7</f>
        <v>22</v>
      </c>
    </row>
    <row r="8" spans="3:9" ht="14.4" x14ac:dyDescent="0.3">
      <c r="C8" s="191">
        <v>3</v>
      </c>
      <c r="D8" s="380" t="s">
        <v>599</v>
      </c>
      <c r="E8" s="385" t="s">
        <v>246</v>
      </c>
      <c r="F8" s="382">
        <v>2</v>
      </c>
      <c r="G8" s="382" t="s">
        <v>169</v>
      </c>
      <c r="H8" s="383">
        <f>6.83/1.05</f>
        <v>6.5047619047619047</v>
      </c>
      <c r="I8" s="384">
        <f t="shared" si="0"/>
        <v>13.009523809523809</v>
      </c>
    </row>
    <row r="9" spans="3:9" ht="14.4" x14ac:dyDescent="0.3">
      <c r="C9" s="191">
        <v>4</v>
      </c>
      <c r="D9" s="380" t="s">
        <v>602</v>
      </c>
      <c r="E9" s="385" t="s">
        <v>255</v>
      </c>
      <c r="F9" s="382">
        <v>2</v>
      </c>
      <c r="G9" s="382" t="s">
        <v>169</v>
      </c>
      <c r="H9" s="383">
        <f>9.5/1.05</f>
        <v>9.0476190476190474</v>
      </c>
      <c r="I9" s="384">
        <f t="shared" si="0"/>
        <v>18.095238095238095</v>
      </c>
    </row>
    <row r="10" spans="3:9" ht="14.4" x14ac:dyDescent="0.3">
      <c r="C10" s="191">
        <v>5</v>
      </c>
      <c r="D10" s="380" t="s">
        <v>736</v>
      </c>
      <c r="E10" s="381" t="s">
        <v>605</v>
      </c>
      <c r="F10" s="382">
        <v>1</v>
      </c>
      <c r="G10" s="382" t="s">
        <v>169</v>
      </c>
      <c r="H10" s="383">
        <v>503.69</v>
      </c>
      <c r="I10" s="384">
        <f t="shared" si="0"/>
        <v>503.69</v>
      </c>
    </row>
    <row r="11" spans="3:9" ht="14.4" x14ac:dyDescent="0.3">
      <c r="C11" s="191">
        <v>6</v>
      </c>
      <c r="D11" s="380" t="s">
        <v>608</v>
      </c>
      <c r="E11" s="385" t="s">
        <v>249</v>
      </c>
      <c r="F11" s="382">
        <v>3</v>
      </c>
      <c r="G11" s="382" t="s">
        <v>169</v>
      </c>
      <c r="H11" s="383">
        <v>3</v>
      </c>
      <c r="I11" s="384">
        <f t="shared" si="0"/>
        <v>9</v>
      </c>
    </row>
    <row r="12" spans="3:9" ht="14.4" x14ac:dyDescent="0.3">
      <c r="C12" s="191">
        <v>7</v>
      </c>
      <c r="D12" s="386" t="s">
        <v>609</v>
      </c>
      <c r="E12" s="385" t="s">
        <v>251</v>
      </c>
      <c r="F12" s="382">
        <v>3</v>
      </c>
      <c r="G12" s="382" t="s">
        <v>169</v>
      </c>
      <c r="H12" s="383">
        <v>0.5</v>
      </c>
      <c r="I12" s="384">
        <f t="shared" si="0"/>
        <v>1.5</v>
      </c>
    </row>
    <row r="13" spans="3:9" ht="14.4" x14ac:dyDescent="0.3">
      <c r="C13" s="191">
        <v>8</v>
      </c>
      <c r="D13" s="386" t="s">
        <v>606</v>
      </c>
      <c r="E13" s="387" t="s">
        <v>607</v>
      </c>
      <c r="F13" s="382">
        <v>1</v>
      </c>
      <c r="G13" s="382" t="s">
        <v>169</v>
      </c>
      <c r="H13" s="383">
        <v>6</v>
      </c>
      <c r="I13" s="384">
        <f t="shared" si="0"/>
        <v>6</v>
      </c>
    </row>
    <row r="14" spans="3:9" ht="14.4" x14ac:dyDescent="0.3">
      <c r="C14" s="191">
        <v>9</v>
      </c>
      <c r="D14" s="386" t="s">
        <v>610</v>
      </c>
      <c r="E14" s="387" t="s">
        <v>611</v>
      </c>
      <c r="F14" s="382">
        <v>2</v>
      </c>
      <c r="G14" s="382" t="s">
        <v>169</v>
      </c>
      <c r="H14" s="383">
        <v>8</v>
      </c>
      <c r="I14" s="384">
        <f t="shared" si="0"/>
        <v>16</v>
      </c>
    </row>
    <row r="15" spans="3:9" ht="14.4" x14ac:dyDescent="0.3">
      <c r="C15" s="191">
        <v>10</v>
      </c>
      <c r="D15" s="388" t="s">
        <v>737</v>
      </c>
      <c r="E15" s="389" t="s">
        <v>733</v>
      </c>
      <c r="F15" s="390">
        <v>1.5</v>
      </c>
      <c r="G15" s="391" t="s">
        <v>169</v>
      </c>
      <c r="H15" s="383">
        <f>160.7/1.05</f>
        <v>153.04761904761904</v>
      </c>
      <c r="I15" s="384">
        <f t="shared" si="0"/>
        <v>229.57142857142856</v>
      </c>
    </row>
    <row r="16" spans="3:9" ht="14.4" x14ac:dyDescent="0.3">
      <c r="C16" s="191">
        <v>11</v>
      </c>
      <c r="D16" s="392" t="s">
        <v>730</v>
      </c>
      <c r="E16" s="350" t="s">
        <v>613</v>
      </c>
      <c r="F16" s="351">
        <v>2</v>
      </c>
      <c r="G16" s="351" t="s">
        <v>169</v>
      </c>
      <c r="H16" s="383">
        <f>2.5/1.05</f>
        <v>2.3809523809523809</v>
      </c>
      <c r="I16" s="384">
        <f t="shared" si="0"/>
        <v>4.7619047619047619</v>
      </c>
    </row>
    <row r="17" spans="3:9" ht="15" customHeight="1" x14ac:dyDescent="0.3">
      <c r="C17" s="191">
        <v>12</v>
      </c>
      <c r="D17" s="392" t="s">
        <v>614</v>
      </c>
      <c r="E17" s="350" t="s">
        <v>615</v>
      </c>
      <c r="F17" s="351">
        <v>1</v>
      </c>
      <c r="G17" s="351" t="s">
        <v>169</v>
      </c>
      <c r="H17" s="383">
        <f>5.5/1.05</f>
        <v>5.2380952380952381</v>
      </c>
      <c r="I17" s="384">
        <f t="shared" si="0"/>
        <v>5.2380952380952381</v>
      </c>
    </row>
    <row r="18" spans="3:9" ht="15" customHeight="1" x14ac:dyDescent="0.3">
      <c r="C18" s="191">
        <v>13</v>
      </c>
      <c r="D18" s="392" t="s">
        <v>438</v>
      </c>
      <c r="E18" s="353" t="s">
        <v>439</v>
      </c>
      <c r="F18" s="354">
        <v>0.2</v>
      </c>
      <c r="G18" s="354" t="s">
        <v>200</v>
      </c>
      <c r="H18" s="383">
        <v>120</v>
      </c>
      <c r="I18" s="384">
        <f t="shared" si="0"/>
        <v>24</v>
      </c>
    </row>
    <row r="19" spans="3:9" ht="15" customHeight="1" thickBot="1" x14ac:dyDescent="0.35">
      <c r="C19" s="235">
        <v>14</v>
      </c>
      <c r="D19" s="393" t="s">
        <v>330</v>
      </c>
      <c r="E19" s="394" t="s">
        <v>331</v>
      </c>
      <c r="F19" s="358">
        <v>2</v>
      </c>
      <c r="G19" s="358" t="s">
        <v>169</v>
      </c>
      <c r="H19" s="395">
        <v>2.75</v>
      </c>
      <c r="I19" s="396">
        <f t="shared" si="0"/>
        <v>5.5</v>
      </c>
    </row>
    <row r="20" spans="3:9" ht="15" customHeight="1" thickBot="1" x14ac:dyDescent="0.35">
      <c r="C20" s="474" t="s">
        <v>229</v>
      </c>
      <c r="D20" s="475"/>
      <c r="E20" s="475"/>
      <c r="F20" s="475"/>
      <c r="G20" s="475"/>
      <c r="H20" s="476"/>
      <c r="I20" s="181">
        <f>SUM(I6:I19)</f>
        <v>863.36619047619047</v>
      </c>
    </row>
    <row r="21" spans="3:9" ht="15" customHeight="1" thickBot="1" x14ac:dyDescent="0.35"/>
    <row r="22" spans="3:9" ht="15" customHeight="1" thickBot="1" x14ac:dyDescent="0.35">
      <c r="C22" s="361" t="s">
        <v>550</v>
      </c>
      <c r="D22" s="362" t="s">
        <v>718</v>
      </c>
      <c r="E22" s="363" t="s">
        <v>719</v>
      </c>
      <c r="F22" s="363" t="s">
        <v>720</v>
      </c>
      <c r="G22" s="364" t="s">
        <v>721</v>
      </c>
    </row>
    <row r="23" spans="3:9" ht="15" customHeight="1" x14ac:dyDescent="0.3">
      <c r="C23" s="365" t="s">
        <v>167</v>
      </c>
      <c r="D23" s="366" t="s">
        <v>728</v>
      </c>
      <c r="E23" s="367">
        <v>1</v>
      </c>
      <c r="F23" s="367">
        <v>12.23</v>
      </c>
      <c r="G23" s="368">
        <f t="shared" ref="G23:G28" si="1">E23*F23</f>
        <v>12.23</v>
      </c>
    </row>
    <row r="24" spans="3:9" ht="15" customHeight="1" x14ac:dyDescent="0.3">
      <c r="C24" s="369" t="s">
        <v>171</v>
      </c>
      <c r="D24" s="370" t="s">
        <v>723</v>
      </c>
      <c r="E24" s="159">
        <v>1</v>
      </c>
      <c r="F24" s="159">
        <v>4.45</v>
      </c>
      <c r="G24" s="164">
        <f t="shared" si="1"/>
        <v>4.45</v>
      </c>
    </row>
    <row r="25" spans="3:9" ht="14.4" x14ac:dyDescent="0.3">
      <c r="C25" s="369" t="s">
        <v>173</v>
      </c>
      <c r="D25" s="370" t="s">
        <v>724</v>
      </c>
      <c r="E25" s="159">
        <v>5</v>
      </c>
      <c r="F25" s="159">
        <v>9.26</v>
      </c>
      <c r="G25" s="164">
        <f t="shared" si="1"/>
        <v>46.3</v>
      </c>
    </row>
    <row r="26" spans="3:9" ht="15" customHeight="1" x14ac:dyDescent="0.3">
      <c r="C26" s="369" t="s">
        <v>177</v>
      </c>
      <c r="D26" s="370" t="s">
        <v>726</v>
      </c>
      <c r="E26" s="159">
        <v>33</v>
      </c>
      <c r="F26" s="159">
        <v>2.2999999999999998</v>
      </c>
      <c r="G26" s="164">
        <f t="shared" si="1"/>
        <v>75.899999999999991</v>
      </c>
    </row>
    <row r="27" spans="3:9" ht="15" customHeight="1" x14ac:dyDescent="0.3">
      <c r="C27" s="369" t="s">
        <v>180</v>
      </c>
      <c r="D27" s="370" t="s">
        <v>725</v>
      </c>
      <c r="E27" s="159">
        <v>2</v>
      </c>
      <c r="F27" s="159">
        <v>4.62</v>
      </c>
      <c r="G27" s="164">
        <f t="shared" si="1"/>
        <v>9.24</v>
      </c>
    </row>
    <row r="28" spans="3:9" ht="15" customHeight="1" thickBot="1" x14ac:dyDescent="0.35">
      <c r="C28" s="371" t="s">
        <v>183</v>
      </c>
      <c r="D28" s="372" t="s">
        <v>729</v>
      </c>
      <c r="E28" s="373">
        <v>2</v>
      </c>
      <c r="F28" s="373">
        <v>4.62</v>
      </c>
      <c r="G28" s="374">
        <f t="shared" si="1"/>
        <v>9.24</v>
      </c>
    </row>
    <row r="29" spans="3:9" ht="15" customHeight="1" thickBot="1" x14ac:dyDescent="0.35">
      <c r="C29" s="467" t="s">
        <v>229</v>
      </c>
      <c r="D29" s="468"/>
      <c r="E29" s="468"/>
      <c r="F29" s="469"/>
      <c r="G29" s="304">
        <f>SUM(G23:G28)</f>
        <v>157.36000000000001</v>
      </c>
    </row>
    <row r="30" spans="3:9" ht="15" customHeight="1" thickBot="1" x14ac:dyDescent="0.35"/>
    <row r="31" spans="3:9" ht="15" customHeight="1" thickBot="1" x14ac:dyDescent="0.35">
      <c r="C31" s="470" t="s">
        <v>166</v>
      </c>
      <c r="D31" s="471"/>
      <c r="E31" s="471"/>
      <c r="F31" s="471"/>
      <c r="G31" s="397">
        <f>G29+I20</f>
        <v>1020.7261904761905</v>
      </c>
    </row>
    <row r="32" spans="3:9" ht="15" customHeight="1" x14ac:dyDescent="0.3"/>
    <row r="33" ht="15" customHeight="1" x14ac:dyDescent="0.3"/>
    <row r="34" ht="15" customHeight="1" x14ac:dyDescent="0.3"/>
    <row r="35" ht="14.4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</sheetData>
  <mergeCells count="3">
    <mergeCell ref="C20:H20"/>
    <mergeCell ref="C29:F29"/>
    <mergeCell ref="C31:F31"/>
  </mergeCells>
  <pageMargins left="0.7" right="0.7" top="0.75" bottom="0.75" header="0.3" footer="0.3"/>
  <pageSetup scale="81" orientation="landscape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workbookViewId="0">
      <selection activeCell="C5" sqref="C5:I22"/>
    </sheetView>
  </sheetViews>
  <sheetFormatPr defaultColWidth="0" defaultRowHeight="15" customHeight="1" zeroHeight="1" x14ac:dyDescent="0.3"/>
  <cols>
    <col min="1" max="3" width="9.109375" style="280" customWidth="1"/>
    <col min="4" max="4" width="33.109375" style="280" bestFit="1" customWidth="1"/>
    <col min="5" max="5" width="12.5546875" style="280" bestFit="1" customWidth="1"/>
    <col min="6" max="6" width="8.88671875" style="280" bestFit="1" customWidth="1"/>
    <col min="7" max="7" width="8.6640625" style="280" bestFit="1" customWidth="1"/>
    <col min="8" max="8" width="10.664062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5</v>
      </c>
      <c r="G6" s="377" t="s">
        <v>169</v>
      </c>
      <c r="H6" s="378">
        <v>1</v>
      </c>
      <c r="I6" s="379">
        <f>H6*F6</f>
        <v>5</v>
      </c>
    </row>
    <row r="7" spans="3:9" ht="14.4" x14ac:dyDescent="0.3">
      <c r="C7" s="191">
        <v>2</v>
      </c>
      <c r="D7" s="380" t="s">
        <v>734</v>
      </c>
      <c r="E7" s="381" t="s">
        <v>735</v>
      </c>
      <c r="F7" s="382">
        <v>2</v>
      </c>
      <c r="G7" s="382" t="s">
        <v>169</v>
      </c>
      <c r="H7" s="383">
        <f>11.55/1.05</f>
        <v>11</v>
      </c>
      <c r="I7" s="384">
        <f t="shared" ref="I7:I20" si="0">H7*F7</f>
        <v>22</v>
      </c>
    </row>
    <row r="8" spans="3:9" ht="14.4" x14ac:dyDescent="0.3">
      <c r="C8" s="191">
        <v>3</v>
      </c>
      <c r="D8" s="380" t="s">
        <v>599</v>
      </c>
      <c r="E8" s="385" t="s">
        <v>246</v>
      </c>
      <c r="F8" s="382">
        <v>2</v>
      </c>
      <c r="G8" s="382" t="s">
        <v>169</v>
      </c>
      <c r="H8" s="383">
        <f>6.83/1.05</f>
        <v>6.5047619047619047</v>
      </c>
      <c r="I8" s="384">
        <f t="shared" si="0"/>
        <v>13.009523809523809</v>
      </c>
    </row>
    <row r="9" spans="3:9" ht="14.4" x14ac:dyDescent="0.3">
      <c r="C9" s="191">
        <v>4</v>
      </c>
      <c r="D9" s="380" t="s">
        <v>602</v>
      </c>
      <c r="E9" s="385" t="s">
        <v>255</v>
      </c>
      <c r="F9" s="382">
        <v>2</v>
      </c>
      <c r="G9" s="382" t="s">
        <v>169</v>
      </c>
      <c r="H9" s="383">
        <f>9.5/1.05</f>
        <v>9.0476190476190474</v>
      </c>
      <c r="I9" s="384">
        <f t="shared" si="0"/>
        <v>18.095238095238095</v>
      </c>
    </row>
    <row r="10" spans="3:9" ht="14.4" x14ac:dyDescent="0.3">
      <c r="C10" s="191">
        <v>5</v>
      </c>
      <c r="D10" s="380" t="s">
        <v>736</v>
      </c>
      <c r="E10" s="381" t="s">
        <v>605</v>
      </c>
      <c r="F10" s="382">
        <v>1</v>
      </c>
      <c r="G10" s="382" t="s">
        <v>169</v>
      </c>
      <c r="H10" s="383">
        <v>503.69</v>
      </c>
      <c r="I10" s="384">
        <f t="shared" si="0"/>
        <v>503.69</v>
      </c>
    </row>
    <row r="11" spans="3:9" ht="14.4" x14ac:dyDescent="0.3">
      <c r="C11" s="191">
        <v>6</v>
      </c>
      <c r="D11" s="380" t="s">
        <v>608</v>
      </c>
      <c r="E11" s="385" t="s">
        <v>249</v>
      </c>
      <c r="F11" s="382">
        <v>3</v>
      </c>
      <c r="G11" s="382" t="s">
        <v>169</v>
      </c>
      <c r="H11" s="383">
        <v>3</v>
      </c>
      <c r="I11" s="384">
        <f t="shared" si="0"/>
        <v>9</v>
      </c>
    </row>
    <row r="12" spans="3:9" ht="14.4" x14ac:dyDescent="0.3">
      <c r="C12" s="191">
        <v>7</v>
      </c>
      <c r="D12" s="386" t="s">
        <v>609</v>
      </c>
      <c r="E12" s="385" t="s">
        <v>251</v>
      </c>
      <c r="F12" s="382">
        <v>3</v>
      </c>
      <c r="G12" s="382" t="s">
        <v>169</v>
      </c>
      <c r="H12" s="383">
        <v>0.5</v>
      </c>
      <c r="I12" s="384">
        <f t="shared" si="0"/>
        <v>1.5</v>
      </c>
    </row>
    <row r="13" spans="3:9" ht="14.4" x14ac:dyDescent="0.3">
      <c r="C13" s="191">
        <v>8</v>
      </c>
      <c r="D13" s="386" t="s">
        <v>606</v>
      </c>
      <c r="E13" s="387" t="s">
        <v>607</v>
      </c>
      <c r="F13" s="382">
        <v>1</v>
      </c>
      <c r="G13" s="382" t="s">
        <v>169</v>
      </c>
      <c r="H13" s="383">
        <v>6</v>
      </c>
      <c r="I13" s="384">
        <f t="shared" si="0"/>
        <v>6</v>
      </c>
    </row>
    <row r="14" spans="3:9" ht="14.4" x14ac:dyDescent="0.3">
      <c r="C14" s="191">
        <v>9</v>
      </c>
      <c r="D14" s="386" t="s">
        <v>610</v>
      </c>
      <c r="E14" s="387" t="s">
        <v>611</v>
      </c>
      <c r="F14" s="382">
        <v>2</v>
      </c>
      <c r="G14" s="382" t="s">
        <v>169</v>
      </c>
      <c r="H14" s="383">
        <v>8</v>
      </c>
      <c r="I14" s="384">
        <f t="shared" si="0"/>
        <v>16</v>
      </c>
    </row>
    <row r="15" spans="3:9" ht="15" customHeight="1" x14ac:dyDescent="0.3">
      <c r="C15" s="191">
        <v>10</v>
      </c>
      <c r="D15" s="388" t="s">
        <v>737</v>
      </c>
      <c r="E15" s="389" t="s">
        <v>733</v>
      </c>
      <c r="F15" s="390">
        <v>2</v>
      </c>
      <c r="G15" s="391" t="s">
        <v>169</v>
      </c>
      <c r="H15" s="383">
        <f>160.7/1.05</f>
        <v>153.04761904761904</v>
      </c>
      <c r="I15" s="384">
        <f t="shared" si="0"/>
        <v>306.09523809523807</v>
      </c>
    </row>
    <row r="16" spans="3:9" ht="15" customHeight="1" x14ac:dyDescent="0.3">
      <c r="C16" s="191">
        <v>11</v>
      </c>
      <c r="D16" s="392" t="s">
        <v>730</v>
      </c>
      <c r="E16" s="350" t="s">
        <v>613</v>
      </c>
      <c r="F16" s="351">
        <v>2</v>
      </c>
      <c r="G16" s="351" t="s">
        <v>169</v>
      </c>
      <c r="H16" s="383">
        <f>2.5/1.05</f>
        <v>2.3809523809523809</v>
      </c>
      <c r="I16" s="384">
        <f t="shared" si="0"/>
        <v>4.7619047619047619</v>
      </c>
    </row>
    <row r="17" spans="3:9" ht="15" customHeight="1" x14ac:dyDescent="0.3">
      <c r="C17" s="191">
        <v>12</v>
      </c>
      <c r="D17" s="392" t="s">
        <v>614</v>
      </c>
      <c r="E17" s="350" t="s">
        <v>615</v>
      </c>
      <c r="F17" s="351">
        <v>1</v>
      </c>
      <c r="G17" s="351" t="s">
        <v>169</v>
      </c>
      <c r="H17" s="383">
        <f>5.5/1.05</f>
        <v>5.2380952380952381</v>
      </c>
      <c r="I17" s="384">
        <f t="shared" si="0"/>
        <v>5.2380952380952381</v>
      </c>
    </row>
    <row r="18" spans="3:9" ht="15" customHeight="1" x14ac:dyDescent="0.3">
      <c r="C18" s="191">
        <v>13</v>
      </c>
      <c r="D18" s="392" t="s">
        <v>438</v>
      </c>
      <c r="E18" s="353" t="s">
        <v>439</v>
      </c>
      <c r="F18" s="354">
        <v>0.2</v>
      </c>
      <c r="G18" s="354" t="s">
        <v>200</v>
      </c>
      <c r="H18" s="383">
        <v>120</v>
      </c>
      <c r="I18" s="384">
        <f t="shared" si="0"/>
        <v>24</v>
      </c>
    </row>
    <row r="19" spans="3:9" ht="15" customHeight="1" x14ac:dyDescent="0.3">
      <c r="C19" s="235">
        <v>14</v>
      </c>
      <c r="D19" s="398" t="s">
        <v>738</v>
      </c>
      <c r="E19" s="399" t="s">
        <v>739</v>
      </c>
      <c r="F19" s="400" t="s">
        <v>167</v>
      </c>
      <c r="G19" s="400" t="s">
        <v>169</v>
      </c>
      <c r="H19" s="401">
        <v>100</v>
      </c>
      <c r="I19" s="402">
        <f>F19*H19</f>
        <v>100</v>
      </c>
    </row>
    <row r="20" spans="3:9" ht="15" customHeight="1" thickBot="1" x14ac:dyDescent="0.35">
      <c r="C20" s="235">
        <v>15</v>
      </c>
      <c r="D20" s="393" t="s">
        <v>330</v>
      </c>
      <c r="E20" s="394" t="s">
        <v>331</v>
      </c>
      <c r="F20" s="358">
        <v>2</v>
      </c>
      <c r="G20" s="358" t="s">
        <v>169</v>
      </c>
      <c r="H20" s="395">
        <v>2.75</v>
      </c>
      <c r="I20" s="396">
        <f t="shared" si="0"/>
        <v>5.5</v>
      </c>
    </row>
    <row r="21" spans="3:9" ht="15" customHeight="1" thickBot="1" x14ac:dyDescent="0.35">
      <c r="C21" s="474" t="s">
        <v>229</v>
      </c>
      <c r="D21" s="475"/>
      <c r="E21" s="475"/>
      <c r="F21" s="475"/>
      <c r="G21" s="475"/>
      <c r="H21" s="476"/>
      <c r="I21" s="181">
        <f>SUM(I6:I20)</f>
        <v>1039.8899999999999</v>
      </c>
    </row>
    <row r="22" spans="3:9" ht="15" customHeight="1" thickBot="1" x14ac:dyDescent="0.35"/>
    <row r="23" spans="3:9" ht="15" customHeight="1" thickBot="1" x14ac:dyDescent="0.35">
      <c r="C23" s="361" t="s">
        <v>550</v>
      </c>
      <c r="D23" s="362" t="s">
        <v>718</v>
      </c>
      <c r="E23" s="363" t="s">
        <v>719</v>
      </c>
      <c r="F23" s="363" t="s">
        <v>720</v>
      </c>
      <c r="G23" s="364" t="s">
        <v>721</v>
      </c>
    </row>
    <row r="24" spans="3:9" ht="15" customHeight="1" x14ac:dyDescent="0.3">
      <c r="C24" s="365" t="s">
        <v>167</v>
      </c>
      <c r="D24" s="366" t="s">
        <v>728</v>
      </c>
      <c r="E24" s="367">
        <v>1.5</v>
      </c>
      <c r="F24" s="367">
        <v>12.23</v>
      </c>
      <c r="G24" s="368">
        <f t="shared" ref="G24:G29" si="1">E24*F24</f>
        <v>18.344999999999999</v>
      </c>
    </row>
    <row r="25" spans="3:9" ht="15" customHeight="1" x14ac:dyDescent="0.3">
      <c r="C25" s="369" t="s">
        <v>171</v>
      </c>
      <c r="D25" s="370" t="s">
        <v>723</v>
      </c>
      <c r="E25" s="159">
        <v>1.5</v>
      </c>
      <c r="F25" s="159">
        <v>4.45</v>
      </c>
      <c r="G25" s="164">
        <f t="shared" si="1"/>
        <v>6.6750000000000007</v>
      </c>
    </row>
    <row r="26" spans="3:9" ht="15" customHeight="1" x14ac:dyDescent="0.3">
      <c r="C26" s="369" t="s">
        <v>173</v>
      </c>
      <c r="D26" s="370" t="s">
        <v>724</v>
      </c>
      <c r="E26" s="159">
        <v>6</v>
      </c>
      <c r="F26" s="159">
        <v>9.26</v>
      </c>
      <c r="G26" s="164">
        <f t="shared" si="1"/>
        <v>55.56</v>
      </c>
    </row>
    <row r="27" spans="3:9" ht="15" customHeight="1" x14ac:dyDescent="0.3">
      <c r="C27" s="369" t="s">
        <v>177</v>
      </c>
      <c r="D27" s="370" t="s">
        <v>726</v>
      </c>
      <c r="E27" s="159">
        <v>42.2</v>
      </c>
      <c r="F27" s="159">
        <v>2.2999999999999998</v>
      </c>
      <c r="G27" s="164">
        <f t="shared" si="1"/>
        <v>97.06</v>
      </c>
    </row>
    <row r="28" spans="3:9" ht="15" customHeight="1" x14ac:dyDescent="0.3">
      <c r="C28" s="369" t="s">
        <v>180</v>
      </c>
      <c r="D28" s="370" t="s">
        <v>725</v>
      </c>
      <c r="E28" s="159">
        <v>3</v>
      </c>
      <c r="F28" s="159">
        <v>4.62</v>
      </c>
      <c r="G28" s="164">
        <f t="shared" si="1"/>
        <v>13.86</v>
      </c>
    </row>
    <row r="29" spans="3:9" ht="15" customHeight="1" thickBot="1" x14ac:dyDescent="0.35">
      <c r="C29" s="371" t="s">
        <v>183</v>
      </c>
      <c r="D29" s="372" t="s">
        <v>729</v>
      </c>
      <c r="E29" s="373">
        <v>3</v>
      </c>
      <c r="F29" s="373">
        <v>4.62</v>
      </c>
      <c r="G29" s="374">
        <f t="shared" si="1"/>
        <v>13.86</v>
      </c>
    </row>
    <row r="30" spans="3:9" ht="15" customHeight="1" thickBot="1" x14ac:dyDescent="0.35">
      <c r="C30" s="467" t="s">
        <v>229</v>
      </c>
      <c r="D30" s="468"/>
      <c r="E30" s="468"/>
      <c r="F30" s="469"/>
      <c r="G30" s="304">
        <f>SUM(G24:G29)</f>
        <v>205.36</v>
      </c>
    </row>
    <row r="31" spans="3:9" ht="15" customHeight="1" thickBot="1" x14ac:dyDescent="0.35"/>
    <row r="32" spans="3:9" ht="15" customHeight="1" thickBot="1" x14ac:dyDescent="0.35">
      <c r="C32" s="470" t="s">
        <v>166</v>
      </c>
      <c r="D32" s="471"/>
      <c r="E32" s="471"/>
      <c r="F32" s="471"/>
      <c r="G32" s="397">
        <f>G30+I21</f>
        <v>1245.25</v>
      </c>
    </row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</sheetData>
  <mergeCells count="3">
    <mergeCell ref="C21:H21"/>
    <mergeCell ref="C30:F30"/>
    <mergeCell ref="C32:F32"/>
  </mergeCells>
  <pageMargins left="0.7" right="0.7" top="0.75" bottom="0.75" header="0.3" footer="0.3"/>
  <pageSetup scale="80" orientation="landscape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>
      <selection activeCell="C5" sqref="C5:I22"/>
    </sheetView>
  </sheetViews>
  <sheetFormatPr defaultColWidth="0" defaultRowHeight="15" customHeight="1" zeroHeight="1" x14ac:dyDescent="0.3"/>
  <cols>
    <col min="1" max="3" width="9.109375" style="280" customWidth="1"/>
    <col min="4" max="4" width="33.109375" style="280" bestFit="1" customWidth="1"/>
    <col min="5" max="5" width="12.5546875" style="280" bestFit="1" customWidth="1"/>
    <col min="6" max="6" width="8.88671875" style="280" bestFit="1" customWidth="1"/>
    <col min="7" max="7" width="8.6640625" style="280" bestFit="1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>
      <c r="D2" s="280">
        <v>4006</v>
      </c>
    </row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3</v>
      </c>
      <c r="G6" s="377" t="s">
        <v>169</v>
      </c>
      <c r="H6" s="378">
        <v>1</v>
      </c>
      <c r="I6" s="379">
        <f>H6*F6</f>
        <v>3</v>
      </c>
    </row>
    <row r="7" spans="3:9" ht="14.4" x14ac:dyDescent="0.3">
      <c r="C7" s="203">
        <v>2</v>
      </c>
      <c r="D7" s="403" t="s">
        <v>740</v>
      </c>
      <c r="E7" s="404">
        <v>2060001</v>
      </c>
      <c r="F7" s="405">
        <v>1</v>
      </c>
      <c r="G7" s="405" t="s">
        <v>169</v>
      </c>
      <c r="H7" s="310">
        <f>27.06/1.05</f>
        <v>25.771428571428569</v>
      </c>
      <c r="I7" s="406">
        <f>F7*H7</f>
        <v>25.771428571428569</v>
      </c>
    </row>
    <row r="8" spans="3:9" ht="14.4" x14ac:dyDescent="0.3">
      <c r="C8" s="203">
        <v>3</v>
      </c>
      <c r="D8" s="403" t="s">
        <v>741</v>
      </c>
      <c r="E8" s="404">
        <v>2060002</v>
      </c>
      <c r="F8" s="405">
        <v>1</v>
      </c>
      <c r="G8" s="405" t="s">
        <v>169</v>
      </c>
      <c r="H8" s="310">
        <f>54.12/1.05</f>
        <v>51.542857142857137</v>
      </c>
      <c r="I8" s="406">
        <f>F8*H8</f>
        <v>51.542857142857137</v>
      </c>
    </row>
    <row r="9" spans="3:9" ht="14.4" x14ac:dyDescent="0.3">
      <c r="C9" s="191">
        <v>4</v>
      </c>
      <c r="D9" s="380" t="s">
        <v>734</v>
      </c>
      <c r="E9" s="381" t="s">
        <v>735</v>
      </c>
      <c r="F9" s="382">
        <v>2</v>
      </c>
      <c r="G9" s="382" t="s">
        <v>169</v>
      </c>
      <c r="H9" s="383">
        <f>11.55/1.05</f>
        <v>11</v>
      </c>
      <c r="I9" s="384">
        <f t="shared" ref="I9:I24" si="0">H9*F9</f>
        <v>22</v>
      </c>
    </row>
    <row r="10" spans="3:9" ht="14.4" x14ac:dyDescent="0.3">
      <c r="C10" s="191">
        <v>5</v>
      </c>
      <c r="D10" s="380" t="s">
        <v>599</v>
      </c>
      <c r="E10" s="385" t="s">
        <v>246</v>
      </c>
      <c r="F10" s="382">
        <v>2</v>
      </c>
      <c r="G10" s="382" t="s">
        <v>169</v>
      </c>
      <c r="H10" s="383">
        <f>6.83/1.05</f>
        <v>6.5047619047619047</v>
      </c>
      <c r="I10" s="384">
        <f t="shared" si="0"/>
        <v>13.009523809523809</v>
      </c>
    </row>
    <row r="11" spans="3:9" ht="14.4" x14ac:dyDescent="0.3">
      <c r="C11" s="191">
        <v>6</v>
      </c>
      <c r="D11" s="380" t="s">
        <v>602</v>
      </c>
      <c r="E11" s="385" t="s">
        <v>255</v>
      </c>
      <c r="F11" s="382">
        <v>2</v>
      </c>
      <c r="G11" s="382" t="s">
        <v>169</v>
      </c>
      <c r="H11" s="383">
        <f>9.5/1.05</f>
        <v>9.0476190476190474</v>
      </c>
      <c r="I11" s="384">
        <f t="shared" si="0"/>
        <v>18.095238095238095</v>
      </c>
    </row>
    <row r="12" spans="3:9" ht="14.4" x14ac:dyDescent="0.3">
      <c r="C12" s="191">
        <v>7</v>
      </c>
      <c r="D12" s="380" t="s">
        <v>736</v>
      </c>
      <c r="E12" s="381" t="s">
        <v>605</v>
      </c>
      <c r="F12" s="382">
        <v>1</v>
      </c>
      <c r="G12" s="382" t="s">
        <v>169</v>
      </c>
      <c r="H12" s="383">
        <v>503.69</v>
      </c>
      <c r="I12" s="384">
        <f t="shared" si="0"/>
        <v>503.69</v>
      </c>
    </row>
    <row r="13" spans="3:9" ht="14.4" x14ac:dyDescent="0.3">
      <c r="C13" s="191">
        <v>8</v>
      </c>
      <c r="D13" s="380" t="s">
        <v>608</v>
      </c>
      <c r="E13" s="385" t="s">
        <v>249</v>
      </c>
      <c r="F13" s="382">
        <v>3</v>
      </c>
      <c r="G13" s="382" t="s">
        <v>169</v>
      </c>
      <c r="H13" s="383">
        <v>3</v>
      </c>
      <c r="I13" s="384">
        <f t="shared" si="0"/>
        <v>9</v>
      </c>
    </row>
    <row r="14" spans="3:9" ht="14.4" x14ac:dyDescent="0.3">
      <c r="C14" s="191">
        <v>9</v>
      </c>
      <c r="D14" s="386" t="s">
        <v>609</v>
      </c>
      <c r="E14" s="385" t="s">
        <v>251</v>
      </c>
      <c r="F14" s="382">
        <v>3</v>
      </c>
      <c r="G14" s="382" t="s">
        <v>169</v>
      </c>
      <c r="H14" s="383">
        <v>0.5</v>
      </c>
      <c r="I14" s="384">
        <f t="shared" si="0"/>
        <v>1.5</v>
      </c>
    </row>
    <row r="15" spans="3:9" ht="14.4" x14ac:dyDescent="0.3">
      <c r="C15" s="191">
        <v>10</v>
      </c>
      <c r="D15" s="386" t="s">
        <v>606</v>
      </c>
      <c r="E15" s="387" t="s">
        <v>607</v>
      </c>
      <c r="F15" s="382">
        <v>1</v>
      </c>
      <c r="G15" s="382" t="s">
        <v>169</v>
      </c>
      <c r="H15" s="383">
        <v>6</v>
      </c>
      <c r="I15" s="384">
        <f t="shared" si="0"/>
        <v>6</v>
      </c>
    </row>
    <row r="16" spans="3:9" ht="14.4" x14ac:dyDescent="0.3">
      <c r="C16" s="191">
        <v>11</v>
      </c>
      <c r="D16" s="386" t="s">
        <v>610</v>
      </c>
      <c r="E16" s="387" t="s">
        <v>611</v>
      </c>
      <c r="F16" s="382">
        <v>1</v>
      </c>
      <c r="G16" s="382" t="s">
        <v>169</v>
      </c>
      <c r="H16" s="383">
        <v>8</v>
      </c>
      <c r="I16" s="384">
        <f t="shared" si="0"/>
        <v>8</v>
      </c>
    </row>
    <row r="17" spans="3:9" ht="14.4" x14ac:dyDescent="0.3">
      <c r="C17" s="191">
        <v>12</v>
      </c>
      <c r="D17" s="388" t="s">
        <v>737</v>
      </c>
      <c r="E17" s="389" t="s">
        <v>733</v>
      </c>
      <c r="F17" s="390">
        <v>2</v>
      </c>
      <c r="G17" s="391" t="s">
        <v>169</v>
      </c>
      <c r="H17" s="383">
        <f>160.7/1.05</f>
        <v>153.04761904761904</v>
      </c>
      <c r="I17" s="384">
        <f t="shared" si="0"/>
        <v>306.09523809523807</v>
      </c>
    </row>
    <row r="18" spans="3:9" ht="14.4" x14ac:dyDescent="0.3">
      <c r="C18" s="191">
        <v>13</v>
      </c>
      <c r="D18" s="388" t="s">
        <v>742</v>
      </c>
      <c r="E18" s="389" t="s">
        <v>743</v>
      </c>
      <c r="F18" s="390">
        <v>2</v>
      </c>
      <c r="G18" s="407" t="s">
        <v>169</v>
      </c>
      <c r="H18" s="383">
        <v>80</v>
      </c>
      <c r="I18" s="384">
        <f t="shared" si="0"/>
        <v>160</v>
      </c>
    </row>
    <row r="19" spans="3:9" ht="14.4" x14ac:dyDescent="0.3">
      <c r="C19" s="191">
        <v>14</v>
      </c>
      <c r="D19" s="388" t="s">
        <v>744</v>
      </c>
      <c r="E19" s="389" t="s">
        <v>745</v>
      </c>
      <c r="F19" s="390">
        <v>1</v>
      </c>
      <c r="G19" s="407" t="s">
        <v>169</v>
      </c>
      <c r="H19" s="383">
        <v>180</v>
      </c>
      <c r="I19" s="384">
        <f t="shared" si="0"/>
        <v>180</v>
      </c>
    </row>
    <row r="20" spans="3:9" ht="14.4" x14ac:dyDescent="0.3">
      <c r="C20" s="191">
        <v>15</v>
      </c>
      <c r="D20" s="392" t="s">
        <v>730</v>
      </c>
      <c r="E20" s="350" t="s">
        <v>613</v>
      </c>
      <c r="F20" s="351">
        <v>2</v>
      </c>
      <c r="G20" s="351" t="s">
        <v>169</v>
      </c>
      <c r="H20" s="383">
        <f>2.5/1.05</f>
        <v>2.3809523809523809</v>
      </c>
      <c r="I20" s="384">
        <f t="shared" si="0"/>
        <v>4.7619047619047619</v>
      </c>
    </row>
    <row r="21" spans="3:9" ht="14.4" x14ac:dyDescent="0.3">
      <c r="C21" s="191">
        <v>16</v>
      </c>
      <c r="D21" s="392" t="s">
        <v>614</v>
      </c>
      <c r="E21" s="350" t="s">
        <v>615</v>
      </c>
      <c r="F21" s="351">
        <v>2</v>
      </c>
      <c r="G21" s="351" t="s">
        <v>169</v>
      </c>
      <c r="H21" s="383">
        <f>5.5/1.05</f>
        <v>5.2380952380952381</v>
      </c>
      <c r="I21" s="384">
        <f t="shared" si="0"/>
        <v>10.476190476190476</v>
      </c>
    </row>
    <row r="22" spans="3:9" ht="14.4" x14ac:dyDescent="0.3">
      <c r="C22" s="191">
        <v>17</v>
      </c>
      <c r="D22" s="392" t="s">
        <v>746</v>
      </c>
      <c r="E22" s="353" t="s">
        <v>747</v>
      </c>
      <c r="F22" s="354" t="s">
        <v>180</v>
      </c>
      <c r="G22" s="354" t="s">
        <v>200</v>
      </c>
      <c r="H22" s="383">
        <v>240</v>
      </c>
      <c r="I22" s="384">
        <f t="shared" si="0"/>
        <v>1200</v>
      </c>
    </row>
    <row r="23" spans="3:9" ht="14.4" x14ac:dyDescent="0.3">
      <c r="C23" s="191">
        <v>18</v>
      </c>
      <c r="D23" s="398" t="s">
        <v>738</v>
      </c>
      <c r="E23" s="399" t="s">
        <v>739</v>
      </c>
      <c r="F23" s="400" t="s">
        <v>167</v>
      </c>
      <c r="G23" s="400" t="s">
        <v>169</v>
      </c>
      <c r="H23" s="401">
        <v>100</v>
      </c>
      <c r="I23" s="384">
        <f t="shared" si="0"/>
        <v>100</v>
      </c>
    </row>
    <row r="24" spans="3:9" thickBot="1" x14ac:dyDescent="0.35">
      <c r="C24" s="191">
        <v>19</v>
      </c>
      <c r="D24" s="393" t="s">
        <v>748</v>
      </c>
      <c r="E24" s="394" t="s">
        <v>749</v>
      </c>
      <c r="F24" s="358" t="s">
        <v>213</v>
      </c>
      <c r="G24" s="358" t="s">
        <v>169</v>
      </c>
      <c r="H24" s="395">
        <v>3.75</v>
      </c>
      <c r="I24" s="396">
        <f t="shared" si="0"/>
        <v>60</v>
      </c>
    </row>
    <row r="25" spans="3:9" thickBot="1" x14ac:dyDescent="0.35">
      <c r="C25" s="474" t="s">
        <v>229</v>
      </c>
      <c r="D25" s="475"/>
      <c r="E25" s="475"/>
      <c r="F25" s="475"/>
      <c r="G25" s="475"/>
      <c r="H25" s="476"/>
      <c r="I25" s="181">
        <f>SUM(I6:I24)</f>
        <v>2682.9423809523805</v>
      </c>
    </row>
    <row r="26" spans="3:9" thickBot="1" x14ac:dyDescent="0.35"/>
    <row r="27" spans="3:9" ht="28.2" thickBot="1" x14ac:dyDescent="0.35">
      <c r="C27" s="361" t="s">
        <v>550</v>
      </c>
      <c r="D27" s="362" t="s">
        <v>718</v>
      </c>
      <c r="E27" s="363" t="s">
        <v>719</v>
      </c>
      <c r="F27" s="363" t="s">
        <v>720</v>
      </c>
      <c r="G27" s="364" t="s">
        <v>721</v>
      </c>
    </row>
    <row r="28" spans="3:9" ht="14.4" x14ac:dyDescent="0.3">
      <c r="C28" s="365" t="s">
        <v>167</v>
      </c>
      <c r="D28" s="366" t="s">
        <v>728</v>
      </c>
      <c r="E28" s="367">
        <v>4</v>
      </c>
      <c r="F28" s="367">
        <v>12.23</v>
      </c>
      <c r="G28" s="368">
        <f t="shared" ref="G28:G33" si="1">E28*F28</f>
        <v>48.92</v>
      </c>
    </row>
    <row r="29" spans="3:9" ht="14.4" x14ac:dyDescent="0.3">
      <c r="C29" s="369" t="s">
        <v>171</v>
      </c>
      <c r="D29" s="370" t="s">
        <v>723</v>
      </c>
      <c r="E29" s="159">
        <v>4</v>
      </c>
      <c r="F29" s="159">
        <v>4.45</v>
      </c>
      <c r="G29" s="164">
        <f t="shared" si="1"/>
        <v>17.8</v>
      </c>
    </row>
    <row r="30" spans="3:9" ht="14.4" x14ac:dyDescent="0.3">
      <c r="C30" s="369" t="s">
        <v>173</v>
      </c>
      <c r="D30" s="370" t="s">
        <v>724</v>
      </c>
      <c r="E30" s="159">
        <v>10</v>
      </c>
      <c r="F30" s="159">
        <v>9.26</v>
      </c>
      <c r="G30" s="164">
        <f t="shared" si="1"/>
        <v>92.6</v>
      </c>
    </row>
    <row r="31" spans="3:9" ht="14.4" x14ac:dyDescent="0.3">
      <c r="C31" s="369" t="s">
        <v>177</v>
      </c>
      <c r="D31" s="370" t="s">
        <v>726</v>
      </c>
      <c r="E31" s="159">
        <v>84</v>
      </c>
      <c r="F31" s="159">
        <v>2.2999999999999998</v>
      </c>
      <c r="G31" s="164">
        <f t="shared" si="1"/>
        <v>193.2</v>
      </c>
    </row>
    <row r="32" spans="3:9" ht="14.4" x14ac:dyDescent="0.3">
      <c r="C32" s="369" t="s">
        <v>180</v>
      </c>
      <c r="D32" s="370" t="s">
        <v>725</v>
      </c>
      <c r="E32" s="159">
        <v>8</v>
      </c>
      <c r="F32" s="159">
        <v>4.62</v>
      </c>
      <c r="G32" s="164">
        <f t="shared" si="1"/>
        <v>36.96</v>
      </c>
    </row>
    <row r="33" spans="3:7" thickBot="1" x14ac:dyDescent="0.35">
      <c r="C33" s="371" t="s">
        <v>183</v>
      </c>
      <c r="D33" s="372" t="s">
        <v>729</v>
      </c>
      <c r="E33" s="373">
        <v>8</v>
      </c>
      <c r="F33" s="373">
        <v>4.62</v>
      </c>
      <c r="G33" s="374">
        <f t="shared" si="1"/>
        <v>36.96</v>
      </c>
    </row>
    <row r="34" spans="3:7" thickBot="1" x14ac:dyDescent="0.35">
      <c r="C34" s="467" t="s">
        <v>229</v>
      </c>
      <c r="D34" s="468"/>
      <c r="E34" s="468"/>
      <c r="F34" s="469"/>
      <c r="G34" s="304">
        <f>SUM(G28:G33)</f>
        <v>426.43999999999994</v>
      </c>
    </row>
    <row r="35" spans="3:7" thickBot="1" x14ac:dyDescent="0.35"/>
    <row r="36" spans="3:7" thickBot="1" x14ac:dyDescent="0.35">
      <c r="C36" s="470" t="s">
        <v>166</v>
      </c>
      <c r="D36" s="471"/>
      <c r="E36" s="471"/>
      <c r="F36" s="471"/>
      <c r="G36" s="397">
        <f>G34+I25</f>
        <v>3109.3823809523806</v>
      </c>
    </row>
    <row r="37" spans="3:7" ht="14.4" x14ac:dyDescent="0.3"/>
    <row r="38" spans="3:7" ht="14.4" x14ac:dyDescent="0.3"/>
    <row r="39" spans="3:7" ht="14.4" x14ac:dyDescent="0.3"/>
    <row r="40" spans="3:7" ht="14.4" x14ac:dyDescent="0.3"/>
    <row r="41" spans="3:7" ht="14.4" x14ac:dyDescent="0.3"/>
    <row r="42" spans="3:7" ht="14.4" x14ac:dyDescent="0.3"/>
    <row r="43" spans="3:7" ht="14.4" x14ac:dyDescent="0.3"/>
    <row r="44" spans="3:7" ht="14.4" x14ac:dyDescent="0.3"/>
    <row r="45" spans="3:7" ht="14.4" x14ac:dyDescent="0.3"/>
    <row r="46" spans="3:7" ht="14.4" x14ac:dyDescent="0.3"/>
    <row r="47" spans="3:7" ht="14.4" x14ac:dyDescent="0.3"/>
    <row r="48" spans="3:7" ht="15" customHeight="1" x14ac:dyDescent="0.3"/>
  </sheetData>
  <mergeCells count="3">
    <mergeCell ref="C25:H25"/>
    <mergeCell ref="C34:F34"/>
    <mergeCell ref="C36:F36"/>
  </mergeCells>
  <pageMargins left="0.7" right="0.7" top="0.75" bottom="0.75" header="0.3" footer="0.3"/>
  <pageSetup scale="71" orientation="landscape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14" workbookViewId="0">
      <selection activeCell="C5" sqref="C5:I22"/>
    </sheetView>
  </sheetViews>
  <sheetFormatPr defaultColWidth="0" defaultRowHeight="15" customHeight="1" zeroHeight="1" x14ac:dyDescent="0.3"/>
  <cols>
    <col min="1" max="3" width="9.109375" style="280" customWidth="1"/>
    <col min="4" max="4" width="33.109375" style="280" bestFit="1" customWidth="1"/>
    <col min="5" max="5" width="12.5546875" style="280" bestFit="1" customWidth="1"/>
    <col min="6" max="6" width="8.88671875" style="280" bestFit="1" customWidth="1"/>
    <col min="7" max="7" width="8.6640625" style="280" bestFit="1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>
      <c r="D2" s="280">
        <v>4008</v>
      </c>
    </row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3</v>
      </c>
      <c r="G6" s="377" t="s">
        <v>169</v>
      </c>
      <c r="H6" s="378">
        <v>1</v>
      </c>
      <c r="I6" s="379">
        <f>H6*F6</f>
        <v>3</v>
      </c>
    </row>
    <row r="7" spans="3:9" ht="14.4" x14ac:dyDescent="0.3">
      <c r="C7" s="203">
        <v>2</v>
      </c>
      <c r="D7" s="403" t="s">
        <v>740</v>
      </c>
      <c r="E7" s="404">
        <v>2060001</v>
      </c>
      <c r="F7" s="405">
        <v>1</v>
      </c>
      <c r="G7" s="405" t="s">
        <v>169</v>
      </c>
      <c r="H7" s="310">
        <f>27.06/1.05</f>
        <v>25.771428571428569</v>
      </c>
      <c r="I7" s="406">
        <f>F7*H7</f>
        <v>25.771428571428569</v>
      </c>
    </row>
    <row r="8" spans="3:9" ht="14.4" x14ac:dyDescent="0.3">
      <c r="C8" s="203">
        <v>3</v>
      </c>
      <c r="D8" s="403" t="s">
        <v>741</v>
      </c>
      <c r="E8" s="404">
        <v>2060002</v>
      </c>
      <c r="F8" s="405">
        <v>1</v>
      </c>
      <c r="G8" s="405" t="s">
        <v>169</v>
      </c>
      <c r="H8" s="310">
        <f>54.12/1.05</f>
        <v>51.542857142857137</v>
      </c>
      <c r="I8" s="406">
        <f>F8*H8</f>
        <v>51.542857142857137</v>
      </c>
    </row>
    <row r="9" spans="3:9" ht="14.4" x14ac:dyDescent="0.3">
      <c r="C9" s="191">
        <v>4</v>
      </c>
      <c r="D9" s="380" t="s">
        <v>734</v>
      </c>
      <c r="E9" s="381" t="s">
        <v>735</v>
      </c>
      <c r="F9" s="382">
        <v>2</v>
      </c>
      <c r="G9" s="382" t="s">
        <v>169</v>
      </c>
      <c r="H9" s="383">
        <f>11.55/1.05</f>
        <v>11</v>
      </c>
      <c r="I9" s="384">
        <f t="shared" ref="I9:I24" si="0">H9*F9</f>
        <v>22</v>
      </c>
    </row>
    <row r="10" spans="3:9" ht="14.4" x14ac:dyDescent="0.3">
      <c r="C10" s="191">
        <v>5</v>
      </c>
      <c r="D10" s="380" t="s">
        <v>599</v>
      </c>
      <c r="E10" s="385" t="s">
        <v>246</v>
      </c>
      <c r="F10" s="382">
        <v>2</v>
      </c>
      <c r="G10" s="382" t="s">
        <v>169</v>
      </c>
      <c r="H10" s="383">
        <f>6.83/1.05</f>
        <v>6.5047619047619047</v>
      </c>
      <c r="I10" s="384">
        <f t="shared" si="0"/>
        <v>13.009523809523809</v>
      </c>
    </row>
    <row r="11" spans="3:9" ht="14.4" x14ac:dyDescent="0.3">
      <c r="C11" s="191">
        <v>6</v>
      </c>
      <c r="D11" s="380" t="s">
        <v>602</v>
      </c>
      <c r="E11" s="385" t="s">
        <v>255</v>
      </c>
      <c r="F11" s="382">
        <v>2</v>
      </c>
      <c r="G11" s="382" t="s">
        <v>169</v>
      </c>
      <c r="H11" s="383">
        <f>9.5/1.05</f>
        <v>9.0476190476190474</v>
      </c>
      <c r="I11" s="384">
        <f t="shared" si="0"/>
        <v>18.095238095238095</v>
      </c>
    </row>
    <row r="12" spans="3:9" ht="14.4" x14ac:dyDescent="0.3">
      <c r="C12" s="191">
        <v>7</v>
      </c>
      <c r="D12" s="380" t="s">
        <v>736</v>
      </c>
      <c r="E12" s="381" t="s">
        <v>605</v>
      </c>
      <c r="F12" s="382">
        <v>1</v>
      </c>
      <c r="G12" s="382" t="s">
        <v>169</v>
      </c>
      <c r="H12" s="383">
        <v>503.69</v>
      </c>
      <c r="I12" s="384">
        <f t="shared" si="0"/>
        <v>503.69</v>
      </c>
    </row>
    <row r="13" spans="3:9" ht="14.4" x14ac:dyDescent="0.3">
      <c r="C13" s="191">
        <v>8</v>
      </c>
      <c r="D13" s="380" t="s">
        <v>608</v>
      </c>
      <c r="E13" s="385" t="s">
        <v>249</v>
      </c>
      <c r="F13" s="382">
        <v>3</v>
      </c>
      <c r="G13" s="382" t="s">
        <v>169</v>
      </c>
      <c r="H13" s="383">
        <v>3</v>
      </c>
      <c r="I13" s="384">
        <f t="shared" si="0"/>
        <v>9</v>
      </c>
    </row>
    <row r="14" spans="3:9" ht="14.4" x14ac:dyDescent="0.3">
      <c r="C14" s="191">
        <v>9</v>
      </c>
      <c r="D14" s="386" t="s">
        <v>609</v>
      </c>
      <c r="E14" s="385" t="s">
        <v>251</v>
      </c>
      <c r="F14" s="382">
        <v>3</v>
      </c>
      <c r="G14" s="382" t="s">
        <v>169</v>
      </c>
      <c r="H14" s="383">
        <v>0.5</v>
      </c>
      <c r="I14" s="384">
        <f t="shared" si="0"/>
        <v>1.5</v>
      </c>
    </row>
    <row r="15" spans="3:9" ht="14.4" x14ac:dyDescent="0.3">
      <c r="C15" s="191">
        <v>10</v>
      </c>
      <c r="D15" s="386" t="s">
        <v>606</v>
      </c>
      <c r="E15" s="387" t="s">
        <v>607</v>
      </c>
      <c r="F15" s="382">
        <v>1</v>
      </c>
      <c r="G15" s="382" t="s">
        <v>169</v>
      </c>
      <c r="H15" s="383">
        <v>6</v>
      </c>
      <c r="I15" s="384">
        <f t="shared" si="0"/>
        <v>6</v>
      </c>
    </row>
    <row r="16" spans="3:9" ht="14.4" x14ac:dyDescent="0.3">
      <c r="C16" s="191">
        <v>11</v>
      </c>
      <c r="D16" s="386" t="s">
        <v>610</v>
      </c>
      <c r="E16" s="387" t="s">
        <v>611</v>
      </c>
      <c r="F16" s="382">
        <v>1</v>
      </c>
      <c r="G16" s="382" t="s">
        <v>169</v>
      </c>
      <c r="H16" s="383">
        <v>8</v>
      </c>
      <c r="I16" s="384">
        <f t="shared" si="0"/>
        <v>8</v>
      </c>
    </row>
    <row r="17" spans="3:9" ht="14.4" x14ac:dyDescent="0.3">
      <c r="C17" s="191">
        <v>12</v>
      </c>
      <c r="D17" s="388" t="s">
        <v>737</v>
      </c>
      <c r="E17" s="389" t="s">
        <v>733</v>
      </c>
      <c r="F17" s="390">
        <v>2</v>
      </c>
      <c r="G17" s="391" t="s">
        <v>169</v>
      </c>
      <c r="H17" s="383">
        <f>160.7/1.05</f>
        <v>153.04761904761904</v>
      </c>
      <c r="I17" s="384">
        <f t="shared" si="0"/>
        <v>306.09523809523807</v>
      </c>
    </row>
    <row r="18" spans="3:9" ht="14.4" x14ac:dyDescent="0.3">
      <c r="C18" s="191">
        <v>13</v>
      </c>
      <c r="D18" s="388" t="s">
        <v>742</v>
      </c>
      <c r="E18" s="389" t="s">
        <v>743</v>
      </c>
      <c r="F18" s="390">
        <v>2</v>
      </c>
      <c r="G18" s="407" t="s">
        <v>169</v>
      </c>
      <c r="H18" s="383">
        <v>80</v>
      </c>
      <c r="I18" s="384">
        <f t="shared" si="0"/>
        <v>160</v>
      </c>
    </row>
    <row r="19" spans="3:9" ht="14.4" x14ac:dyDescent="0.3">
      <c r="C19" s="191">
        <v>14</v>
      </c>
      <c r="D19" s="388" t="s">
        <v>744</v>
      </c>
      <c r="E19" s="389" t="s">
        <v>745</v>
      </c>
      <c r="F19" s="390">
        <v>1</v>
      </c>
      <c r="G19" s="407" t="s">
        <v>169</v>
      </c>
      <c r="H19" s="383">
        <v>180</v>
      </c>
      <c r="I19" s="384">
        <f t="shared" si="0"/>
        <v>180</v>
      </c>
    </row>
    <row r="20" spans="3:9" ht="14.4" x14ac:dyDescent="0.3">
      <c r="C20" s="191">
        <v>15</v>
      </c>
      <c r="D20" s="392" t="s">
        <v>730</v>
      </c>
      <c r="E20" s="350" t="s">
        <v>613</v>
      </c>
      <c r="F20" s="351">
        <v>2</v>
      </c>
      <c r="G20" s="351" t="s">
        <v>169</v>
      </c>
      <c r="H20" s="383">
        <f>2.5/1.05</f>
        <v>2.3809523809523809</v>
      </c>
      <c r="I20" s="384">
        <f t="shared" si="0"/>
        <v>4.7619047619047619</v>
      </c>
    </row>
    <row r="21" spans="3:9" ht="14.4" x14ac:dyDescent="0.3">
      <c r="C21" s="191">
        <v>16</v>
      </c>
      <c r="D21" s="392" t="s">
        <v>614</v>
      </c>
      <c r="E21" s="350" t="s">
        <v>615</v>
      </c>
      <c r="F21" s="351">
        <v>2</v>
      </c>
      <c r="G21" s="351" t="s">
        <v>169</v>
      </c>
      <c r="H21" s="383">
        <f>5.5/1.05</f>
        <v>5.2380952380952381</v>
      </c>
      <c r="I21" s="384">
        <f t="shared" si="0"/>
        <v>10.476190476190476</v>
      </c>
    </row>
    <row r="22" spans="3:9" ht="14.4" x14ac:dyDescent="0.3">
      <c r="C22" s="191">
        <v>17</v>
      </c>
      <c r="D22" s="392" t="s">
        <v>750</v>
      </c>
      <c r="E22" s="353" t="s">
        <v>747</v>
      </c>
      <c r="F22" s="354" t="s">
        <v>180</v>
      </c>
      <c r="G22" s="354" t="s">
        <v>200</v>
      </c>
      <c r="H22" s="383">
        <v>288</v>
      </c>
      <c r="I22" s="384">
        <f t="shared" si="0"/>
        <v>1440</v>
      </c>
    </row>
    <row r="23" spans="3:9" ht="14.4" x14ac:dyDescent="0.3">
      <c r="C23" s="191">
        <v>18</v>
      </c>
      <c r="D23" s="398" t="s">
        <v>738</v>
      </c>
      <c r="E23" s="399" t="s">
        <v>739</v>
      </c>
      <c r="F23" s="400" t="s">
        <v>167</v>
      </c>
      <c r="G23" s="400" t="s">
        <v>169</v>
      </c>
      <c r="H23" s="401">
        <v>100</v>
      </c>
      <c r="I23" s="384">
        <f t="shared" si="0"/>
        <v>100</v>
      </c>
    </row>
    <row r="24" spans="3:9" thickBot="1" x14ac:dyDescent="0.35">
      <c r="C24" s="191">
        <v>19</v>
      </c>
      <c r="D24" s="393" t="s">
        <v>748</v>
      </c>
      <c r="E24" s="394" t="s">
        <v>749</v>
      </c>
      <c r="F24" s="358" t="s">
        <v>213</v>
      </c>
      <c r="G24" s="358" t="s">
        <v>169</v>
      </c>
      <c r="H24" s="395">
        <v>3.75</v>
      </c>
      <c r="I24" s="396">
        <f t="shared" si="0"/>
        <v>60</v>
      </c>
    </row>
    <row r="25" spans="3:9" thickBot="1" x14ac:dyDescent="0.35">
      <c r="C25" s="474" t="s">
        <v>229</v>
      </c>
      <c r="D25" s="475"/>
      <c r="E25" s="475"/>
      <c r="F25" s="475"/>
      <c r="G25" s="475"/>
      <c r="H25" s="476"/>
      <c r="I25" s="181">
        <f>SUM(I6:I24)</f>
        <v>2922.9423809523805</v>
      </c>
    </row>
    <row r="26" spans="3:9" thickBot="1" x14ac:dyDescent="0.35"/>
    <row r="27" spans="3:9" ht="28.2" thickBot="1" x14ac:dyDescent="0.35">
      <c r="C27" s="361" t="s">
        <v>550</v>
      </c>
      <c r="D27" s="362" t="s">
        <v>718</v>
      </c>
      <c r="E27" s="363" t="s">
        <v>719</v>
      </c>
      <c r="F27" s="363" t="s">
        <v>720</v>
      </c>
      <c r="G27" s="364" t="s">
        <v>721</v>
      </c>
    </row>
    <row r="28" spans="3:9" ht="14.4" x14ac:dyDescent="0.3">
      <c r="C28" s="365" t="s">
        <v>167</v>
      </c>
      <c r="D28" s="366" t="s">
        <v>728</v>
      </c>
      <c r="E28" s="367">
        <v>4</v>
      </c>
      <c r="F28" s="367">
        <v>12.23</v>
      </c>
      <c r="G28" s="368">
        <f t="shared" ref="G28:G33" si="1">E28*F28</f>
        <v>48.92</v>
      </c>
    </row>
    <row r="29" spans="3:9" ht="14.4" x14ac:dyDescent="0.3">
      <c r="C29" s="369" t="s">
        <v>171</v>
      </c>
      <c r="D29" s="370" t="s">
        <v>723</v>
      </c>
      <c r="E29" s="159">
        <v>4</v>
      </c>
      <c r="F29" s="159">
        <v>4.45</v>
      </c>
      <c r="G29" s="164">
        <f t="shared" si="1"/>
        <v>17.8</v>
      </c>
    </row>
    <row r="30" spans="3:9" ht="14.4" x14ac:dyDescent="0.3">
      <c r="C30" s="369" t="s">
        <v>173</v>
      </c>
      <c r="D30" s="370" t="s">
        <v>724</v>
      </c>
      <c r="E30" s="159">
        <v>12</v>
      </c>
      <c r="F30" s="159">
        <v>9.26</v>
      </c>
      <c r="G30" s="164">
        <f t="shared" si="1"/>
        <v>111.12</v>
      </c>
    </row>
    <row r="31" spans="3:9" ht="14.4" x14ac:dyDescent="0.3">
      <c r="C31" s="369" t="s">
        <v>177</v>
      </c>
      <c r="D31" s="370" t="s">
        <v>726</v>
      </c>
      <c r="E31" s="159">
        <v>84</v>
      </c>
      <c r="F31" s="159">
        <v>2.2999999999999998</v>
      </c>
      <c r="G31" s="164">
        <f t="shared" si="1"/>
        <v>193.2</v>
      </c>
    </row>
    <row r="32" spans="3:9" ht="14.4" x14ac:dyDescent="0.3">
      <c r="C32" s="369" t="s">
        <v>180</v>
      </c>
      <c r="D32" s="370" t="s">
        <v>725</v>
      </c>
      <c r="E32" s="159">
        <v>8</v>
      </c>
      <c r="F32" s="159">
        <v>4.62</v>
      </c>
      <c r="G32" s="164">
        <f t="shared" si="1"/>
        <v>36.96</v>
      </c>
    </row>
    <row r="33" spans="3:7" thickBot="1" x14ac:dyDescent="0.35">
      <c r="C33" s="371" t="s">
        <v>183</v>
      </c>
      <c r="D33" s="372" t="s">
        <v>729</v>
      </c>
      <c r="E33" s="373">
        <v>8</v>
      </c>
      <c r="F33" s="373">
        <v>4.62</v>
      </c>
      <c r="G33" s="374">
        <f t="shared" si="1"/>
        <v>36.96</v>
      </c>
    </row>
    <row r="34" spans="3:7" thickBot="1" x14ac:dyDescent="0.35">
      <c r="C34" s="467" t="s">
        <v>229</v>
      </c>
      <c r="D34" s="468"/>
      <c r="E34" s="468"/>
      <c r="F34" s="469"/>
      <c r="G34" s="304">
        <f>SUM(G28:G33)</f>
        <v>444.95999999999992</v>
      </c>
    </row>
    <row r="35" spans="3:7" thickBot="1" x14ac:dyDescent="0.35"/>
    <row r="36" spans="3:7" thickBot="1" x14ac:dyDescent="0.35">
      <c r="C36" s="470" t="s">
        <v>166</v>
      </c>
      <c r="D36" s="471"/>
      <c r="E36" s="471"/>
      <c r="F36" s="471"/>
      <c r="G36" s="397">
        <f>G34+I25</f>
        <v>3367.9023809523806</v>
      </c>
    </row>
    <row r="37" spans="3:7" ht="14.4" x14ac:dyDescent="0.3"/>
    <row r="38" spans="3:7" ht="14.4" x14ac:dyDescent="0.3"/>
    <row r="39" spans="3:7" ht="14.4" x14ac:dyDescent="0.3"/>
    <row r="40" spans="3:7" ht="14.4" x14ac:dyDescent="0.3"/>
    <row r="41" spans="3:7" ht="14.4" x14ac:dyDescent="0.3"/>
    <row r="42" spans="3:7" ht="14.4" x14ac:dyDescent="0.3"/>
    <row r="43" spans="3:7" ht="14.4" x14ac:dyDescent="0.3"/>
    <row r="44" spans="3:7" ht="14.4" x14ac:dyDescent="0.3"/>
    <row r="45" spans="3:7" ht="14.4" x14ac:dyDescent="0.3"/>
    <row r="46" spans="3:7" ht="14.4" x14ac:dyDescent="0.3"/>
    <row r="47" spans="3:7" ht="14.4" x14ac:dyDescent="0.3"/>
    <row r="48" spans="3:7" ht="14.4" x14ac:dyDescent="0.3"/>
  </sheetData>
  <mergeCells count="3">
    <mergeCell ref="C25:H25"/>
    <mergeCell ref="C34:F34"/>
    <mergeCell ref="C36:F36"/>
  </mergeCells>
  <pageMargins left="0.7" right="0.7" top="0.75" bottom="0.75" header="0.3" footer="0.3"/>
  <pageSetup scale="7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15" workbookViewId="0">
      <selection activeCell="C5" sqref="C5:I22"/>
    </sheetView>
  </sheetViews>
  <sheetFormatPr defaultColWidth="0" defaultRowHeight="15" customHeight="1" zeroHeight="1" x14ac:dyDescent="0.3"/>
  <cols>
    <col min="1" max="3" width="9.109375" style="280" customWidth="1"/>
    <col min="4" max="4" width="33.109375" style="280" bestFit="1" customWidth="1"/>
    <col min="5" max="5" width="12.5546875" style="280" bestFit="1" customWidth="1"/>
    <col min="6" max="6" width="8.88671875" style="280" bestFit="1" customWidth="1"/>
    <col min="7" max="7" width="8.6640625" style="280" bestFit="1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>
      <c r="D2" s="280">
        <v>4012</v>
      </c>
    </row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3</v>
      </c>
      <c r="G6" s="377" t="s">
        <v>169</v>
      </c>
      <c r="H6" s="378">
        <v>1</v>
      </c>
      <c r="I6" s="379">
        <f>H6*F6</f>
        <v>3</v>
      </c>
    </row>
    <row r="7" spans="3:9" ht="14.4" x14ac:dyDescent="0.3">
      <c r="C7" s="203">
        <v>2</v>
      </c>
      <c r="D7" s="403" t="s">
        <v>740</v>
      </c>
      <c r="E7" s="404">
        <v>2060001</v>
      </c>
      <c r="F7" s="405">
        <v>1</v>
      </c>
      <c r="G7" s="405" t="s">
        <v>169</v>
      </c>
      <c r="H7" s="310">
        <f>27.06/1.05</f>
        <v>25.771428571428569</v>
      </c>
      <c r="I7" s="406">
        <f>F7*H7</f>
        <v>25.771428571428569</v>
      </c>
    </row>
    <row r="8" spans="3:9" ht="14.4" x14ac:dyDescent="0.3">
      <c r="C8" s="203">
        <v>3</v>
      </c>
      <c r="D8" s="403" t="s">
        <v>741</v>
      </c>
      <c r="E8" s="404">
        <v>2060002</v>
      </c>
      <c r="F8" s="405">
        <v>1</v>
      </c>
      <c r="G8" s="405" t="s">
        <v>169</v>
      </c>
      <c r="H8" s="310">
        <f>54.12/1.05</f>
        <v>51.542857142857137</v>
      </c>
      <c r="I8" s="406">
        <f>F8*H8</f>
        <v>51.542857142857137</v>
      </c>
    </row>
    <row r="9" spans="3:9" ht="14.4" x14ac:dyDescent="0.3">
      <c r="C9" s="191">
        <v>4</v>
      </c>
      <c r="D9" s="380" t="s">
        <v>734</v>
      </c>
      <c r="E9" s="381" t="s">
        <v>735</v>
      </c>
      <c r="F9" s="382">
        <v>2</v>
      </c>
      <c r="G9" s="382" t="s">
        <v>169</v>
      </c>
      <c r="H9" s="383">
        <f>11.55/1.05</f>
        <v>11</v>
      </c>
      <c r="I9" s="384">
        <f t="shared" ref="I9:I24" si="0">H9*F9</f>
        <v>22</v>
      </c>
    </row>
    <row r="10" spans="3:9" ht="14.4" x14ac:dyDescent="0.3">
      <c r="C10" s="191">
        <v>5</v>
      </c>
      <c r="D10" s="380" t="s">
        <v>599</v>
      </c>
      <c r="E10" s="385" t="s">
        <v>246</v>
      </c>
      <c r="F10" s="382">
        <v>2</v>
      </c>
      <c r="G10" s="382" t="s">
        <v>169</v>
      </c>
      <c r="H10" s="383">
        <f>6.83/1.05</f>
        <v>6.5047619047619047</v>
      </c>
      <c r="I10" s="384">
        <f t="shared" si="0"/>
        <v>13.009523809523809</v>
      </c>
    </row>
    <row r="11" spans="3:9" ht="14.4" x14ac:dyDescent="0.3">
      <c r="C11" s="191">
        <v>6</v>
      </c>
      <c r="D11" s="380" t="s">
        <v>602</v>
      </c>
      <c r="E11" s="385" t="s">
        <v>255</v>
      </c>
      <c r="F11" s="382">
        <v>2</v>
      </c>
      <c r="G11" s="382" t="s">
        <v>169</v>
      </c>
      <c r="H11" s="383">
        <f>9.5/1.05</f>
        <v>9.0476190476190474</v>
      </c>
      <c r="I11" s="384">
        <f t="shared" si="0"/>
        <v>18.095238095238095</v>
      </c>
    </row>
    <row r="12" spans="3:9" ht="14.4" x14ac:dyDescent="0.3">
      <c r="C12" s="191">
        <v>7</v>
      </c>
      <c r="D12" s="380" t="s">
        <v>736</v>
      </c>
      <c r="E12" s="381" t="s">
        <v>605</v>
      </c>
      <c r="F12" s="382">
        <v>1</v>
      </c>
      <c r="G12" s="382" t="s">
        <v>169</v>
      </c>
      <c r="H12" s="383">
        <v>503.69</v>
      </c>
      <c r="I12" s="384">
        <f t="shared" si="0"/>
        <v>503.69</v>
      </c>
    </row>
    <row r="13" spans="3:9" ht="14.4" x14ac:dyDescent="0.3">
      <c r="C13" s="191">
        <v>8</v>
      </c>
      <c r="D13" s="380" t="s">
        <v>608</v>
      </c>
      <c r="E13" s="385" t="s">
        <v>249</v>
      </c>
      <c r="F13" s="382">
        <v>3</v>
      </c>
      <c r="G13" s="382" t="s">
        <v>169</v>
      </c>
      <c r="H13" s="383">
        <v>3</v>
      </c>
      <c r="I13" s="384">
        <f t="shared" si="0"/>
        <v>9</v>
      </c>
    </row>
    <row r="14" spans="3:9" ht="14.4" x14ac:dyDescent="0.3">
      <c r="C14" s="191">
        <v>9</v>
      </c>
      <c r="D14" s="386" t="s">
        <v>609</v>
      </c>
      <c r="E14" s="385" t="s">
        <v>251</v>
      </c>
      <c r="F14" s="382">
        <v>3</v>
      </c>
      <c r="G14" s="382" t="s">
        <v>169</v>
      </c>
      <c r="H14" s="383">
        <v>0.5</v>
      </c>
      <c r="I14" s="384">
        <f t="shared" si="0"/>
        <v>1.5</v>
      </c>
    </row>
    <row r="15" spans="3:9" ht="14.4" x14ac:dyDescent="0.3">
      <c r="C15" s="191">
        <v>10</v>
      </c>
      <c r="D15" s="386" t="s">
        <v>606</v>
      </c>
      <c r="E15" s="387" t="s">
        <v>607</v>
      </c>
      <c r="F15" s="382">
        <v>1</v>
      </c>
      <c r="G15" s="382" t="s">
        <v>169</v>
      </c>
      <c r="H15" s="383">
        <v>6</v>
      </c>
      <c r="I15" s="384">
        <f t="shared" si="0"/>
        <v>6</v>
      </c>
    </row>
    <row r="16" spans="3:9" ht="14.4" x14ac:dyDescent="0.3">
      <c r="C16" s="191">
        <v>11</v>
      </c>
      <c r="D16" s="386" t="s">
        <v>610</v>
      </c>
      <c r="E16" s="387" t="s">
        <v>611</v>
      </c>
      <c r="F16" s="382">
        <v>1</v>
      </c>
      <c r="G16" s="382" t="s">
        <v>169</v>
      </c>
      <c r="H16" s="383">
        <v>8</v>
      </c>
      <c r="I16" s="384">
        <f t="shared" si="0"/>
        <v>8</v>
      </c>
    </row>
    <row r="17" spans="3:9" ht="14.4" x14ac:dyDescent="0.3">
      <c r="C17" s="191">
        <v>12</v>
      </c>
      <c r="D17" s="388" t="s">
        <v>737</v>
      </c>
      <c r="E17" s="389" t="s">
        <v>733</v>
      </c>
      <c r="F17" s="390">
        <v>2</v>
      </c>
      <c r="G17" s="391" t="s">
        <v>169</v>
      </c>
      <c r="H17" s="383">
        <f>160.7/1.05</f>
        <v>153.04761904761904</v>
      </c>
      <c r="I17" s="384">
        <f t="shared" si="0"/>
        <v>306.09523809523807</v>
      </c>
    </row>
    <row r="18" spans="3:9" ht="14.4" x14ac:dyDescent="0.3">
      <c r="C18" s="191">
        <v>13</v>
      </c>
      <c r="D18" s="388" t="s">
        <v>742</v>
      </c>
      <c r="E18" s="389" t="s">
        <v>743</v>
      </c>
      <c r="F18" s="390">
        <v>2</v>
      </c>
      <c r="G18" s="407" t="s">
        <v>169</v>
      </c>
      <c r="H18" s="383">
        <v>80</v>
      </c>
      <c r="I18" s="384">
        <f t="shared" si="0"/>
        <v>160</v>
      </c>
    </row>
    <row r="19" spans="3:9" ht="14.4" x14ac:dyDescent="0.3">
      <c r="C19" s="191">
        <v>14</v>
      </c>
      <c r="D19" s="388" t="s">
        <v>744</v>
      </c>
      <c r="E19" s="389" t="s">
        <v>745</v>
      </c>
      <c r="F19" s="390">
        <v>1</v>
      </c>
      <c r="G19" s="407" t="s">
        <v>169</v>
      </c>
      <c r="H19" s="383">
        <v>180</v>
      </c>
      <c r="I19" s="384">
        <f t="shared" si="0"/>
        <v>180</v>
      </c>
    </row>
    <row r="20" spans="3:9" ht="14.4" x14ac:dyDescent="0.3">
      <c r="C20" s="191">
        <v>15</v>
      </c>
      <c r="D20" s="392" t="s">
        <v>730</v>
      </c>
      <c r="E20" s="350" t="s">
        <v>613</v>
      </c>
      <c r="F20" s="351">
        <v>2</v>
      </c>
      <c r="G20" s="351" t="s">
        <v>169</v>
      </c>
      <c r="H20" s="383">
        <f>2.5/1.05</f>
        <v>2.3809523809523809</v>
      </c>
      <c r="I20" s="384">
        <f t="shared" si="0"/>
        <v>4.7619047619047619</v>
      </c>
    </row>
    <row r="21" spans="3:9" ht="14.4" x14ac:dyDescent="0.3">
      <c r="C21" s="191">
        <v>16</v>
      </c>
      <c r="D21" s="392" t="s">
        <v>614</v>
      </c>
      <c r="E21" s="350" t="s">
        <v>615</v>
      </c>
      <c r="F21" s="351">
        <v>2</v>
      </c>
      <c r="G21" s="351" t="s">
        <v>169</v>
      </c>
      <c r="H21" s="383">
        <f>5.5/1.05</f>
        <v>5.2380952380952381</v>
      </c>
      <c r="I21" s="384">
        <f t="shared" si="0"/>
        <v>10.476190476190476</v>
      </c>
    </row>
    <row r="22" spans="3:9" ht="14.4" x14ac:dyDescent="0.3">
      <c r="C22" s="191">
        <v>17</v>
      </c>
      <c r="D22" s="392" t="s">
        <v>746</v>
      </c>
      <c r="E22" s="353" t="s">
        <v>747</v>
      </c>
      <c r="F22" s="354" t="s">
        <v>195</v>
      </c>
      <c r="G22" s="354" t="s">
        <v>200</v>
      </c>
      <c r="H22" s="383">
        <v>248</v>
      </c>
      <c r="I22" s="384">
        <f t="shared" si="0"/>
        <v>2480</v>
      </c>
    </row>
    <row r="23" spans="3:9" ht="14.4" x14ac:dyDescent="0.3">
      <c r="C23" s="191">
        <v>18</v>
      </c>
      <c r="D23" s="398" t="s">
        <v>738</v>
      </c>
      <c r="E23" s="399" t="s">
        <v>739</v>
      </c>
      <c r="F23" s="400" t="s">
        <v>167</v>
      </c>
      <c r="G23" s="400" t="s">
        <v>169</v>
      </c>
      <c r="H23" s="401">
        <v>100</v>
      </c>
      <c r="I23" s="384">
        <f t="shared" si="0"/>
        <v>100</v>
      </c>
    </row>
    <row r="24" spans="3:9" thickBot="1" x14ac:dyDescent="0.35">
      <c r="C24" s="191">
        <v>19</v>
      </c>
      <c r="D24" s="393" t="s">
        <v>748</v>
      </c>
      <c r="E24" s="394" t="s">
        <v>749</v>
      </c>
      <c r="F24" s="358" t="s">
        <v>213</v>
      </c>
      <c r="G24" s="358" t="s">
        <v>169</v>
      </c>
      <c r="H24" s="395">
        <v>3.75</v>
      </c>
      <c r="I24" s="396">
        <f t="shared" si="0"/>
        <v>60</v>
      </c>
    </row>
    <row r="25" spans="3:9" thickBot="1" x14ac:dyDescent="0.35">
      <c r="C25" s="474" t="s">
        <v>229</v>
      </c>
      <c r="D25" s="475"/>
      <c r="E25" s="475"/>
      <c r="F25" s="475"/>
      <c r="G25" s="475"/>
      <c r="H25" s="476"/>
      <c r="I25" s="181">
        <f>SUM(I6:I24)</f>
        <v>3962.9423809523805</v>
      </c>
    </row>
    <row r="26" spans="3:9" thickBot="1" x14ac:dyDescent="0.35"/>
    <row r="27" spans="3:9" ht="28.2" thickBot="1" x14ac:dyDescent="0.35">
      <c r="C27" s="361" t="s">
        <v>550</v>
      </c>
      <c r="D27" s="362" t="s">
        <v>718</v>
      </c>
      <c r="E27" s="363" t="s">
        <v>719</v>
      </c>
      <c r="F27" s="363" t="s">
        <v>720</v>
      </c>
      <c r="G27" s="364" t="s">
        <v>721</v>
      </c>
    </row>
    <row r="28" spans="3:9" ht="14.4" x14ac:dyDescent="0.3">
      <c r="C28" s="365" t="s">
        <v>167</v>
      </c>
      <c r="D28" s="366" t="s">
        <v>728</v>
      </c>
      <c r="E28" s="367">
        <v>4</v>
      </c>
      <c r="F28" s="367">
        <v>12.23</v>
      </c>
      <c r="G28" s="368">
        <f t="shared" ref="G28:G33" si="1">E28*F28</f>
        <v>48.92</v>
      </c>
    </row>
    <row r="29" spans="3:9" ht="14.4" x14ac:dyDescent="0.3">
      <c r="C29" s="369" t="s">
        <v>171</v>
      </c>
      <c r="D29" s="370" t="s">
        <v>723</v>
      </c>
      <c r="E29" s="159">
        <v>4</v>
      </c>
      <c r="F29" s="159">
        <v>4.45</v>
      </c>
      <c r="G29" s="164">
        <f t="shared" si="1"/>
        <v>17.8</v>
      </c>
    </row>
    <row r="30" spans="3:9" ht="14.4" x14ac:dyDescent="0.3">
      <c r="C30" s="369" t="s">
        <v>173</v>
      </c>
      <c r="D30" s="370" t="s">
        <v>724</v>
      </c>
      <c r="E30" s="159">
        <v>16</v>
      </c>
      <c r="F30" s="159">
        <v>9.26</v>
      </c>
      <c r="G30" s="164">
        <f t="shared" si="1"/>
        <v>148.16</v>
      </c>
    </row>
    <row r="31" spans="3:9" ht="14.4" x14ac:dyDescent="0.3">
      <c r="C31" s="369" t="s">
        <v>177</v>
      </c>
      <c r="D31" s="370" t="s">
        <v>726</v>
      </c>
      <c r="E31" s="159">
        <v>84</v>
      </c>
      <c r="F31" s="159">
        <v>2.2999999999999998</v>
      </c>
      <c r="G31" s="164">
        <f t="shared" si="1"/>
        <v>193.2</v>
      </c>
    </row>
    <row r="32" spans="3:9" ht="14.4" x14ac:dyDescent="0.3">
      <c r="C32" s="369" t="s">
        <v>180</v>
      </c>
      <c r="D32" s="370" t="s">
        <v>725</v>
      </c>
      <c r="E32" s="159">
        <v>8</v>
      </c>
      <c r="F32" s="159">
        <v>4.62</v>
      </c>
      <c r="G32" s="164">
        <f t="shared" si="1"/>
        <v>36.96</v>
      </c>
    </row>
    <row r="33" spans="3:7" thickBot="1" x14ac:dyDescent="0.35">
      <c r="C33" s="371" t="s">
        <v>183</v>
      </c>
      <c r="D33" s="372" t="s">
        <v>729</v>
      </c>
      <c r="E33" s="373">
        <v>8</v>
      </c>
      <c r="F33" s="373">
        <v>4.62</v>
      </c>
      <c r="G33" s="374">
        <f t="shared" si="1"/>
        <v>36.96</v>
      </c>
    </row>
    <row r="34" spans="3:7" thickBot="1" x14ac:dyDescent="0.35">
      <c r="C34" s="467" t="s">
        <v>229</v>
      </c>
      <c r="D34" s="468"/>
      <c r="E34" s="468"/>
      <c r="F34" s="469"/>
      <c r="G34" s="304">
        <f>SUM(G28:G33)</f>
        <v>481.99999999999994</v>
      </c>
    </row>
    <row r="35" spans="3:7" thickBot="1" x14ac:dyDescent="0.35"/>
    <row r="36" spans="3:7" thickBot="1" x14ac:dyDescent="0.35">
      <c r="C36" s="470" t="s">
        <v>166</v>
      </c>
      <c r="D36" s="471"/>
      <c r="E36" s="471"/>
      <c r="F36" s="471"/>
      <c r="G36" s="397">
        <f>G34+I25</f>
        <v>4444.9423809523805</v>
      </c>
    </row>
    <row r="37" spans="3:7" ht="14.4" x14ac:dyDescent="0.3"/>
    <row r="38" spans="3:7" ht="14.4" x14ac:dyDescent="0.3"/>
    <row r="39" spans="3:7" ht="14.4" x14ac:dyDescent="0.3"/>
    <row r="40" spans="3:7" ht="14.4" x14ac:dyDescent="0.3"/>
    <row r="41" spans="3:7" ht="14.4" x14ac:dyDescent="0.3"/>
    <row r="42" spans="3:7" ht="14.4" x14ac:dyDescent="0.3"/>
    <row r="43" spans="3:7" ht="14.4" x14ac:dyDescent="0.3"/>
    <row r="44" spans="3:7" ht="14.4" x14ac:dyDescent="0.3"/>
    <row r="45" spans="3:7" ht="14.4" x14ac:dyDescent="0.3"/>
    <row r="46" spans="3:7" ht="14.4" x14ac:dyDescent="0.3"/>
    <row r="47" spans="3:7" ht="14.4" x14ac:dyDescent="0.3"/>
    <row r="48" spans="3:7" ht="14.4" x14ac:dyDescent="0.3"/>
  </sheetData>
  <mergeCells count="3">
    <mergeCell ref="C25:H25"/>
    <mergeCell ref="C34:F34"/>
    <mergeCell ref="C36:F36"/>
  </mergeCells>
  <pageMargins left="0.7" right="0.7" top="0.75" bottom="0.75" header="0.3" footer="0.3"/>
  <pageSetup scale="79" orientation="portrait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2" workbookViewId="0">
      <selection activeCell="G24" sqref="G24"/>
    </sheetView>
  </sheetViews>
  <sheetFormatPr defaultColWidth="0" defaultRowHeight="15" customHeight="1" zeroHeight="1" x14ac:dyDescent="0.3"/>
  <cols>
    <col min="1" max="3" width="9.109375" style="280" customWidth="1"/>
    <col min="4" max="4" width="33.109375" style="280" bestFit="1" customWidth="1"/>
    <col min="5" max="5" width="12.5546875" style="280" bestFit="1" customWidth="1"/>
    <col min="6" max="6" width="8.88671875" style="280" bestFit="1" customWidth="1"/>
    <col min="7" max="7" width="8.6640625" style="280" bestFit="1" customWidth="1"/>
    <col min="8" max="8" width="11.5546875" style="280" bestFit="1" customWidth="1"/>
    <col min="9" max="9" width="12" style="280" bestFit="1" customWidth="1"/>
    <col min="10" max="10" width="9.109375" style="280" customWidth="1"/>
    <col min="11" max="16384" width="9.109375" style="280" hidden="1"/>
  </cols>
  <sheetData>
    <row r="1" spans="3:9" ht="14.4" x14ac:dyDescent="0.3"/>
    <row r="2" spans="3:9" ht="14.4" x14ac:dyDescent="0.3"/>
    <row r="3" spans="3:9" ht="14.4" x14ac:dyDescent="0.3"/>
    <row r="4" spans="3:9" thickBot="1" x14ac:dyDescent="0.35"/>
    <row r="5" spans="3:9" thickBot="1" x14ac:dyDescent="0.35">
      <c r="C5" s="202" t="s">
        <v>550</v>
      </c>
      <c r="D5" s="279" t="s">
        <v>551</v>
      </c>
      <c r="E5" s="184" t="s">
        <v>552</v>
      </c>
      <c r="F5" s="184" t="s">
        <v>553</v>
      </c>
      <c r="G5" s="184" t="s">
        <v>554</v>
      </c>
      <c r="H5" s="184" t="s">
        <v>555</v>
      </c>
      <c r="I5" s="185" t="s">
        <v>556</v>
      </c>
    </row>
    <row r="6" spans="3:9" ht="14.4" x14ac:dyDescent="0.3">
      <c r="C6" s="186">
        <v>1</v>
      </c>
      <c r="D6" s="375" t="s">
        <v>590</v>
      </c>
      <c r="E6" s="376" t="s">
        <v>591</v>
      </c>
      <c r="F6" s="377">
        <v>3</v>
      </c>
      <c r="G6" s="377" t="s">
        <v>169</v>
      </c>
      <c r="H6" s="378">
        <v>1</v>
      </c>
      <c r="I6" s="379">
        <f>H6*F6</f>
        <v>3</v>
      </c>
    </row>
    <row r="7" spans="3:9" ht="14.4" x14ac:dyDescent="0.3">
      <c r="C7" s="203">
        <v>2</v>
      </c>
      <c r="D7" s="403" t="s">
        <v>740</v>
      </c>
      <c r="E7" s="404">
        <v>2060001</v>
      </c>
      <c r="F7" s="405">
        <v>1</v>
      </c>
      <c r="G7" s="405" t="s">
        <v>169</v>
      </c>
      <c r="H7" s="310">
        <f>27.06/1.05</f>
        <v>25.771428571428569</v>
      </c>
      <c r="I7" s="406">
        <f>F7*H7</f>
        <v>25.771428571428569</v>
      </c>
    </row>
    <row r="8" spans="3:9" ht="14.4" x14ac:dyDescent="0.3">
      <c r="C8" s="203">
        <v>3</v>
      </c>
      <c r="D8" s="403" t="s">
        <v>741</v>
      </c>
      <c r="E8" s="404">
        <v>2060002</v>
      </c>
      <c r="F8" s="405">
        <v>1</v>
      </c>
      <c r="G8" s="405" t="s">
        <v>169</v>
      </c>
      <c r="H8" s="310">
        <f>54.12/1.05</f>
        <v>51.542857142857137</v>
      </c>
      <c r="I8" s="406">
        <f>F8*H8</f>
        <v>51.542857142857137</v>
      </c>
    </row>
    <row r="9" spans="3:9" ht="14.4" x14ac:dyDescent="0.3">
      <c r="C9" s="191">
        <v>4</v>
      </c>
      <c r="D9" s="380" t="s">
        <v>734</v>
      </c>
      <c r="E9" s="381" t="s">
        <v>735</v>
      </c>
      <c r="F9" s="382">
        <v>2</v>
      </c>
      <c r="G9" s="382" t="s">
        <v>169</v>
      </c>
      <c r="H9" s="383">
        <f>11.55/1.05</f>
        <v>11</v>
      </c>
      <c r="I9" s="384">
        <f t="shared" ref="I9:I24" si="0">H9*F9</f>
        <v>22</v>
      </c>
    </row>
    <row r="10" spans="3:9" ht="14.4" x14ac:dyDescent="0.3">
      <c r="C10" s="191">
        <v>5</v>
      </c>
      <c r="D10" s="380" t="s">
        <v>599</v>
      </c>
      <c r="E10" s="385" t="s">
        <v>246</v>
      </c>
      <c r="F10" s="382">
        <v>2</v>
      </c>
      <c r="G10" s="382" t="s">
        <v>169</v>
      </c>
      <c r="H10" s="383">
        <f>6.83/1.05</f>
        <v>6.5047619047619047</v>
      </c>
      <c r="I10" s="384">
        <f t="shared" si="0"/>
        <v>13.009523809523809</v>
      </c>
    </row>
    <row r="11" spans="3:9" ht="14.4" x14ac:dyDescent="0.3">
      <c r="C11" s="191">
        <v>6</v>
      </c>
      <c r="D11" s="380" t="s">
        <v>602</v>
      </c>
      <c r="E11" s="385" t="s">
        <v>255</v>
      </c>
      <c r="F11" s="382">
        <v>2</v>
      </c>
      <c r="G11" s="382" t="s">
        <v>169</v>
      </c>
      <c r="H11" s="383">
        <f>9.5/1.05</f>
        <v>9.0476190476190474</v>
      </c>
      <c r="I11" s="384">
        <f t="shared" si="0"/>
        <v>18.095238095238095</v>
      </c>
    </row>
    <row r="12" spans="3:9" ht="14.4" x14ac:dyDescent="0.3">
      <c r="C12" s="191">
        <v>7</v>
      </c>
      <c r="D12" s="380" t="s">
        <v>736</v>
      </c>
      <c r="E12" s="381" t="s">
        <v>605</v>
      </c>
      <c r="F12" s="382">
        <v>1</v>
      </c>
      <c r="G12" s="382" t="s">
        <v>169</v>
      </c>
      <c r="H12" s="383">
        <v>503.69</v>
      </c>
      <c r="I12" s="384">
        <f t="shared" si="0"/>
        <v>503.69</v>
      </c>
    </row>
    <row r="13" spans="3:9" ht="14.4" x14ac:dyDescent="0.3">
      <c r="C13" s="191">
        <v>8</v>
      </c>
      <c r="D13" s="380" t="s">
        <v>608</v>
      </c>
      <c r="E13" s="385" t="s">
        <v>249</v>
      </c>
      <c r="F13" s="382">
        <v>3</v>
      </c>
      <c r="G13" s="382" t="s">
        <v>169</v>
      </c>
      <c r="H13" s="383">
        <v>3</v>
      </c>
      <c r="I13" s="384">
        <f t="shared" si="0"/>
        <v>9</v>
      </c>
    </row>
    <row r="14" spans="3:9" ht="14.4" x14ac:dyDescent="0.3">
      <c r="C14" s="191">
        <v>9</v>
      </c>
      <c r="D14" s="386" t="s">
        <v>609</v>
      </c>
      <c r="E14" s="385" t="s">
        <v>251</v>
      </c>
      <c r="F14" s="382">
        <v>3</v>
      </c>
      <c r="G14" s="382" t="s">
        <v>169</v>
      </c>
      <c r="H14" s="383">
        <v>0.5</v>
      </c>
      <c r="I14" s="384">
        <f t="shared" si="0"/>
        <v>1.5</v>
      </c>
    </row>
    <row r="15" spans="3:9" ht="14.4" x14ac:dyDescent="0.3">
      <c r="C15" s="191">
        <v>10</v>
      </c>
      <c r="D15" s="386" t="s">
        <v>606</v>
      </c>
      <c r="E15" s="387" t="s">
        <v>607</v>
      </c>
      <c r="F15" s="382">
        <v>1</v>
      </c>
      <c r="G15" s="382" t="s">
        <v>169</v>
      </c>
      <c r="H15" s="383">
        <v>6</v>
      </c>
      <c r="I15" s="384">
        <f t="shared" si="0"/>
        <v>6</v>
      </c>
    </row>
    <row r="16" spans="3:9" ht="14.4" x14ac:dyDescent="0.3">
      <c r="C16" s="191">
        <v>11</v>
      </c>
      <c r="D16" s="386" t="s">
        <v>610</v>
      </c>
      <c r="E16" s="387" t="s">
        <v>611</v>
      </c>
      <c r="F16" s="382">
        <v>1</v>
      </c>
      <c r="G16" s="382" t="s">
        <v>169</v>
      </c>
      <c r="H16" s="383">
        <v>8</v>
      </c>
      <c r="I16" s="384">
        <f t="shared" si="0"/>
        <v>8</v>
      </c>
    </row>
    <row r="17" spans="3:9" ht="14.4" x14ac:dyDescent="0.3">
      <c r="C17" s="191">
        <v>12</v>
      </c>
      <c r="D17" s="388" t="s">
        <v>737</v>
      </c>
      <c r="E17" s="389" t="s">
        <v>733</v>
      </c>
      <c r="F17" s="390">
        <v>2</v>
      </c>
      <c r="G17" s="391" t="s">
        <v>169</v>
      </c>
      <c r="H17" s="383">
        <f>160.7/1.05</f>
        <v>153.04761904761904</v>
      </c>
      <c r="I17" s="384">
        <f t="shared" si="0"/>
        <v>306.09523809523807</v>
      </c>
    </row>
    <row r="18" spans="3:9" ht="14.4" x14ac:dyDescent="0.3">
      <c r="C18" s="191">
        <v>13</v>
      </c>
      <c r="D18" s="388" t="s">
        <v>742</v>
      </c>
      <c r="E18" s="389" t="s">
        <v>743</v>
      </c>
      <c r="F18" s="390">
        <v>2</v>
      </c>
      <c r="G18" s="407" t="s">
        <v>169</v>
      </c>
      <c r="H18" s="383">
        <v>80</v>
      </c>
      <c r="I18" s="384">
        <f t="shared" si="0"/>
        <v>160</v>
      </c>
    </row>
    <row r="19" spans="3:9" ht="14.4" x14ac:dyDescent="0.3">
      <c r="C19" s="191">
        <v>14</v>
      </c>
      <c r="D19" s="388" t="s">
        <v>744</v>
      </c>
      <c r="E19" s="389" t="s">
        <v>745</v>
      </c>
      <c r="F19" s="390">
        <v>1</v>
      </c>
      <c r="G19" s="407" t="s">
        <v>169</v>
      </c>
      <c r="H19" s="383">
        <v>180</v>
      </c>
      <c r="I19" s="384">
        <f t="shared" si="0"/>
        <v>180</v>
      </c>
    </row>
    <row r="20" spans="3:9" ht="14.4" x14ac:dyDescent="0.3">
      <c r="C20" s="191">
        <v>15</v>
      </c>
      <c r="D20" s="392" t="s">
        <v>730</v>
      </c>
      <c r="E20" s="350" t="s">
        <v>613</v>
      </c>
      <c r="F20" s="351">
        <v>2</v>
      </c>
      <c r="G20" s="351" t="s">
        <v>169</v>
      </c>
      <c r="H20" s="383">
        <f>2.5/1.05</f>
        <v>2.3809523809523809</v>
      </c>
      <c r="I20" s="384">
        <f t="shared" si="0"/>
        <v>4.7619047619047619</v>
      </c>
    </row>
    <row r="21" spans="3:9" ht="14.4" x14ac:dyDescent="0.3">
      <c r="C21" s="191">
        <v>16</v>
      </c>
      <c r="D21" s="392" t="s">
        <v>614</v>
      </c>
      <c r="E21" s="350" t="s">
        <v>615</v>
      </c>
      <c r="F21" s="351">
        <v>2</v>
      </c>
      <c r="G21" s="351" t="s">
        <v>169</v>
      </c>
      <c r="H21" s="383">
        <f>5.5/1.05</f>
        <v>5.2380952380952381</v>
      </c>
      <c r="I21" s="384">
        <f t="shared" si="0"/>
        <v>10.476190476190476</v>
      </c>
    </row>
    <row r="22" spans="3:9" ht="14.4" x14ac:dyDescent="0.3">
      <c r="C22" s="191">
        <v>17</v>
      </c>
      <c r="D22" s="392" t="s">
        <v>750</v>
      </c>
      <c r="E22" s="353" t="s">
        <v>747</v>
      </c>
      <c r="F22" s="354" t="s">
        <v>195</v>
      </c>
      <c r="G22" s="354" t="s">
        <v>200</v>
      </c>
      <c r="H22" s="383">
        <v>288</v>
      </c>
      <c r="I22" s="384">
        <f t="shared" si="0"/>
        <v>2880</v>
      </c>
    </row>
    <row r="23" spans="3:9" ht="14.4" x14ac:dyDescent="0.3">
      <c r="C23" s="191">
        <v>18</v>
      </c>
      <c r="D23" s="398" t="s">
        <v>738</v>
      </c>
      <c r="E23" s="399" t="s">
        <v>739</v>
      </c>
      <c r="F23" s="400" t="s">
        <v>167</v>
      </c>
      <c r="G23" s="400" t="s">
        <v>169</v>
      </c>
      <c r="H23" s="401">
        <v>100</v>
      </c>
      <c r="I23" s="384">
        <f t="shared" si="0"/>
        <v>100</v>
      </c>
    </row>
    <row r="24" spans="3:9" thickBot="1" x14ac:dyDescent="0.35">
      <c r="C24" s="191">
        <v>19</v>
      </c>
      <c r="D24" s="393" t="s">
        <v>748</v>
      </c>
      <c r="E24" s="394" t="s">
        <v>749</v>
      </c>
      <c r="F24" s="358" t="s">
        <v>213</v>
      </c>
      <c r="G24" s="358" t="s">
        <v>169</v>
      </c>
      <c r="H24" s="395">
        <v>3.75</v>
      </c>
      <c r="I24" s="396">
        <f t="shared" si="0"/>
        <v>60</v>
      </c>
    </row>
    <row r="25" spans="3:9" thickBot="1" x14ac:dyDescent="0.35">
      <c r="C25" s="474" t="s">
        <v>229</v>
      </c>
      <c r="D25" s="475"/>
      <c r="E25" s="475"/>
      <c r="F25" s="475"/>
      <c r="G25" s="475"/>
      <c r="H25" s="476"/>
      <c r="I25" s="181">
        <f>SUM(I6:I24)</f>
        <v>4362.9423809523805</v>
      </c>
    </row>
    <row r="26" spans="3:9" thickBot="1" x14ac:dyDescent="0.35"/>
    <row r="27" spans="3:9" ht="28.2" thickBot="1" x14ac:dyDescent="0.35">
      <c r="C27" s="361" t="s">
        <v>550</v>
      </c>
      <c r="D27" s="362" t="s">
        <v>718</v>
      </c>
      <c r="E27" s="363" t="s">
        <v>719</v>
      </c>
      <c r="F27" s="363" t="s">
        <v>720</v>
      </c>
      <c r="G27" s="364" t="s">
        <v>721</v>
      </c>
    </row>
    <row r="28" spans="3:9" ht="14.4" x14ac:dyDescent="0.3">
      <c r="C28" s="365" t="s">
        <v>167</v>
      </c>
      <c r="D28" s="366" t="s">
        <v>728</v>
      </c>
      <c r="E28" s="367">
        <v>4</v>
      </c>
      <c r="F28" s="367">
        <v>12.23</v>
      </c>
      <c r="G28" s="368">
        <f t="shared" ref="G28:G33" si="1">E28*F28</f>
        <v>48.92</v>
      </c>
    </row>
    <row r="29" spans="3:9" ht="14.4" x14ac:dyDescent="0.3">
      <c r="C29" s="369" t="s">
        <v>171</v>
      </c>
      <c r="D29" s="370" t="s">
        <v>723</v>
      </c>
      <c r="E29" s="159">
        <v>4</v>
      </c>
      <c r="F29" s="159">
        <v>4.45</v>
      </c>
      <c r="G29" s="164">
        <f t="shared" si="1"/>
        <v>17.8</v>
      </c>
    </row>
    <row r="30" spans="3:9" ht="14.4" x14ac:dyDescent="0.3">
      <c r="C30" s="369" t="s">
        <v>173</v>
      </c>
      <c r="D30" s="370" t="s">
        <v>724</v>
      </c>
      <c r="E30" s="159">
        <v>20</v>
      </c>
      <c r="F30" s="159">
        <v>9.26</v>
      </c>
      <c r="G30" s="164">
        <f t="shared" si="1"/>
        <v>185.2</v>
      </c>
    </row>
    <row r="31" spans="3:9" ht="14.4" x14ac:dyDescent="0.3">
      <c r="C31" s="369" t="s">
        <v>177</v>
      </c>
      <c r="D31" s="370" t="s">
        <v>726</v>
      </c>
      <c r="E31" s="159">
        <v>84</v>
      </c>
      <c r="F31" s="159">
        <v>2.2999999999999998</v>
      </c>
      <c r="G31" s="164">
        <f t="shared" si="1"/>
        <v>193.2</v>
      </c>
    </row>
    <row r="32" spans="3:9" ht="14.4" x14ac:dyDescent="0.3">
      <c r="C32" s="369" t="s">
        <v>180</v>
      </c>
      <c r="D32" s="370" t="s">
        <v>725</v>
      </c>
      <c r="E32" s="159">
        <v>8</v>
      </c>
      <c r="F32" s="159">
        <v>4.62</v>
      </c>
      <c r="G32" s="164">
        <f t="shared" si="1"/>
        <v>36.96</v>
      </c>
    </row>
    <row r="33" spans="3:7" thickBot="1" x14ac:dyDescent="0.35">
      <c r="C33" s="371" t="s">
        <v>183</v>
      </c>
      <c r="D33" s="372" t="s">
        <v>729</v>
      </c>
      <c r="E33" s="373">
        <v>8</v>
      </c>
      <c r="F33" s="373">
        <v>4.62</v>
      </c>
      <c r="G33" s="374">
        <f t="shared" si="1"/>
        <v>36.96</v>
      </c>
    </row>
    <row r="34" spans="3:7" thickBot="1" x14ac:dyDescent="0.35">
      <c r="C34" s="467" t="s">
        <v>229</v>
      </c>
      <c r="D34" s="468"/>
      <c r="E34" s="468"/>
      <c r="F34" s="469"/>
      <c r="G34" s="304">
        <f>SUM(G28:G33)</f>
        <v>519.04</v>
      </c>
    </row>
    <row r="35" spans="3:7" thickBot="1" x14ac:dyDescent="0.35"/>
    <row r="36" spans="3:7" thickBot="1" x14ac:dyDescent="0.35">
      <c r="C36" s="470" t="s">
        <v>166</v>
      </c>
      <c r="D36" s="471"/>
      <c r="E36" s="471"/>
      <c r="F36" s="471"/>
      <c r="G36" s="397">
        <f>G34+I25</f>
        <v>4881.9823809523805</v>
      </c>
    </row>
    <row r="37" spans="3:7" ht="14.4" x14ac:dyDescent="0.3"/>
    <row r="38" spans="3:7" ht="14.4" x14ac:dyDescent="0.3"/>
    <row r="39" spans="3:7" ht="14.4" x14ac:dyDescent="0.3"/>
    <row r="40" spans="3:7" ht="14.4" x14ac:dyDescent="0.3"/>
    <row r="41" spans="3:7" ht="14.4" x14ac:dyDescent="0.3"/>
    <row r="42" spans="3:7" ht="14.4" x14ac:dyDescent="0.3"/>
    <row r="43" spans="3:7" ht="14.4" x14ac:dyDescent="0.3"/>
    <row r="44" spans="3:7" ht="14.4" x14ac:dyDescent="0.3"/>
    <row r="45" spans="3:7" ht="14.4" x14ac:dyDescent="0.3"/>
    <row r="46" spans="3:7" ht="14.4" x14ac:dyDescent="0.3"/>
    <row r="47" spans="3:7" ht="14.4" x14ac:dyDescent="0.3"/>
    <row r="48" spans="3:7" ht="14.4" x14ac:dyDescent="0.3"/>
  </sheetData>
  <mergeCells count="3">
    <mergeCell ref="C25:H25"/>
    <mergeCell ref="C34:F34"/>
    <mergeCell ref="C36:F36"/>
  </mergeCells>
  <pageMargins left="0.7" right="0.7" top="0.75" bottom="0.75" header="0.3" footer="0.3"/>
  <pageSetup scale="7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260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35" t="s">
        <v>160</v>
      </c>
      <c r="B3" s="36" t="s">
        <v>161</v>
      </c>
      <c r="C3" s="36" t="s">
        <v>162</v>
      </c>
      <c r="D3" s="36" t="s">
        <v>163</v>
      </c>
      <c r="E3" s="36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39" t="s">
        <v>262</v>
      </c>
      <c r="C4" s="40"/>
      <c r="D4" s="432">
        <v>1</v>
      </c>
      <c r="E4" s="432" t="s">
        <v>169</v>
      </c>
      <c r="F4" s="434">
        <f>H4</f>
        <v>10444.799999999999</v>
      </c>
      <c r="G4" s="436">
        <f>F4*D4</f>
        <v>10444.799999999999</v>
      </c>
      <c r="H4" s="48">
        <f>I4*'Prices without ATS'!$K$2</f>
        <v>10444.799999999999</v>
      </c>
      <c r="I4" s="87">
        <v>2048</v>
      </c>
      <c r="J4" s="88"/>
      <c r="K4" s="88"/>
    </row>
    <row r="5" spans="1:11" ht="18" customHeight="1" x14ac:dyDescent="0.3">
      <c r="A5" s="45" t="s">
        <v>171</v>
      </c>
      <c r="B5" s="46" t="s">
        <v>263</v>
      </c>
      <c r="C5" s="47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46" t="s">
        <v>174</v>
      </c>
      <c r="C6" s="47" t="s">
        <v>175</v>
      </c>
      <c r="D6" s="49">
        <v>4.9000000000000004</v>
      </c>
      <c r="E6" s="49" t="s">
        <v>176</v>
      </c>
      <c r="F6" s="49">
        <f>6.5/1.05</f>
        <v>6.1904761904761898</v>
      </c>
      <c r="G6" s="89">
        <f t="shared" ref="G6:G19" si="0">D6*F6</f>
        <v>30.333333333333332</v>
      </c>
    </row>
    <row r="7" spans="1:11" ht="18" customHeight="1" x14ac:dyDescent="0.3">
      <c r="A7" s="45" t="s">
        <v>177</v>
      </c>
      <c r="B7" s="46" t="s">
        <v>178</v>
      </c>
      <c r="C7" s="47" t="s">
        <v>179</v>
      </c>
      <c r="D7" s="49">
        <v>3</v>
      </c>
      <c r="E7" s="49" t="s">
        <v>176</v>
      </c>
      <c r="F7" s="49">
        <f>0.9/1.05</f>
        <v>0.8571428571428571</v>
      </c>
      <c r="G7" s="89">
        <f t="shared" si="0"/>
        <v>2.5714285714285712</v>
      </c>
    </row>
    <row r="8" spans="1:11" ht="18" customHeight="1" x14ac:dyDescent="0.3">
      <c r="A8" s="45" t="s">
        <v>180</v>
      </c>
      <c r="B8" s="46" t="s">
        <v>181</v>
      </c>
      <c r="C8" s="47" t="s">
        <v>182</v>
      </c>
      <c r="D8" s="49">
        <v>3</v>
      </c>
      <c r="E8" s="49" t="s">
        <v>176</v>
      </c>
      <c r="F8" s="49">
        <f>2.9/1.05</f>
        <v>2.7619047619047619</v>
      </c>
      <c r="G8" s="89">
        <f t="shared" si="0"/>
        <v>8.2857142857142847</v>
      </c>
    </row>
    <row r="9" spans="1:11" ht="18" customHeight="1" x14ac:dyDescent="0.3">
      <c r="A9" s="45" t="s">
        <v>183</v>
      </c>
      <c r="B9" s="46" t="s">
        <v>184</v>
      </c>
      <c r="C9" s="47" t="s">
        <v>185</v>
      </c>
      <c r="D9" s="48">
        <v>1</v>
      </c>
      <c r="E9" s="49" t="s">
        <v>169</v>
      </c>
      <c r="F9" s="48">
        <v>31.237523809523811</v>
      </c>
      <c r="G9" s="90">
        <f t="shared" si="0"/>
        <v>31.237523809523811</v>
      </c>
    </row>
    <row r="10" spans="1:11" ht="18" customHeight="1" x14ac:dyDescent="0.3">
      <c r="A10" s="45" t="s">
        <v>186</v>
      </c>
      <c r="B10" s="46" t="s">
        <v>187</v>
      </c>
      <c r="C10" s="47" t="s">
        <v>188</v>
      </c>
      <c r="D10" s="48">
        <v>1</v>
      </c>
      <c r="E10" s="49" t="s">
        <v>169</v>
      </c>
      <c r="F10" s="48">
        <v>565.43752380952378</v>
      </c>
      <c r="G10" s="90">
        <f t="shared" si="0"/>
        <v>565.43752380952378</v>
      </c>
    </row>
    <row r="11" spans="1:11" ht="18" customHeight="1" x14ac:dyDescent="0.3">
      <c r="A11" s="45" t="s">
        <v>189</v>
      </c>
      <c r="B11" s="46" t="s">
        <v>190</v>
      </c>
      <c r="C11" s="47" t="s">
        <v>191</v>
      </c>
      <c r="D11" s="48">
        <v>4</v>
      </c>
      <c r="E11" s="49" t="s">
        <v>169</v>
      </c>
      <c r="F11" s="48">
        <f>17.7/1.05</f>
        <v>16.857142857142854</v>
      </c>
      <c r="G11" s="90">
        <f t="shared" si="0"/>
        <v>67.428571428571416</v>
      </c>
    </row>
    <row r="12" spans="1:11" ht="18" customHeight="1" x14ac:dyDescent="0.3">
      <c r="A12" s="45" t="s">
        <v>192</v>
      </c>
      <c r="B12" s="46" t="s">
        <v>193</v>
      </c>
      <c r="C12" s="47" t="s">
        <v>194</v>
      </c>
      <c r="D12" s="48">
        <v>1</v>
      </c>
      <c r="E12" s="49" t="s">
        <v>169</v>
      </c>
      <c r="F12" s="48">
        <v>743.00666666666677</v>
      </c>
      <c r="G12" s="90">
        <f t="shared" si="0"/>
        <v>743.00666666666677</v>
      </c>
    </row>
    <row r="13" spans="1:11" ht="18" customHeight="1" x14ac:dyDescent="0.3">
      <c r="A13" s="45" t="s">
        <v>195</v>
      </c>
      <c r="B13" s="46" t="s">
        <v>264</v>
      </c>
      <c r="C13" s="47" t="s">
        <v>188</v>
      </c>
      <c r="D13" s="49">
        <v>1</v>
      </c>
      <c r="E13" s="49" t="s">
        <v>169</v>
      </c>
      <c r="F13" s="49">
        <v>72.938095238095229</v>
      </c>
      <c r="G13" s="90">
        <f t="shared" si="0"/>
        <v>72.938095238095229</v>
      </c>
    </row>
    <row r="14" spans="1:11" ht="18" customHeight="1" x14ac:dyDescent="0.3">
      <c r="A14" s="45" t="s">
        <v>197</v>
      </c>
      <c r="B14" s="46" t="s">
        <v>198</v>
      </c>
      <c r="C14" s="47" t="s">
        <v>199</v>
      </c>
      <c r="D14" s="48">
        <v>0.8</v>
      </c>
      <c r="E14" s="49" t="s">
        <v>200</v>
      </c>
      <c r="F14" s="48">
        <v>13.8</v>
      </c>
      <c r="G14" s="50">
        <f t="shared" si="0"/>
        <v>11.040000000000001</v>
      </c>
    </row>
    <row r="15" spans="1:11" ht="18" customHeight="1" x14ac:dyDescent="0.3">
      <c r="A15" s="45" t="s">
        <v>201</v>
      </c>
      <c r="B15" s="46" t="s">
        <v>202</v>
      </c>
      <c r="C15" s="47" t="s">
        <v>203</v>
      </c>
      <c r="D15" s="48">
        <v>0.8</v>
      </c>
      <c r="E15" s="49" t="s">
        <v>200</v>
      </c>
      <c r="F15" s="48">
        <v>13.81</v>
      </c>
      <c r="G15" s="50">
        <f t="shared" si="0"/>
        <v>11.048000000000002</v>
      </c>
    </row>
    <row r="16" spans="1:11" ht="18" customHeight="1" x14ac:dyDescent="0.3">
      <c r="A16" s="45" t="s">
        <v>204</v>
      </c>
      <c r="B16" s="46" t="s">
        <v>205</v>
      </c>
      <c r="C16" s="47" t="s">
        <v>206</v>
      </c>
      <c r="D16" s="48">
        <v>0.3</v>
      </c>
      <c r="E16" s="49" t="s">
        <v>200</v>
      </c>
      <c r="F16" s="48">
        <v>3.42</v>
      </c>
      <c r="G16" s="50">
        <f t="shared" si="0"/>
        <v>1.026</v>
      </c>
    </row>
    <row r="17" spans="1:7" ht="18" customHeight="1" x14ac:dyDescent="0.3">
      <c r="A17" s="45" t="s">
        <v>207</v>
      </c>
      <c r="B17" s="46" t="s">
        <v>208</v>
      </c>
      <c r="C17" s="47" t="s">
        <v>209</v>
      </c>
      <c r="D17" s="48">
        <v>1</v>
      </c>
      <c r="E17" s="49" t="s">
        <v>169</v>
      </c>
      <c r="F17" s="48">
        <f>141.75/1.05</f>
        <v>135</v>
      </c>
      <c r="G17" s="50">
        <f t="shared" si="0"/>
        <v>135</v>
      </c>
    </row>
    <row r="18" spans="1:7" ht="18" customHeight="1" x14ac:dyDescent="0.3">
      <c r="A18" s="45" t="s">
        <v>210</v>
      </c>
      <c r="B18" s="52" t="s">
        <v>211</v>
      </c>
      <c r="C18" s="47" t="s">
        <v>212</v>
      </c>
      <c r="D18" s="49">
        <v>4</v>
      </c>
      <c r="E18" s="47" t="s">
        <v>200</v>
      </c>
      <c r="F18" s="48">
        <v>2.64</v>
      </c>
      <c r="G18" s="50">
        <f t="shared" si="0"/>
        <v>10.56</v>
      </c>
    </row>
    <row r="19" spans="1:7" ht="18" customHeight="1" x14ac:dyDescent="0.3">
      <c r="A19" s="45" t="s">
        <v>213</v>
      </c>
      <c r="B19" s="52" t="s">
        <v>214</v>
      </c>
      <c r="C19" s="47" t="s">
        <v>215</v>
      </c>
      <c r="D19" s="48">
        <v>3</v>
      </c>
      <c r="E19" s="47" t="s">
        <v>169</v>
      </c>
      <c r="F19" s="48">
        <v>18.09</v>
      </c>
      <c r="G19" s="50">
        <f t="shared" si="0"/>
        <v>54.269999999999996</v>
      </c>
    </row>
    <row r="20" spans="1:7" ht="18" customHeight="1" x14ac:dyDescent="0.3">
      <c r="A20" s="45" t="s">
        <v>216</v>
      </c>
      <c r="B20" s="46" t="s">
        <v>217</v>
      </c>
      <c r="C20" s="47" t="s">
        <v>218</v>
      </c>
      <c r="D20" s="48">
        <v>1</v>
      </c>
      <c r="E20" s="49" t="s">
        <v>169</v>
      </c>
      <c r="F20" s="48">
        <v>28.82</v>
      </c>
      <c r="G20" s="50">
        <f>D20*F20</f>
        <v>28.82</v>
      </c>
    </row>
    <row r="21" spans="1:7" ht="18" customHeight="1" thickBot="1" x14ac:dyDescent="0.35">
      <c r="A21" s="53" t="s">
        <v>219</v>
      </c>
      <c r="B21" s="54" t="s">
        <v>220</v>
      </c>
      <c r="C21" s="55" t="s">
        <v>188</v>
      </c>
      <c r="D21" s="56">
        <v>1</v>
      </c>
      <c r="E21" s="57" t="s">
        <v>169</v>
      </c>
      <c r="F21" s="56">
        <v>240.4</v>
      </c>
      <c r="G21" s="58">
        <f>D21*F21</f>
        <v>240.4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>
        <f>H4*0.05</f>
        <v>522.24</v>
      </c>
      <c r="G22" s="63">
        <f>F22*D22</f>
        <v>522.24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5500/88</f>
        <v>62.5</v>
      </c>
      <c r="G23" s="68">
        <f>F23*D23</f>
        <v>62.5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365.56799999999998</v>
      </c>
      <c r="G24" s="68">
        <f>F24*D24</f>
        <v>365.56799999999998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3000/88</f>
        <v>34.090909090909093</v>
      </c>
      <c r="G25" s="72">
        <f>F25*D25</f>
        <v>34.090909090909093</v>
      </c>
    </row>
    <row r="26" spans="1:7" ht="18" customHeight="1" x14ac:dyDescent="0.3">
      <c r="A26" s="73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38" t="s">
        <v>265</v>
      </c>
      <c r="B27" s="439"/>
      <c r="C27" s="439"/>
      <c r="D27" s="439"/>
      <c r="E27" s="439"/>
      <c r="F27" s="439"/>
      <c r="G27" s="91">
        <f>SUM(G3:G26)</f>
        <v>13442.601766233765</v>
      </c>
    </row>
    <row r="28" spans="1:7" ht="18" customHeight="1" thickBot="1" x14ac:dyDescent="0.35">
      <c r="A28"/>
      <c r="B28"/>
      <c r="C28"/>
      <c r="D28"/>
      <c r="E28"/>
      <c r="F28"/>
      <c r="G28"/>
    </row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50</v>
      </c>
      <c r="G46" s="84">
        <f>D46*F46</f>
        <v>50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1522.7285714285715</v>
      </c>
    </row>
    <row r="48" spans="1:7" ht="13.5" hidden="1" customHeight="1" x14ac:dyDescent="0.3"/>
    <row r="49" spans="1:7" ht="13.5" hidden="1" customHeight="1" x14ac:dyDescent="0.3"/>
    <row r="50" spans="1:7" ht="13.5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14965.330337662337</v>
      </c>
    </row>
    <row r="53" spans="1:7" x14ac:dyDescent="0.3">
      <c r="A53" t="s">
        <v>259</v>
      </c>
      <c r="B53" s="4">
        <v>43450</v>
      </c>
    </row>
    <row r="55" spans="1:7" x14ac:dyDescent="0.3">
      <c r="A55"/>
      <c r="B55"/>
      <c r="C55"/>
      <c r="D55"/>
      <c r="E55"/>
      <c r="F55"/>
      <c r="G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3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0"/>
  <sheetViews>
    <sheetView tabSelected="1" topLeftCell="A60" zoomScaleNormal="100" workbookViewId="0">
      <selection sqref="A1:G1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266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35" t="s">
        <v>160</v>
      </c>
      <c r="B3" s="36" t="s">
        <v>161</v>
      </c>
      <c r="C3" s="36" t="s">
        <v>162</v>
      </c>
      <c r="D3" s="36" t="s">
        <v>163</v>
      </c>
      <c r="E3" s="36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39" t="s">
        <v>267</v>
      </c>
      <c r="C4" s="40"/>
      <c r="D4" s="432">
        <v>1</v>
      </c>
      <c r="E4" s="432" t="s">
        <v>169</v>
      </c>
      <c r="F4" s="434">
        <f>H4</f>
        <v>11786.099999999999</v>
      </c>
      <c r="G4" s="436">
        <f>F4*D4</f>
        <v>11786.099999999999</v>
      </c>
      <c r="H4" s="48">
        <f>I4*'Prices without ATS'!$K$2</f>
        <v>11786.099999999999</v>
      </c>
      <c r="I4" s="88">
        <v>2311</v>
      </c>
      <c r="J4" s="88"/>
      <c r="K4" s="88"/>
    </row>
    <row r="5" spans="1:11" ht="18" customHeight="1" x14ac:dyDescent="0.3">
      <c r="A5" s="45" t="s">
        <v>171</v>
      </c>
      <c r="B5" s="46" t="s">
        <v>268</v>
      </c>
      <c r="C5" s="47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46" t="s">
        <v>174</v>
      </c>
      <c r="C6" s="47" t="s">
        <v>175</v>
      </c>
      <c r="D6" s="49">
        <v>6</v>
      </c>
      <c r="E6" s="49" t="s">
        <v>176</v>
      </c>
      <c r="F6" s="49">
        <f>6.5/1.05</f>
        <v>6.1904761904761898</v>
      </c>
      <c r="G6" s="89">
        <f t="shared" ref="G6:G19" si="0">D6*F6</f>
        <v>37.142857142857139</v>
      </c>
    </row>
    <row r="7" spans="1:11" ht="18" customHeight="1" x14ac:dyDescent="0.3">
      <c r="A7" s="45" t="s">
        <v>177</v>
      </c>
      <c r="B7" s="46" t="s">
        <v>178</v>
      </c>
      <c r="C7" s="47" t="s">
        <v>179</v>
      </c>
      <c r="D7" s="49">
        <v>3</v>
      </c>
      <c r="E7" s="49" t="s">
        <v>176</v>
      </c>
      <c r="F7" s="49">
        <f>0.9/1.05</f>
        <v>0.8571428571428571</v>
      </c>
      <c r="G7" s="89">
        <f t="shared" si="0"/>
        <v>2.5714285714285712</v>
      </c>
    </row>
    <row r="8" spans="1:11" ht="18" customHeight="1" x14ac:dyDescent="0.3">
      <c r="A8" s="45" t="s">
        <v>180</v>
      </c>
      <c r="B8" s="46" t="s">
        <v>181</v>
      </c>
      <c r="C8" s="47" t="s">
        <v>182</v>
      </c>
      <c r="D8" s="49">
        <v>3</v>
      </c>
      <c r="E8" s="49" t="s">
        <v>176</v>
      </c>
      <c r="F8" s="49">
        <f>2.9/1.05</f>
        <v>2.7619047619047619</v>
      </c>
      <c r="G8" s="89">
        <f t="shared" si="0"/>
        <v>8.2857142857142847</v>
      </c>
    </row>
    <row r="9" spans="1:11" ht="18" customHeight="1" x14ac:dyDescent="0.3">
      <c r="A9" s="45" t="s">
        <v>183</v>
      </c>
      <c r="B9" s="46" t="s">
        <v>184</v>
      </c>
      <c r="C9" s="47" t="s">
        <v>185</v>
      </c>
      <c r="D9" s="48">
        <v>1</v>
      </c>
      <c r="E9" s="49" t="s">
        <v>169</v>
      </c>
      <c r="F9" s="48">
        <v>31.237523809523811</v>
      </c>
      <c r="G9" s="90">
        <f t="shared" si="0"/>
        <v>31.237523809523811</v>
      </c>
    </row>
    <row r="10" spans="1:11" ht="18" customHeight="1" x14ac:dyDescent="0.3">
      <c r="A10" s="45" t="s">
        <v>186</v>
      </c>
      <c r="B10" s="46" t="s">
        <v>187</v>
      </c>
      <c r="C10" s="47" t="s">
        <v>188</v>
      </c>
      <c r="D10" s="48">
        <v>1</v>
      </c>
      <c r="E10" s="49" t="s">
        <v>169</v>
      </c>
      <c r="F10" s="48">
        <v>565.43752380952378</v>
      </c>
      <c r="G10" s="90">
        <f t="shared" si="0"/>
        <v>565.43752380952378</v>
      </c>
    </row>
    <row r="11" spans="1:11" ht="18" customHeight="1" x14ac:dyDescent="0.3">
      <c r="A11" s="45" t="s">
        <v>189</v>
      </c>
      <c r="B11" s="46" t="s">
        <v>190</v>
      </c>
      <c r="C11" s="47" t="s">
        <v>191</v>
      </c>
      <c r="D11" s="48">
        <v>4</v>
      </c>
      <c r="E11" s="49" t="s">
        <v>169</v>
      </c>
      <c r="F11" s="48">
        <f>17.7/1.05</f>
        <v>16.857142857142854</v>
      </c>
      <c r="G11" s="90">
        <f t="shared" si="0"/>
        <v>67.428571428571416</v>
      </c>
    </row>
    <row r="12" spans="1:11" ht="18" customHeight="1" x14ac:dyDescent="0.3">
      <c r="A12" s="45" t="s">
        <v>192</v>
      </c>
      <c r="B12" s="46" t="s">
        <v>193</v>
      </c>
      <c r="C12" s="47" t="s">
        <v>194</v>
      </c>
      <c r="D12" s="48">
        <v>1</v>
      </c>
      <c r="E12" s="49" t="s">
        <v>169</v>
      </c>
      <c r="F12" s="48">
        <v>743.00666666666677</v>
      </c>
      <c r="G12" s="90">
        <f t="shared" si="0"/>
        <v>743.00666666666677</v>
      </c>
    </row>
    <row r="13" spans="1:11" ht="18" customHeight="1" x14ac:dyDescent="0.3">
      <c r="A13" s="45" t="s">
        <v>195</v>
      </c>
      <c r="B13" s="46" t="s">
        <v>264</v>
      </c>
      <c r="C13" s="47" t="s">
        <v>269</v>
      </c>
      <c r="D13" s="49">
        <v>1</v>
      </c>
      <c r="E13" s="49" t="s">
        <v>169</v>
      </c>
      <c r="F13" s="49">
        <v>72.938095238095229</v>
      </c>
      <c r="G13" s="90">
        <f t="shared" si="0"/>
        <v>72.938095238095229</v>
      </c>
    </row>
    <row r="14" spans="1:11" ht="18" customHeight="1" x14ac:dyDescent="0.3">
      <c r="A14" s="45" t="s">
        <v>197</v>
      </c>
      <c r="B14" s="46" t="s">
        <v>198</v>
      </c>
      <c r="C14" s="47" t="s">
        <v>199</v>
      </c>
      <c r="D14" s="48">
        <v>0.8</v>
      </c>
      <c r="E14" s="49" t="s">
        <v>200</v>
      </c>
      <c r="F14" s="48">
        <v>13.8</v>
      </c>
      <c r="G14" s="50">
        <f t="shared" si="0"/>
        <v>11.040000000000001</v>
      </c>
    </row>
    <row r="15" spans="1:11" ht="18" customHeight="1" x14ac:dyDescent="0.3">
      <c r="A15" s="45" t="s">
        <v>201</v>
      </c>
      <c r="B15" s="46" t="s">
        <v>202</v>
      </c>
      <c r="C15" s="47" t="s">
        <v>203</v>
      </c>
      <c r="D15" s="48">
        <v>0.8</v>
      </c>
      <c r="E15" s="49" t="s">
        <v>200</v>
      </c>
      <c r="F15" s="48">
        <v>13.81</v>
      </c>
      <c r="G15" s="50">
        <f t="shared" si="0"/>
        <v>11.048000000000002</v>
      </c>
    </row>
    <row r="16" spans="1:11" ht="18" customHeight="1" x14ac:dyDescent="0.3">
      <c r="A16" s="45" t="s">
        <v>204</v>
      </c>
      <c r="B16" s="46" t="s">
        <v>205</v>
      </c>
      <c r="C16" s="47" t="s">
        <v>206</v>
      </c>
      <c r="D16" s="48">
        <v>0.3</v>
      </c>
      <c r="E16" s="49" t="s">
        <v>200</v>
      </c>
      <c r="F16" s="48">
        <v>3.42</v>
      </c>
      <c r="G16" s="50">
        <f t="shared" si="0"/>
        <v>1.026</v>
      </c>
    </row>
    <row r="17" spans="1:7" ht="18" customHeight="1" x14ac:dyDescent="0.3">
      <c r="A17" s="45" t="s">
        <v>207</v>
      </c>
      <c r="B17" s="46" t="s">
        <v>208</v>
      </c>
      <c r="C17" s="47" t="s">
        <v>209</v>
      </c>
      <c r="D17" s="48">
        <v>1</v>
      </c>
      <c r="E17" s="49" t="s">
        <v>169</v>
      </c>
      <c r="F17" s="48">
        <f>141.75/1.05</f>
        <v>135</v>
      </c>
      <c r="G17" s="50">
        <f t="shared" si="0"/>
        <v>135</v>
      </c>
    </row>
    <row r="18" spans="1:7" ht="18" customHeight="1" x14ac:dyDescent="0.3">
      <c r="A18" s="45" t="s">
        <v>210</v>
      </c>
      <c r="B18" s="52" t="s">
        <v>211</v>
      </c>
      <c r="C18" s="47" t="s">
        <v>212</v>
      </c>
      <c r="D18" s="49">
        <v>4</v>
      </c>
      <c r="E18" s="47" t="s">
        <v>200</v>
      </c>
      <c r="F18" s="48">
        <v>2.64</v>
      </c>
      <c r="G18" s="50">
        <f t="shared" si="0"/>
        <v>10.56</v>
      </c>
    </row>
    <row r="19" spans="1:7" ht="18" customHeight="1" x14ac:dyDescent="0.3">
      <c r="A19" s="45" t="s">
        <v>213</v>
      </c>
      <c r="B19" s="52" t="s">
        <v>214</v>
      </c>
      <c r="C19" s="47" t="s">
        <v>215</v>
      </c>
      <c r="D19" s="48">
        <v>3</v>
      </c>
      <c r="E19" s="47" t="s">
        <v>169</v>
      </c>
      <c r="F19" s="48">
        <v>18.09</v>
      </c>
      <c r="G19" s="50">
        <f t="shared" si="0"/>
        <v>54.269999999999996</v>
      </c>
    </row>
    <row r="20" spans="1:7" ht="18" customHeight="1" x14ac:dyDescent="0.3">
      <c r="A20" s="45" t="s">
        <v>216</v>
      </c>
      <c r="B20" s="46" t="s">
        <v>217</v>
      </c>
      <c r="C20" s="47" t="s">
        <v>218</v>
      </c>
      <c r="D20" s="48">
        <v>1</v>
      </c>
      <c r="E20" s="49" t="s">
        <v>169</v>
      </c>
      <c r="F20" s="48">
        <v>28.82</v>
      </c>
      <c r="G20" s="50">
        <f>D20*F20</f>
        <v>28.82</v>
      </c>
    </row>
    <row r="21" spans="1:7" ht="18" customHeight="1" thickBot="1" x14ac:dyDescent="0.35">
      <c r="A21" s="53" t="s">
        <v>219</v>
      </c>
      <c r="B21" s="54" t="s">
        <v>220</v>
      </c>
      <c r="C21" s="55" t="s">
        <v>188</v>
      </c>
      <c r="D21" s="56">
        <v>1</v>
      </c>
      <c r="E21" s="57" t="s">
        <v>169</v>
      </c>
      <c r="F21" s="56">
        <v>240.4</v>
      </c>
      <c r="G21" s="58">
        <f>D21*F21</f>
        <v>240.4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>
        <f>H4*0.05</f>
        <v>589.30499999999995</v>
      </c>
      <c r="G22" s="63">
        <f>F22*D22</f>
        <v>589.30499999999995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5500/72</f>
        <v>76.388888888888886</v>
      </c>
      <c r="G23" s="68">
        <f>F23*D23</f>
        <v>76.388888888888886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412.51349999999996</v>
      </c>
      <c r="G24" s="68">
        <f>F24*D24</f>
        <v>412.51349999999996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3000/72</f>
        <v>41.666666666666664</v>
      </c>
      <c r="G25" s="72">
        <f>F25*D25</f>
        <v>41.666666666666664</v>
      </c>
    </row>
    <row r="26" spans="1:7" ht="18" customHeight="1" x14ac:dyDescent="0.3">
      <c r="A26" s="73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38" t="s">
        <v>265</v>
      </c>
      <c r="B27" s="439"/>
      <c r="C27" s="439"/>
      <c r="D27" s="439"/>
      <c r="E27" s="439"/>
      <c r="F27" s="439"/>
      <c r="G27" s="91">
        <f>SUM(G3:G26)</f>
        <v>14926.186436507933</v>
      </c>
    </row>
    <row r="28" spans="1:7" ht="18" customHeight="1" thickBot="1" x14ac:dyDescent="0.35">
      <c r="A28"/>
      <c r="B28"/>
      <c r="C28"/>
      <c r="D28"/>
      <c r="E28"/>
      <c r="F28"/>
      <c r="G28"/>
    </row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50</v>
      </c>
      <c r="G46" s="84">
        <f>D46*F46</f>
        <v>50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1522.7285714285715</v>
      </c>
    </row>
    <row r="48" spans="1:7" ht="18" customHeight="1" thickBot="1" x14ac:dyDescent="0.35"/>
    <row r="49" spans="1:7" ht="18" hidden="1" customHeight="1" x14ac:dyDescent="0.3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16448.915007936503</v>
      </c>
    </row>
    <row r="53" spans="1:7" x14ac:dyDescent="0.3">
      <c r="A53" t="s">
        <v>259</v>
      </c>
      <c r="B53" s="4">
        <v>43450</v>
      </c>
    </row>
    <row r="55" spans="1:7" x14ac:dyDescent="0.3">
      <c r="A55"/>
      <c r="B55"/>
      <c r="C55"/>
      <c r="D55"/>
      <c r="E55"/>
      <c r="F55"/>
      <c r="G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  <row r="115" spans="1:7" x14ac:dyDescent="0.3">
      <c r="A115"/>
      <c r="B115"/>
      <c r="C115"/>
      <c r="D115"/>
      <c r="E115"/>
      <c r="F115"/>
      <c r="G115"/>
    </row>
    <row r="116" spans="1:7" x14ac:dyDescent="0.3">
      <c r="A116"/>
      <c r="B116"/>
      <c r="C116"/>
      <c r="D116"/>
      <c r="E116"/>
      <c r="F116"/>
      <c r="G116"/>
    </row>
    <row r="117" spans="1:7" x14ac:dyDescent="0.3">
      <c r="A117"/>
      <c r="B117"/>
      <c r="C117"/>
      <c r="D117"/>
      <c r="E117"/>
      <c r="F117"/>
      <c r="G117"/>
    </row>
    <row r="118" spans="1:7" x14ac:dyDescent="0.3">
      <c r="A118"/>
      <c r="B118"/>
      <c r="C118"/>
      <c r="D118"/>
      <c r="E118"/>
      <c r="F118"/>
      <c r="G118"/>
    </row>
    <row r="119" spans="1:7" x14ac:dyDescent="0.3">
      <c r="A119"/>
      <c r="B119"/>
      <c r="C119"/>
      <c r="D119"/>
      <c r="E119"/>
      <c r="F119"/>
      <c r="G119"/>
    </row>
    <row r="120" spans="1:7" x14ac:dyDescent="0.3">
      <c r="A120"/>
      <c r="B120"/>
      <c r="C120"/>
      <c r="D120"/>
      <c r="E120"/>
      <c r="F120"/>
      <c r="G120"/>
    </row>
    <row r="121" spans="1:7" x14ac:dyDescent="0.3">
      <c r="A121"/>
      <c r="B121"/>
      <c r="C121"/>
      <c r="D121"/>
      <c r="E121"/>
      <c r="F121"/>
      <c r="G121"/>
    </row>
    <row r="122" spans="1:7" x14ac:dyDescent="0.3">
      <c r="A122"/>
      <c r="B122"/>
      <c r="C122"/>
      <c r="D122"/>
      <c r="E122"/>
      <c r="F122"/>
      <c r="G122"/>
    </row>
    <row r="123" spans="1:7" x14ac:dyDescent="0.3">
      <c r="A123"/>
      <c r="B123"/>
      <c r="C123"/>
      <c r="D123"/>
      <c r="E123"/>
      <c r="F123"/>
      <c r="G123"/>
    </row>
    <row r="124" spans="1:7" x14ac:dyDescent="0.3">
      <c r="A124"/>
      <c r="B124"/>
      <c r="C124"/>
      <c r="D124"/>
      <c r="E124"/>
      <c r="F124"/>
      <c r="G124"/>
    </row>
    <row r="125" spans="1:7" x14ac:dyDescent="0.3">
      <c r="A125"/>
      <c r="B125"/>
      <c r="C125"/>
      <c r="D125"/>
      <c r="E125"/>
      <c r="F125"/>
      <c r="G125"/>
    </row>
    <row r="126" spans="1:7" x14ac:dyDescent="0.3">
      <c r="A126"/>
      <c r="B126"/>
      <c r="C126"/>
      <c r="D126"/>
      <c r="E126"/>
      <c r="F126"/>
      <c r="G126"/>
    </row>
    <row r="127" spans="1:7" x14ac:dyDescent="0.3">
      <c r="A127"/>
      <c r="B127"/>
      <c r="C127"/>
      <c r="D127"/>
      <c r="E127"/>
      <c r="F127"/>
      <c r="G127"/>
    </row>
    <row r="128" spans="1:7" x14ac:dyDescent="0.3">
      <c r="A128"/>
      <c r="B128"/>
      <c r="C128"/>
      <c r="D128"/>
      <c r="E128"/>
      <c r="F128"/>
      <c r="G128"/>
    </row>
    <row r="129" spans="1:7" x14ac:dyDescent="0.3">
      <c r="A129"/>
      <c r="B129"/>
      <c r="C129"/>
      <c r="D129"/>
      <c r="E129"/>
      <c r="F129"/>
      <c r="G129"/>
    </row>
    <row r="130" spans="1:7" x14ac:dyDescent="0.3">
      <c r="A130"/>
      <c r="B130"/>
      <c r="C130"/>
      <c r="D130"/>
      <c r="E130"/>
      <c r="F130"/>
      <c r="G130"/>
    </row>
    <row r="131" spans="1:7" x14ac:dyDescent="0.3">
      <c r="A131"/>
      <c r="B131"/>
      <c r="C131"/>
      <c r="D131"/>
      <c r="E131"/>
      <c r="F131"/>
      <c r="G131"/>
    </row>
    <row r="132" spans="1:7" x14ac:dyDescent="0.3">
      <c r="A132"/>
      <c r="B132"/>
      <c r="C132"/>
      <c r="D132"/>
      <c r="E132"/>
      <c r="F132"/>
      <c r="G132"/>
    </row>
    <row r="133" spans="1:7" x14ac:dyDescent="0.3">
      <c r="A133"/>
      <c r="B133"/>
      <c r="C133"/>
      <c r="D133"/>
      <c r="E133"/>
      <c r="F133"/>
      <c r="G133"/>
    </row>
    <row r="134" spans="1:7" x14ac:dyDescent="0.3">
      <c r="A134"/>
      <c r="B134"/>
      <c r="C134"/>
      <c r="D134"/>
      <c r="E134"/>
      <c r="F134"/>
      <c r="G134"/>
    </row>
    <row r="135" spans="1:7" x14ac:dyDescent="0.3">
      <c r="A135"/>
      <c r="B135"/>
      <c r="C135"/>
      <c r="D135"/>
      <c r="E135"/>
      <c r="F135"/>
      <c r="G135"/>
    </row>
    <row r="136" spans="1:7" x14ac:dyDescent="0.3">
      <c r="A136"/>
      <c r="B136"/>
      <c r="C136"/>
      <c r="D136"/>
      <c r="E136"/>
      <c r="F136"/>
      <c r="G136"/>
    </row>
    <row r="137" spans="1:7" x14ac:dyDescent="0.3">
      <c r="A137"/>
      <c r="B137"/>
      <c r="C137"/>
      <c r="D137"/>
      <c r="E137"/>
      <c r="F137"/>
      <c r="G137"/>
    </row>
    <row r="138" spans="1:7" x14ac:dyDescent="0.3">
      <c r="A138"/>
      <c r="B138"/>
      <c r="C138"/>
      <c r="D138"/>
      <c r="E138"/>
      <c r="F138"/>
      <c r="G138"/>
    </row>
    <row r="139" spans="1:7" x14ac:dyDescent="0.3">
      <c r="A139"/>
      <c r="B139"/>
      <c r="C139"/>
      <c r="D139"/>
      <c r="E139"/>
      <c r="F139"/>
      <c r="G139"/>
    </row>
    <row r="140" spans="1:7" x14ac:dyDescent="0.3">
      <c r="A140"/>
      <c r="B140"/>
      <c r="C140"/>
      <c r="D140"/>
      <c r="E140"/>
      <c r="F140"/>
      <c r="G140"/>
    </row>
    <row r="141" spans="1:7" x14ac:dyDescent="0.3">
      <c r="A141"/>
      <c r="B141"/>
      <c r="C141"/>
      <c r="D141"/>
      <c r="E141"/>
      <c r="F141"/>
      <c r="G141"/>
    </row>
    <row r="142" spans="1:7" x14ac:dyDescent="0.3">
      <c r="A142"/>
      <c r="B142"/>
      <c r="C142"/>
      <c r="D142"/>
      <c r="E142"/>
      <c r="F142"/>
      <c r="G142"/>
    </row>
    <row r="143" spans="1:7" x14ac:dyDescent="0.3">
      <c r="A143"/>
      <c r="B143"/>
      <c r="C143"/>
      <c r="D143"/>
      <c r="E143"/>
      <c r="F143"/>
      <c r="G143"/>
    </row>
    <row r="144" spans="1:7" x14ac:dyDescent="0.3">
      <c r="A144"/>
      <c r="B144"/>
      <c r="C144"/>
      <c r="D144"/>
      <c r="E144"/>
      <c r="F144"/>
      <c r="G144"/>
    </row>
    <row r="145" spans="1:7" x14ac:dyDescent="0.3">
      <c r="A145"/>
      <c r="B145"/>
      <c r="C145"/>
      <c r="D145"/>
      <c r="E145"/>
      <c r="F145"/>
      <c r="G145"/>
    </row>
    <row r="146" spans="1:7" x14ac:dyDescent="0.3">
      <c r="A146"/>
      <c r="B146"/>
      <c r="C146"/>
      <c r="D146"/>
      <c r="E146"/>
      <c r="F146"/>
      <c r="G146"/>
    </row>
    <row r="147" spans="1:7" x14ac:dyDescent="0.3">
      <c r="A147"/>
      <c r="B147"/>
      <c r="C147"/>
      <c r="D147"/>
      <c r="E147"/>
      <c r="F147"/>
      <c r="G147"/>
    </row>
    <row r="148" spans="1:7" x14ac:dyDescent="0.3">
      <c r="A148"/>
      <c r="B148"/>
      <c r="C148"/>
      <c r="D148"/>
      <c r="E148"/>
      <c r="F148"/>
      <c r="G148"/>
    </row>
    <row r="149" spans="1:7" x14ac:dyDescent="0.3">
      <c r="A149"/>
      <c r="B149"/>
      <c r="C149"/>
      <c r="D149"/>
      <c r="E149"/>
      <c r="F149"/>
      <c r="G149"/>
    </row>
    <row r="150" spans="1:7" x14ac:dyDescent="0.3">
      <c r="A150"/>
      <c r="B150"/>
      <c r="C150"/>
      <c r="D150"/>
      <c r="E150"/>
      <c r="F150"/>
      <c r="G150"/>
    </row>
    <row r="151" spans="1:7" x14ac:dyDescent="0.3">
      <c r="A151"/>
      <c r="B151"/>
      <c r="C151"/>
      <c r="D151"/>
      <c r="E151"/>
      <c r="F151"/>
      <c r="G151"/>
    </row>
    <row r="152" spans="1:7" x14ac:dyDescent="0.3">
      <c r="A152"/>
      <c r="B152"/>
      <c r="C152"/>
      <c r="D152"/>
      <c r="E152"/>
      <c r="F152"/>
      <c r="G152"/>
    </row>
    <row r="153" spans="1:7" x14ac:dyDescent="0.3">
      <c r="A153"/>
      <c r="B153"/>
      <c r="C153"/>
      <c r="D153"/>
      <c r="E153"/>
      <c r="F153"/>
      <c r="G153"/>
    </row>
    <row r="154" spans="1:7" x14ac:dyDescent="0.3">
      <c r="A154"/>
      <c r="B154"/>
      <c r="C154"/>
      <c r="D154"/>
      <c r="E154"/>
      <c r="F154"/>
      <c r="G154"/>
    </row>
    <row r="155" spans="1:7" x14ac:dyDescent="0.3">
      <c r="A155"/>
      <c r="B155"/>
      <c r="C155"/>
      <c r="D155"/>
      <c r="E155"/>
      <c r="F155"/>
      <c r="G155"/>
    </row>
    <row r="156" spans="1:7" x14ac:dyDescent="0.3">
      <c r="A156"/>
      <c r="B156"/>
      <c r="C156"/>
      <c r="D156"/>
      <c r="E156"/>
      <c r="F156"/>
      <c r="G156"/>
    </row>
    <row r="157" spans="1:7" x14ac:dyDescent="0.3">
      <c r="A157"/>
      <c r="B157"/>
      <c r="C157"/>
      <c r="D157"/>
      <c r="E157"/>
      <c r="F157"/>
      <c r="G157"/>
    </row>
    <row r="158" spans="1:7" x14ac:dyDescent="0.3">
      <c r="A158"/>
      <c r="B158"/>
      <c r="C158"/>
      <c r="D158"/>
      <c r="E158"/>
      <c r="F158"/>
      <c r="G158"/>
    </row>
    <row r="159" spans="1:7" x14ac:dyDescent="0.3">
      <c r="A159"/>
      <c r="B159"/>
      <c r="C159"/>
      <c r="D159"/>
      <c r="E159"/>
      <c r="F159"/>
      <c r="G159"/>
    </row>
    <row r="160" spans="1:7" x14ac:dyDescent="0.3">
      <c r="A160"/>
      <c r="B160"/>
      <c r="C160"/>
      <c r="D160"/>
      <c r="E160"/>
      <c r="F160"/>
      <c r="G160"/>
    </row>
    <row r="161" spans="1:7" x14ac:dyDescent="0.3">
      <c r="A161"/>
      <c r="B161"/>
      <c r="C161"/>
      <c r="D161"/>
      <c r="E161"/>
      <c r="F161"/>
      <c r="G161"/>
    </row>
    <row r="162" spans="1:7" x14ac:dyDescent="0.3">
      <c r="A162"/>
      <c r="B162"/>
      <c r="C162"/>
      <c r="D162"/>
      <c r="E162"/>
      <c r="F162"/>
      <c r="G162"/>
    </row>
    <row r="163" spans="1:7" x14ac:dyDescent="0.3">
      <c r="A163"/>
      <c r="B163"/>
      <c r="C163"/>
      <c r="D163"/>
      <c r="E163"/>
      <c r="F163"/>
      <c r="G163"/>
    </row>
    <row r="164" spans="1:7" x14ac:dyDescent="0.3">
      <c r="A164"/>
      <c r="B164"/>
      <c r="C164"/>
      <c r="D164"/>
      <c r="E164"/>
      <c r="F164"/>
      <c r="G164"/>
    </row>
    <row r="165" spans="1:7" x14ac:dyDescent="0.3">
      <c r="A165"/>
      <c r="B165"/>
      <c r="C165"/>
      <c r="D165"/>
      <c r="E165"/>
      <c r="F165"/>
      <c r="G165"/>
    </row>
    <row r="166" spans="1:7" x14ac:dyDescent="0.3">
      <c r="A166"/>
      <c r="B166"/>
      <c r="C166"/>
      <c r="D166"/>
      <c r="E166"/>
      <c r="F166"/>
      <c r="G166"/>
    </row>
    <row r="167" spans="1:7" x14ac:dyDescent="0.3">
      <c r="A167"/>
      <c r="B167"/>
      <c r="C167"/>
      <c r="D167"/>
      <c r="E167"/>
      <c r="F167"/>
      <c r="G167"/>
    </row>
    <row r="168" spans="1:7" x14ac:dyDescent="0.3">
      <c r="A168"/>
      <c r="B168"/>
      <c r="C168"/>
      <c r="D168"/>
      <c r="E168"/>
      <c r="F168"/>
      <c r="G168"/>
    </row>
    <row r="169" spans="1:7" x14ac:dyDescent="0.3">
      <c r="A169"/>
      <c r="B169"/>
      <c r="C169"/>
      <c r="D169"/>
      <c r="E169"/>
      <c r="F169"/>
      <c r="G169"/>
    </row>
    <row r="170" spans="1:7" x14ac:dyDescent="0.3">
      <c r="A170"/>
      <c r="B170"/>
      <c r="C170"/>
      <c r="D170"/>
      <c r="E170"/>
      <c r="F170"/>
      <c r="G170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270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35" t="s">
        <v>160</v>
      </c>
      <c r="B3" s="36" t="s">
        <v>161</v>
      </c>
      <c r="C3" s="36" t="s">
        <v>162</v>
      </c>
      <c r="D3" s="36" t="s">
        <v>163</v>
      </c>
      <c r="E3" s="36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39" t="s">
        <v>271</v>
      </c>
      <c r="C4" s="40" t="s">
        <v>272</v>
      </c>
      <c r="D4" s="432">
        <v>1</v>
      </c>
      <c r="E4" s="432" t="s">
        <v>169</v>
      </c>
      <c r="F4" s="434">
        <f>H4</f>
        <v>12153.3</v>
      </c>
      <c r="G4" s="436">
        <f>F4*D4</f>
        <v>12153.3</v>
      </c>
      <c r="H4" s="48">
        <f>I4*'Prices without ATS'!$K$2</f>
        <v>12153.3</v>
      </c>
      <c r="I4" s="88">
        <v>2383</v>
      </c>
      <c r="J4" s="88"/>
      <c r="K4" s="88"/>
    </row>
    <row r="5" spans="1:11" ht="18" customHeight="1" x14ac:dyDescent="0.3">
      <c r="A5" s="45" t="s">
        <v>171</v>
      </c>
      <c r="B5" s="46" t="s">
        <v>273</v>
      </c>
      <c r="C5" s="47" t="s">
        <v>274</v>
      </c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46" t="s">
        <v>174</v>
      </c>
      <c r="C6" s="47" t="s">
        <v>175</v>
      </c>
      <c r="D6" s="49">
        <v>6</v>
      </c>
      <c r="E6" s="49" t="s">
        <v>176</v>
      </c>
      <c r="F6" s="49">
        <f>6.5/1.05</f>
        <v>6.1904761904761898</v>
      </c>
      <c r="G6" s="89">
        <f t="shared" ref="G6:G19" si="0">D6*F6</f>
        <v>37.142857142857139</v>
      </c>
    </row>
    <row r="7" spans="1:11" ht="18" customHeight="1" x14ac:dyDescent="0.3">
      <c r="A7" s="45" t="s">
        <v>177</v>
      </c>
      <c r="B7" s="46" t="s">
        <v>178</v>
      </c>
      <c r="C7" s="47" t="s">
        <v>179</v>
      </c>
      <c r="D7" s="49">
        <v>3</v>
      </c>
      <c r="E7" s="49" t="s">
        <v>176</v>
      </c>
      <c r="F7" s="49">
        <f>0.9/1.05</f>
        <v>0.8571428571428571</v>
      </c>
      <c r="G7" s="89">
        <f t="shared" si="0"/>
        <v>2.5714285714285712</v>
      </c>
    </row>
    <row r="8" spans="1:11" ht="18" customHeight="1" x14ac:dyDescent="0.3">
      <c r="A8" s="45" t="s">
        <v>180</v>
      </c>
      <c r="B8" s="46" t="s">
        <v>181</v>
      </c>
      <c r="C8" s="47" t="s">
        <v>182</v>
      </c>
      <c r="D8" s="49">
        <v>3</v>
      </c>
      <c r="E8" s="49" t="s">
        <v>176</v>
      </c>
      <c r="F8" s="49">
        <f>2.9/1.05</f>
        <v>2.7619047619047619</v>
      </c>
      <c r="G8" s="89">
        <f t="shared" si="0"/>
        <v>8.2857142857142847</v>
      </c>
    </row>
    <row r="9" spans="1:11" ht="18" customHeight="1" x14ac:dyDescent="0.3">
      <c r="A9" s="45" t="s">
        <v>183</v>
      </c>
      <c r="B9" s="46" t="s">
        <v>184</v>
      </c>
      <c r="C9" s="47" t="s">
        <v>185</v>
      </c>
      <c r="D9" s="48">
        <v>1</v>
      </c>
      <c r="E9" s="49" t="s">
        <v>169</v>
      </c>
      <c r="F9" s="48">
        <v>31.237523809523811</v>
      </c>
      <c r="G9" s="90">
        <f t="shared" si="0"/>
        <v>31.237523809523811</v>
      </c>
    </row>
    <row r="10" spans="1:11" ht="18" customHeight="1" x14ac:dyDescent="0.3">
      <c r="A10" s="45" t="s">
        <v>186</v>
      </c>
      <c r="B10" s="46" t="s">
        <v>275</v>
      </c>
      <c r="C10" s="47" t="s">
        <v>188</v>
      </c>
      <c r="D10" s="48">
        <v>1</v>
      </c>
      <c r="E10" s="49" t="s">
        <v>169</v>
      </c>
      <c r="F10" s="48">
        <v>565.43752380952378</v>
      </c>
      <c r="G10" s="90">
        <f t="shared" si="0"/>
        <v>565.43752380952378</v>
      </c>
    </row>
    <row r="11" spans="1:11" ht="18" customHeight="1" x14ac:dyDescent="0.3">
      <c r="A11" s="45" t="s">
        <v>189</v>
      </c>
      <c r="B11" s="46" t="s">
        <v>190</v>
      </c>
      <c r="C11" s="47" t="s">
        <v>191</v>
      </c>
      <c r="D11" s="48">
        <v>4</v>
      </c>
      <c r="E11" s="49" t="s">
        <v>169</v>
      </c>
      <c r="F11" s="48">
        <f>17.7/1.05</f>
        <v>16.857142857142854</v>
      </c>
      <c r="G11" s="90">
        <f t="shared" si="0"/>
        <v>67.428571428571416</v>
      </c>
    </row>
    <row r="12" spans="1:11" ht="18" customHeight="1" x14ac:dyDescent="0.3">
      <c r="A12" s="45" t="s">
        <v>192</v>
      </c>
      <c r="B12" s="46" t="s">
        <v>193</v>
      </c>
      <c r="C12" s="47" t="s">
        <v>194</v>
      </c>
      <c r="D12" s="48">
        <v>1</v>
      </c>
      <c r="E12" s="49" t="s">
        <v>169</v>
      </c>
      <c r="F12" s="48">
        <v>743.00666666666677</v>
      </c>
      <c r="G12" s="90">
        <f t="shared" si="0"/>
        <v>743.00666666666677</v>
      </c>
    </row>
    <row r="13" spans="1:11" ht="18" customHeight="1" x14ac:dyDescent="0.3">
      <c r="A13" s="45" t="s">
        <v>195</v>
      </c>
      <c r="B13" s="46" t="s">
        <v>276</v>
      </c>
      <c r="C13" s="47" t="s">
        <v>188</v>
      </c>
      <c r="D13" s="49">
        <v>1</v>
      </c>
      <c r="E13" s="49" t="s">
        <v>169</v>
      </c>
      <c r="F13" s="49">
        <v>72.938095238095229</v>
      </c>
      <c r="G13" s="90">
        <f t="shared" si="0"/>
        <v>72.938095238095229</v>
      </c>
    </row>
    <row r="14" spans="1:11" ht="18" customHeight="1" x14ac:dyDescent="0.3">
      <c r="A14" s="45" t="s">
        <v>197</v>
      </c>
      <c r="B14" s="46" t="s">
        <v>198</v>
      </c>
      <c r="C14" s="47" t="s">
        <v>199</v>
      </c>
      <c r="D14" s="48">
        <v>0.8</v>
      </c>
      <c r="E14" s="49" t="s">
        <v>200</v>
      </c>
      <c r="F14" s="48">
        <v>13.8</v>
      </c>
      <c r="G14" s="50">
        <f t="shared" si="0"/>
        <v>11.040000000000001</v>
      </c>
    </row>
    <row r="15" spans="1:11" ht="18" customHeight="1" x14ac:dyDescent="0.3">
      <c r="A15" s="45" t="s">
        <v>201</v>
      </c>
      <c r="B15" s="46" t="s">
        <v>202</v>
      </c>
      <c r="C15" s="47" t="s">
        <v>203</v>
      </c>
      <c r="D15" s="48">
        <v>0.8</v>
      </c>
      <c r="E15" s="49" t="s">
        <v>200</v>
      </c>
      <c r="F15" s="48">
        <v>13.81</v>
      </c>
      <c r="G15" s="50">
        <f t="shared" si="0"/>
        <v>11.048000000000002</v>
      </c>
    </row>
    <row r="16" spans="1:11" ht="18" customHeight="1" x14ac:dyDescent="0.3">
      <c r="A16" s="45" t="s">
        <v>204</v>
      </c>
      <c r="B16" s="46" t="s">
        <v>205</v>
      </c>
      <c r="C16" s="47" t="s">
        <v>206</v>
      </c>
      <c r="D16" s="48">
        <v>0.3</v>
      </c>
      <c r="E16" s="49" t="s">
        <v>200</v>
      </c>
      <c r="F16" s="48">
        <v>3.42</v>
      </c>
      <c r="G16" s="50">
        <f t="shared" si="0"/>
        <v>1.026</v>
      </c>
    </row>
    <row r="17" spans="1:7" ht="18" customHeight="1" x14ac:dyDescent="0.3">
      <c r="A17" s="45" t="s">
        <v>207</v>
      </c>
      <c r="B17" s="46" t="s">
        <v>208</v>
      </c>
      <c r="C17" s="47" t="s">
        <v>209</v>
      </c>
      <c r="D17" s="48">
        <v>1</v>
      </c>
      <c r="E17" s="49" t="s">
        <v>169</v>
      </c>
      <c r="F17" s="48">
        <f>141.75/1.05</f>
        <v>135</v>
      </c>
      <c r="G17" s="50">
        <f t="shared" si="0"/>
        <v>135</v>
      </c>
    </row>
    <row r="18" spans="1:7" ht="18" customHeight="1" x14ac:dyDescent="0.3">
      <c r="A18" s="45" t="s">
        <v>210</v>
      </c>
      <c r="B18" s="52" t="s">
        <v>211</v>
      </c>
      <c r="C18" s="47" t="s">
        <v>212</v>
      </c>
      <c r="D18" s="49">
        <v>4</v>
      </c>
      <c r="E18" s="47" t="s">
        <v>200</v>
      </c>
      <c r="F18" s="48">
        <v>2.64</v>
      </c>
      <c r="G18" s="50">
        <f t="shared" si="0"/>
        <v>10.56</v>
      </c>
    </row>
    <row r="19" spans="1:7" ht="18" customHeight="1" x14ac:dyDescent="0.3">
      <c r="A19" s="45" t="s">
        <v>213</v>
      </c>
      <c r="B19" s="52" t="s">
        <v>214</v>
      </c>
      <c r="C19" s="47" t="s">
        <v>215</v>
      </c>
      <c r="D19" s="48">
        <v>3</v>
      </c>
      <c r="E19" s="47" t="s">
        <v>169</v>
      </c>
      <c r="F19" s="48">
        <v>18.09</v>
      </c>
      <c r="G19" s="50">
        <f t="shared" si="0"/>
        <v>54.269999999999996</v>
      </c>
    </row>
    <row r="20" spans="1:7" ht="18" customHeight="1" x14ac:dyDescent="0.3">
      <c r="A20" s="45" t="s">
        <v>216</v>
      </c>
      <c r="B20" s="46" t="s">
        <v>217</v>
      </c>
      <c r="C20" s="47" t="s">
        <v>218</v>
      </c>
      <c r="D20" s="48">
        <v>1</v>
      </c>
      <c r="E20" s="49" t="s">
        <v>169</v>
      </c>
      <c r="F20" s="48">
        <v>28.82</v>
      </c>
      <c r="G20" s="50">
        <f>D20*F20</f>
        <v>28.82</v>
      </c>
    </row>
    <row r="21" spans="1:7" ht="18" customHeight="1" thickBot="1" x14ac:dyDescent="0.35">
      <c r="A21" s="53" t="s">
        <v>219</v>
      </c>
      <c r="B21" s="54" t="s">
        <v>220</v>
      </c>
      <c r="C21" s="55" t="s">
        <v>188</v>
      </c>
      <c r="D21" s="56">
        <v>1</v>
      </c>
      <c r="E21" s="57" t="s">
        <v>169</v>
      </c>
      <c r="F21" s="56">
        <v>240.4</v>
      </c>
      <c r="G21" s="58">
        <f>D21*F21</f>
        <v>240.4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>
        <f>H4*0.05</f>
        <v>607.66499999999996</v>
      </c>
      <c r="G22" s="63">
        <f>F22*D22</f>
        <v>607.66499999999996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5500/72</f>
        <v>76.388888888888886</v>
      </c>
      <c r="G23" s="68">
        <f>F23*D23</f>
        <v>76.388888888888886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425.3655</v>
      </c>
      <c r="G24" s="68">
        <f>F24*D24</f>
        <v>425.3655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3000/72</f>
        <v>41.666666666666664</v>
      </c>
      <c r="G25" s="72">
        <f>F25*D25</f>
        <v>41.666666666666664</v>
      </c>
    </row>
    <row r="26" spans="1:7" ht="18" customHeight="1" x14ac:dyDescent="0.3">
      <c r="A26" s="73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38" t="s">
        <v>265</v>
      </c>
      <c r="B27" s="439"/>
      <c r="C27" s="439"/>
      <c r="D27" s="439"/>
      <c r="E27" s="439"/>
      <c r="F27" s="439"/>
      <c r="G27" s="91">
        <f>SUM(G3:G26)</f>
        <v>15324.598436507935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50</v>
      </c>
      <c r="G46" s="84">
        <f>D46*F46</f>
        <v>50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1522.7285714285715</v>
      </c>
    </row>
    <row r="48" spans="1:7" ht="18" customHeight="1" thickBot="1" x14ac:dyDescent="0.35"/>
    <row r="49" spans="1:7" ht="18" hidden="1" customHeight="1" x14ac:dyDescent="0.3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16847.327007936507</v>
      </c>
    </row>
    <row r="53" spans="1:7" x14ac:dyDescent="0.3">
      <c r="A53" t="s">
        <v>259</v>
      </c>
      <c r="B53" s="4">
        <v>43450</v>
      </c>
    </row>
    <row r="55" spans="1:7" x14ac:dyDescent="0.3">
      <c r="A55"/>
      <c r="B55"/>
      <c r="C55"/>
      <c r="D55"/>
      <c r="E55"/>
      <c r="F55"/>
      <c r="G55"/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zoomScaleNormal="100" workbookViewId="0">
      <selection activeCell="I5" sqref="I5"/>
    </sheetView>
  </sheetViews>
  <sheetFormatPr defaultColWidth="9.109375" defaultRowHeight="14.4" x14ac:dyDescent="0.3"/>
  <cols>
    <col min="1" max="1" width="4" style="34" customWidth="1"/>
    <col min="2" max="2" width="49.6640625" style="34" customWidth="1"/>
    <col min="3" max="3" width="17.33203125" style="34" customWidth="1"/>
    <col min="4" max="4" width="11.88671875" style="34" customWidth="1"/>
    <col min="5" max="5" width="12" style="34" customWidth="1"/>
    <col min="6" max="6" width="11" style="34" customWidth="1"/>
    <col min="7" max="7" width="13.109375" style="34" customWidth="1"/>
    <col min="8" max="16384" width="9.109375" style="34"/>
  </cols>
  <sheetData>
    <row r="1" spans="1:11" ht="18" customHeight="1" thickTop="1" thickBot="1" x14ac:dyDescent="0.35">
      <c r="A1" s="422" t="s">
        <v>277</v>
      </c>
      <c r="B1" s="422"/>
      <c r="C1" s="422"/>
      <c r="D1" s="422"/>
      <c r="E1" s="422"/>
      <c r="F1" s="422"/>
      <c r="G1" s="422"/>
    </row>
    <row r="2" spans="1:11" ht="18" customHeight="1" thickTop="1" thickBot="1" x14ac:dyDescent="0.35"/>
    <row r="3" spans="1:11" ht="18" customHeight="1" thickBot="1" x14ac:dyDescent="0.35">
      <c r="A3" s="35" t="s">
        <v>160</v>
      </c>
      <c r="B3" s="36" t="s">
        <v>161</v>
      </c>
      <c r="C3" s="36" t="s">
        <v>162</v>
      </c>
      <c r="D3" s="36" t="s">
        <v>163</v>
      </c>
      <c r="E3" s="36" t="s">
        <v>164</v>
      </c>
      <c r="F3" s="36" t="s">
        <v>165</v>
      </c>
      <c r="G3" s="37" t="s">
        <v>166</v>
      </c>
      <c r="H3" s="49" t="s">
        <v>2</v>
      </c>
      <c r="I3" s="87" t="s">
        <v>261</v>
      </c>
      <c r="J3" s="88"/>
      <c r="K3" s="88"/>
    </row>
    <row r="4" spans="1:11" ht="18" customHeight="1" x14ac:dyDescent="0.3">
      <c r="A4" s="38" t="s">
        <v>167</v>
      </c>
      <c r="B4" s="39" t="s">
        <v>278</v>
      </c>
      <c r="C4" s="40"/>
      <c r="D4" s="432">
        <v>1</v>
      </c>
      <c r="E4" s="432" t="s">
        <v>169</v>
      </c>
      <c r="F4" s="434">
        <f>H4</f>
        <v>15157.199999999999</v>
      </c>
      <c r="G4" s="436">
        <f>F4*D4</f>
        <v>15157.199999999999</v>
      </c>
      <c r="H4" s="48">
        <f>I4*'Prices without ATS'!$K$2</f>
        <v>15157.199999999999</v>
      </c>
      <c r="I4" s="88">
        <v>2972</v>
      </c>
      <c r="J4" s="88"/>
      <c r="K4" s="88"/>
    </row>
    <row r="5" spans="1:11" ht="18" customHeight="1" x14ac:dyDescent="0.3">
      <c r="A5" s="45" t="s">
        <v>171</v>
      </c>
      <c r="B5" s="46" t="s">
        <v>279</v>
      </c>
      <c r="C5" s="47"/>
      <c r="D5" s="433"/>
      <c r="E5" s="433"/>
      <c r="F5" s="435"/>
      <c r="G5" s="437"/>
      <c r="I5" s="88"/>
      <c r="J5" s="88"/>
      <c r="K5" s="88"/>
    </row>
    <row r="6" spans="1:11" ht="18" customHeight="1" x14ac:dyDescent="0.3">
      <c r="A6" s="45" t="s">
        <v>173</v>
      </c>
      <c r="B6" s="46" t="s">
        <v>174</v>
      </c>
      <c r="C6" s="47" t="s">
        <v>175</v>
      </c>
      <c r="D6" s="49">
        <v>10.6</v>
      </c>
      <c r="E6" s="49" t="s">
        <v>176</v>
      </c>
      <c r="F6" s="49">
        <f>6.5/1.05</f>
        <v>6.1904761904761898</v>
      </c>
      <c r="G6" s="89">
        <f t="shared" ref="G6:G19" si="0">D6*F6</f>
        <v>65.619047619047606</v>
      </c>
    </row>
    <row r="7" spans="1:11" ht="18" customHeight="1" x14ac:dyDescent="0.3">
      <c r="A7" s="45" t="s">
        <v>177</v>
      </c>
      <c r="B7" s="46" t="s">
        <v>178</v>
      </c>
      <c r="C7" s="47" t="s">
        <v>179</v>
      </c>
      <c r="D7" s="49">
        <v>4</v>
      </c>
      <c r="E7" s="49" t="s">
        <v>176</v>
      </c>
      <c r="F7" s="49">
        <f>0.9/1.05</f>
        <v>0.8571428571428571</v>
      </c>
      <c r="G7" s="89">
        <f t="shared" si="0"/>
        <v>3.4285714285714284</v>
      </c>
    </row>
    <row r="8" spans="1:11" ht="18" customHeight="1" x14ac:dyDescent="0.3">
      <c r="A8" s="45" t="s">
        <v>180</v>
      </c>
      <c r="B8" s="46" t="s">
        <v>181</v>
      </c>
      <c r="C8" s="47" t="s">
        <v>182</v>
      </c>
      <c r="D8" s="49">
        <v>3</v>
      </c>
      <c r="E8" s="49" t="s">
        <v>176</v>
      </c>
      <c r="F8" s="49">
        <f>2.9/1.05</f>
        <v>2.7619047619047619</v>
      </c>
      <c r="G8" s="89">
        <f t="shared" si="0"/>
        <v>8.2857142857142847</v>
      </c>
    </row>
    <row r="9" spans="1:11" ht="18" customHeight="1" x14ac:dyDescent="0.3">
      <c r="A9" s="45" t="s">
        <v>183</v>
      </c>
      <c r="B9" s="46" t="s">
        <v>184</v>
      </c>
      <c r="C9" s="47" t="s">
        <v>185</v>
      </c>
      <c r="D9" s="48">
        <v>1</v>
      </c>
      <c r="E9" s="49" t="s">
        <v>169</v>
      </c>
      <c r="F9" s="48">
        <v>31.237523809523811</v>
      </c>
      <c r="G9" s="90">
        <f t="shared" si="0"/>
        <v>31.237523809523811</v>
      </c>
    </row>
    <row r="10" spans="1:11" ht="18" customHeight="1" x14ac:dyDescent="0.3">
      <c r="A10" s="45" t="s">
        <v>186</v>
      </c>
      <c r="B10" s="46" t="s">
        <v>275</v>
      </c>
      <c r="C10" s="47" t="s">
        <v>188</v>
      </c>
      <c r="D10" s="48">
        <v>1</v>
      </c>
      <c r="E10" s="49" t="s">
        <v>169</v>
      </c>
      <c r="F10" s="48">
        <v>565.43752380952378</v>
      </c>
      <c r="G10" s="90">
        <f t="shared" si="0"/>
        <v>565.43752380952378</v>
      </c>
    </row>
    <row r="11" spans="1:11" ht="18" customHeight="1" x14ac:dyDescent="0.3">
      <c r="A11" s="45" t="s">
        <v>189</v>
      </c>
      <c r="B11" s="46" t="s">
        <v>190</v>
      </c>
      <c r="C11" s="47" t="s">
        <v>191</v>
      </c>
      <c r="D11" s="48">
        <v>4</v>
      </c>
      <c r="E11" s="49" t="s">
        <v>169</v>
      </c>
      <c r="F11" s="48">
        <f>17.7/1.05</f>
        <v>16.857142857142854</v>
      </c>
      <c r="G11" s="90">
        <f t="shared" si="0"/>
        <v>67.428571428571416</v>
      </c>
    </row>
    <row r="12" spans="1:11" ht="18" customHeight="1" x14ac:dyDescent="0.3">
      <c r="A12" s="45" t="s">
        <v>192</v>
      </c>
      <c r="B12" s="46" t="s">
        <v>193</v>
      </c>
      <c r="C12" s="47" t="s">
        <v>194</v>
      </c>
      <c r="D12" s="48">
        <v>1</v>
      </c>
      <c r="E12" s="49" t="s">
        <v>169</v>
      </c>
      <c r="F12" s="48">
        <v>743.00666666666677</v>
      </c>
      <c r="G12" s="90">
        <f t="shared" si="0"/>
        <v>743.00666666666677</v>
      </c>
    </row>
    <row r="13" spans="1:11" ht="18" customHeight="1" x14ac:dyDescent="0.3">
      <c r="A13" s="45" t="s">
        <v>195</v>
      </c>
      <c r="B13" s="46" t="s">
        <v>280</v>
      </c>
      <c r="C13" s="47" t="s">
        <v>188</v>
      </c>
      <c r="D13" s="49">
        <v>1</v>
      </c>
      <c r="E13" s="49" t="s">
        <v>169</v>
      </c>
      <c r="F13" s="49">
        <v>72.938095238095229</v>
      </c>
      <c r="G13" s="90">
        <f t="shared" si="0"/>
        <v>72.938095238095229</v>
      </c>
    </row>
    <row r="14" spans="1:11" ht="18" customHeight="1" x14ac:dyDescent="0.3">
      <c r="A14" s="45" t="s">
        <v>197</v>
      </c>
      <c r="B14" s="46" t="s">
        <v>198</v>
      </c>
      <c r="C14" s="47" t="s">
        <v>199</v>
      </c>
      <c r="D14" s="48">
        <v>0.8</v>
      </c>
      <c r="E14" s="49" t="s">
        <v>200</v>
      </c>
      <c r="F14" s="48">
        <v>13.8</v>
      </c>
      <c r="G14" s="90">
        <f t="shared" si="0"/>
        <v>11.040000000000001</v>
      </c>
    </row>
    <row r="15" spans="1:11" ht="18" customHeight="1" x14ac:dyDescent="0.3">
      <c r="A15" s="45" t="s">
        <v>201</v>
      </c>
      <c r="B15" s="46" t="s">
        <v>202</v>
      </c>
      <c r="C15" s="47" t="s">
        <v>203</v>
      </c>
      <c r="D15" s="48">
        <v>0.8</v>
      </c>
      <c r="E15" s="49" t="s">
        <v>200</v>
      </c>
      <c r="F15" s="48">
        <v>13.81</v>
      </c>
      <c r="G15" s="90">
        <f t="shared" si="0"/>
        <v>11.048000000000002</v>
      </c>
    </row>
    <row r="16" spans="1:11" ht="18" customHeight="1" x14ac:dyDescent="0.3">
      <c r="A16" s="45" t="s">
        <v>204</v>
      </c>
      <c r="B16" s="46" t="s">
        <v>205</v>
      </c>
      <c r="C16" s="47" t="s">
        <v>206</v>
      </c>
      <c r="D16" s="48">
        <v>0.3</v>
      </c>
      <c r="E16" s="49" t="s">
        <v>200</v>
      </c>
      <c r="F16" s="48">
        <v>3.42</v>
      </c>
      <c r="G16" s="90">
        <f t="shared" si="0"/>
        <v>1.026</v>
      </c>
    </row>
    <row r="17" spans="1:7" ht="18" customHeight="1" x14ac:dyDescent="0.3">
      <c r="A17" s="45" t="s">
        <v>207</v>
      </c>
      <c r="B17" s="46" t="s">
        <v>208</v>
      </c>
      <c r="C17" s="47" t="s">
        <v>209</v>
      </c>
      <c r="D17" s="48">
        <v>1</v>
      </c>
      <c r="E17" s="49" t="s">
        <v>169</v>
      </c>
      <c r="F17" s="48">
        <f>141.75/1.05</f>
        <v>135</v>
      </c>
      <c r="G17" s="50">
        <f t="shared" si="0"/>
        <v>135</v>
      </c>
    </row>
    <row r="18" spans="1:7" ht="18" customHeight="1" x14ac:dyDescent="0.3">
      <c r="A18" s="45" t="s">
        <v>210</v>
      </c>
      <c r="B18" s="52" t="s">
        <v>211</v>
      </c>
      <c r="C18" s="47" t="s">
        <v>212</v>
      </c>
      <c r="D18" s="49">
        <v>4</v>
      </c>
      <c r="E18" s="47" t="s">
        <v>200</v>
      </c>
      <c r="F18" s="48">
        <v>2.64</v>
      </c>
      <c r="G18" s="50">
        <f t="shared" si="0"/>
        <v>10.56</v>
      </c>
    </row>
    <row r="19" spans="1:7" ht="18" customHeight="1" x14ac:dyDescent="0.3">
      <c r="A19" s="45" t="s">
        <v>213</v>
      </c>
      <c r="B19" s="52" t="s">
        <v>214</v>
      </c>
      <c r="C19" s="47" t="s">
        <v>215</v>
      </c>
      <c r="D19" s="48">
        <v>3</v>
      </c>
      <c r="E19" s="47" t="s">
        <v>169</v>
      </c>
      <c r="F19" s="48">
        <v>18.09</v>
      </c>
      <c r="G19" s="50">
        <f t="shared" si="0"/>
        <v>54.269999999999996</v>
      </c>
    </row>
    <row r="20" spans="1:7" ht="18" customHeight="1" x14ac:dyDescent="0.3">
      <c r="A20" s="45" t="s">
        <v>216</v>
      </c>
      <c r="B20" s="46" t="s">
        <v>217</v>
      </c>
      <c r="C20" s="47" t="s">
        <v>218</v>
      </c>
      <c r="D20" s="48">
        <v>1</v>
      </c>
      <c r="E20" s="49" t="s">
        <v>169</v>
      </c>
      <c r="F20" s="48">
        <v>28.82</v>
      </c>
      <c r="G20" s="50">
        <f>D20*F20</f>
        <v>28.82</v>
      </c>
    </row>
    <row r="21" spans="1:7" ht="18" customHeight="1" thickBot="1" x14ac:dyDescent="0.35">
      <c r="A21" s="53" t="s">
        <v>219</v>
      </c>
      <c r="B21" s="54" t="s">
        <v>220</v>
      </c>
      <c r="C21" s="55" t="s">
        <v>188</v>
      </c>
      <c r="D21" s="56">
        <v>1</v>
      </c>
      <c r="E21" s="57" t="s">
        <v>169</v>
      </c>
      <c r="F21" s="56">
        <v>240.4</v>
      </c>
      <c r="G21" s="58">
        <f>D21*F21</f>
        <v>240.4</v>
      </c>
    </row>
    <row r="22" spans="1:7" ht="18" customHeight="1" x14ac:dyDescent="0.3">
      <c r="A22" s="45" t="s">
        <v>221</v>
      </c>
      <c r="B22" s="59" t="s">
        <v>222</v>
      </c>
      <c r="C22" s="60" t="s">
        <v>188</v>
      </c>
      <c r="D22" s="61">
        <v>1</v>
      </c>
      <c r="E22" s="62"/>
      <c r="F22" s="62">
        <f>H4*0.05</f>
        <v>757.86</v>
      </c>
      <c r="G22" s="63">
        <f>F22*D22</f>
        <v>757.86</v>
      </c>
    </row>
    <row r="23" spans="1:7" ht="18" customHeight="1" x14ac:dyDescent="0.3">
      <c r="A23" s="53" t="s">
        <v>223</v>
      </c>
      <c r="B23" s="64" t="s">
        <v>224</v>
      </c>
      <c r="C23" s="65" t="s">
        <v>188</v>
      </c>
      <c r="D23" s="66">
        <v>1</v>
      </c>
      <c r="E23" s="67"/>
      <c r="F23" s="67">
        <f>5500/64</f>
        <v>85.9375</v>
      </c>
      <c r="G23" s="68">
        <f>F23*D23</f>
        <v>85.9375</v>
      </c>
    </row>
    <row r="24" spans="1:7" ht="18" customHeight="1" x14ac:dyDescent="0.3">
      <c r="A24" s="45" t="s">
        <v>225</v>
      </c>
      <c r="B24" s="69" t="s">
        <v>226</v>
      </c>
      <c r="C24" s="47" t="s">
        <v>188</v>
      </c>
      <c r="D24" s="48">
        <v>1</v>
      </c>
      <c r="E24" s="67"/>
      <c r="F24" s="67">
        <f>H4*0.035</f>
        <v>530.50200000000007</v>
      </c>
      <c r="G24" s="68">
        <f>F24*D24</f>
        <v>530.50200000000007</v>
      </c>
    </row>
    <row r="25" spans="1:7" ht="18" customHeight="1" x14ac:dyDescent="0.3">
      <c r="A25" s="53" t="s">
        <v>227</v>
      </c>
      <c r="B25" s="70" t="s">
        <v>228</v>
      </c>
      <c r="C25" s="47" t="s">
        <v>188</v>
      </c>
      <c r="D25" s="48">
        <v>1</v>
      </c>
      <c r="E25" s="71"/>
      <c r="F25" s="71">
        <f>3000/64</f>
        <v>46.875</v>
      </c>
      <c r="G25" s="72">
        <f>F25*D25</f>
        <v>46.875</v>
      </c>
    </row>
    <row r="26" spans="1:7" ht="18" customHeight="1" x14ac:dyDescent="0.3">
      <c r="A26" s="73"/>
      <c r="B26" s="64"/>
      <c r="C26" s="47"/>
      <c r="D26" s="48"/>
      <c r="E26" s="29"/>
      <c r="F26" s="74"/>
      <c r="G26" s="75"/>
    </row>
    <row r="27" spans="1:7" ht="18" customHeight="1" thickBot="1" x14ac:dyDescent="0.35">
      <c r="A27" s="440" t="s">
        <v>265</v>
      </c>
      <c r="B27" s="441"/>
      <c r="C27" s="441"/>
      <c r="D27" s="441"/>
      <c r="E27" s="441"/>
      <c r="F27" s="442"/>
      <c r="G27" s="91">
        <f>SUM(G3:G26)</f>
        <v>18627.920214285718</v>
      </c>
    </row>
    <row r="28" spans="1:7" ht="18" customHeight="1" thickBot="1" x14ac:dyDescent="0.35"/>
    <row r="29" spans="1:7" ht="18" customHeight="1" thickTop="1" thickBot="1" x14ac:dyDescent="0.35">
      <c r="A29" s="422" t="s">
        <v>230</v>
      </c>
      <c r="B29" s="422"/>
      <c r="C29" s="422"/>
      <c r="D29" s="422"/>
      <c r="E29" s="422"/>
      <c r="F29" s="422"/>
      <c r="G29" s="422"/>
    </row>
    <row r="30" spans="1:7" ht="18" customHeight="1" thickTop="1" thickBot="1" x14ac:dyDescent="0.35"/>
    <row r="31" spans="1:7" ht="18" customHeight="1" thickBot="1" x14ac:dyDescent="0.35">
      <c r="A31" s="77" t="s">
        <v>160</v>
      </c>
      <c r="B31" s="78" t="s">
        <v>231</v>
      </c>
      <c r="C31" s="78" t="s">
        <v>232</v>
      </c>
      <c r="D31" s="78" t="s">
        <v>163</v>
      </c>
      <c r="E31" s="78" t="s">
        <v>164</v>
      </c>
      <c r="F31" s="78" t="s">
        <v>165</v>
      </c>
      <c r="G31" s="79" t="s">
        <v>166</v>
      </c>
    </row>
    <row r="32" spans="1:7" ht="18" customHeight="1" x14ac:dyDescent="0.3">
      <c r="A32" s="80">
        <v>1</v>
      </c>
      <c r="B32" s="39" t="s">
        <v>233</v>
      </c>
      <c r="C32" s="40" t="s">
        <v>188</v>
      </c>
      <c r="D32" s="42">
        <v>1</v>
      </c>
      <c r="E32" s="42" t="s">
        <v>169</v>
      </c>
      <c r="F32" s="42">
        <v>0</v>
      </c>
      <c r="G32" s="81">
        <f>D32*F32</f>
        <v>0</v>
      </c>
    </row>
    <row r="33" spans="1:7" ht="18" customHeight="1" x14ac:dyDescent="0.3">
      <c r="A33" s="82">
        <v>2</v>
      </c>
      <c r="B33" s="46" t="s">
        <v>234</v>
      </c>
      <c r="C33" s="47" t="s">
        <v>188</v>
      </c>
      <c r="D33" s="49">
        <v>0</v>
      </c>
      <c r="E33" s="49" t="s">
        <v>169</v>
      </c>
      <c r="F33" s="49">
        <v>0</v>
      </c>
      <c r="G33" s="51">
        <f>D33*F33</f>
        <v>0</v>
      </c>
    </row>
    <row r="34" spans="1:7" ht="18" customHeight="1" x14ac:dyDescent="0.3">
      <c r="A34" s="82">
        <v>3</v>
      </c>
      <c r="B34" s="46" t="s">
        <v>235</v>
      </c>
      <c r="C34" s="47" t="s">
        <v>188</v>
      </c>
      <c r="D34" s="49">
        <v>0</v>
      </c>
      <c r="E34" s="49" t="s">
        <v>169</v>
      </c>
      <c r="F34" s="49">
        <v>0</v>
      </c>
      <c r="G34" s="51">
        <f t="shared" ref="G34:G45" si="1">D34*F34</f>
        <v>0</v>
      </c>
    </row>
    <row r="35" spans="1:7" ht="18" customHeight="1" x14ac:dyDescent="0.3">
      <c r="A35" s="82">
        <v>4</v>
      </c>
      <c r="B35" s="46" t="s">
        <v>236</v>
      </c>
      <c r="C35" s="47">
        <v>25010001</v>
      </c>
      <c r="D35" s="49">
        <v>1</v>
      </c>
      <c r="E35" s="49" t="s">
        <v>169</v>
      </c>
      <c r="F35" s="49">
        <v>1210</v>
      </c>
      <c r="G35" s="51">
        <f t="shared" si="1"/>
        <v>1210</v>
      </c>
    </row>
    <row r="36" spans="1:7" ht="18" customHeight="1" x14ac:dyDescent="0.3">
      <c r="A36" s="82">
        <v>5</v>
      </c>
      <c r="B36" s="46" t="s">
        <v>237</v>
      </c>
      <c r="C36" s="47" t="s">
        <v>238</v>
      </c>
      <c r="D36" s="49">
        <v>1</v>
      </c>
      <c r="E36" s="49" t="s">
        <v>169</v>
      </c>
      <c r="F36" s="49">
        <f>115/1.05</f>
        <v>109.52380952380952</v>
      </c>
      <c r="G36" s="51">
        <f t="shared" si="1"/>
        <v>109.52380952380952</v>
      </c>
    </row>
    <row r="37" spans="1:7" ht="18" customHeight="1" x14ac:dyDescent="0.3">
      <c r="A37" s="82">
        <v>6</v>
      </c>
      <c r="B37" s="46" t="s">
        <v>239</v>
      </c>
      <c r="C37" s="47" t="s">
        <v>240</v>
      </c>
      <c r="D37" s="49">
        <v>1</v>
      </c>
      <c r="E37" s="49" t="s">
        <v>169</v>
      </c>
      <c r="F37" s="49">
        <v>12</v>
      </c>
      <c r="G37" s="51">
        <f t="shared" si="1"/>
        <v>12</v>
      </c>
    </row>
    <row r="38" spans="1:7" ht="18" customHeight="1" x14ac:dyDescent="0.3">
      <c r="A38" s="82">
        <v>7</v>
      </c>
      <c r="B38" s="46" t="s">
        <v>241</v>
      </c>
      <c r="C38" s="47" t="s">
        <v>242</v>
      </c>
      <c r="D38" s="49">
        <v>1</v>
      </c>
      <c r="E38" s="49" t="s">
        <v>169</v>
      </c>
      <c r="F38" s="49">
        <v>35</v>
      </c>
      <c r="G38" s="51">
        <f t="shared" si="1"/>
        <v>35</v>
      </c>
    </row>
    <row r="39" spans="1:7" ht="18" customHeight="1" x14ac:dyDescent="0.3">
      <c r="A39" s="82">
        <v>8</v>
      </c>
      <c r="B39" s="46" t="s">
        <v>243</v>
      </c>
      <c r="C39" s="47" t="s">
        <v>244</v>
      </c>
      <c r="D39" s="49">
        <v>3</v>
      </c>
      <c r="E39" s="49" t="s">
        <v>169</v>
      </c>
      <c r="F39" s="49">
        <f>11.55/1.05</f>
        <v>11</v>
      </c>
      <c r="G39" s="51">
        <f t="shared" si="1"/>
        <v>33</v>
      </c>
    </row>
    <row r="40" spans="1:7" ht="18" customHeight="1" x14ac:dyDescent="0.3">
      <c r="A40" s="82">
        <v>9</v>
      </c>
      <c r="B40" s="46" t="s">
        <v>245</v>
      </c>
      <c r="C40" s="47" t="s">
        <v>246</v>
      </c>
      <c r="D40" s="49">
        <v>3</v>
      </c>
      <c r="E40" s="49" t="s">
        <v>169</v>
      </c>
      <c r="F40" s="49">
        <f>6.83/1.05</f>
        <v>6.5047619047619047</v>
      </c>
      <c r="G40" s="51">
        <f t="shared" si="1"/>
        <v>19.514285714285712</v>
      </c>
    </row>
    <row r="41" spans="1:7" ht="18" customHeight="1" x14ac:dyDescent="0.3">
      <c r="A41" s="82">
        <v>10</v>
      </c>
      <c r="B41" s="46" t="s">
        <v>247</v>
      </c>
      <c r="C41" s="47" t="s">
        <v>188</v>
      </c>
      <c r="D41" s="49">
        <v>0</v>
      </c>
      <c r="E41" s="49" t="s">
        <v>169</v>
      </c>
      <c r="F41" s="49">
        <v>0</v>
      </c>
      <c r="G41" s="51">
        <f t="shared" si="1"/>
        <v>0</v>
      </c>
    </row>
    <row r="42" spans="1:7" ht="18" customHeight="1" x14ac:dyDescent="0.3">
      <c r="A42" s="82">
        <v>11</v>
      </c>
      <c r="B42" s="46" t="s">
        <v>248</v>
      </c>
      <c r="C42" s="47" t="s">
        <v>249</v>
      </c>
      <c r="D42" s="49">
        <v>5</v>
      </c>
      <c r="E42" s="49" t="s">
        <v>169</v>
      </c>
      <c r="F42" s="49">
        <v>3</v>
      </c>
      <c r="G42" s="51">
        <f t="shared" si="1"/>
        <v>15</v>
      </c>
    </row>
    <row r="43" spans="1:7" ht="18" customHeight="1" x14ac:dyDescent="0.3">
      <c r="A43" s="82">
        <v>12</v>
      </c>
      <c r="B43" s="46" t="s">
        <v>250</v>
      </c>
      <c r="C43" s="47" t="s">
        <v>251</v>
      </c>
      <c r="D43" s="49">
        <v>5</v>
      </c>
      <c r="E43" s="49" t="s">
        <v>169</v>
      </c>
      <c r="F43" s="49">
        <v>0.5</v>
      </c>
      <c r="G43" s="51">
        <f t="shared" si="1"/>
        <v>2.5</v>
      </c>
    </row>
    <row r="44" spans="1:7" ht="18" customHeight="1" x14ac:dyDescent="0.3">
      <c r="A44" s="82">
        <v>13</v>
      </c>
      <c r="B44" s="46" t="s">
        <v>252</v>
      </c>
      <c r="C44" s="47" t="s">
        <v>253</v>
      </c>
      <c r="D44" s="49">
        <v>2</v>
      </c>
      <c r="E44" s="49" t="s">
        <v>169</v>
      </c>
      <c r="F44" s="49">
        <f>9.5/1.05</f>
        <v>9.0476190476190474</v>
      </c>
      <c r="G44" s="51">
        <f t="shared" si="1"/>
        <v>18.095238095238095</v>
      </c>
    </row>
    <row r="45" spans="1:7" ht="18" customHeight="1" x14ac:dyDescent="0.3">
      <c r="A45" s="82">
        <v>14</v>
      </c>
      <c r="B45" s="46" t="s">
        <v>254</v>
      </c>
      <c r="C45" s="47" t="s">
        <v>255</v>
      </c>
      <c r="D45" s="49">
        <v>2</v>
      </c>
      <c r="E45" s="49" t="s">
        <v>169</v>
      </c>
      <c r="F45" s="49">
        <f>9.5/1.05</f>
        <v>9.0476190476190474</v>
      </c>
      <c r="G45" s="51">
        <f t="shared" si="1"/>
        <v>18.095238095238095</v>
      </c>
    </row>
    <row r="46" spans="1:7" ht="18" customHeight="1" thickBot="1" x14ac:dyDescent="0.35">
      <c r="A46" s="83">
        <v>15</v>
      </c>
      <c r="B46" s="54" t="s">
        <v>256</v>
      </c>
      <c r="C46" s="55" t="s">
        <v>188</v>
      </c>
      <c r="D46" s="57">
        <v>1</v>
      </c>
      <c r="E46" s="57" t="s">
        <v>257</v>
      </c>
      <c r="F46" s="57">
        <v>50</v>
      </c>
      <c r="G46" s="84">
        <f>D46*F46</f>
        <v>50</v>
      </c>
    </row>
    <row r="47" spans="1:7" ht="18" customHeight="1" thickBot="1" x14ac:dyDescent="0.35">
      <c r="A47" s="426" t="s">
        <v>229</v>
      </c>
      <c r="B47" s="427"/>
      <c r="C47" s="427"/>
      <c r="D47" s="427"/>
      <c r="E47" s="427"/>
      <c r="F47" s="428"/>
      <c r="G47" s="85">
        <f>SUM(G32:G46)</f>
        <v>1522.7285714285715</v>
      </c>
    </row>
    <row r="48" spans="1:7" ht="18" customHeight="1" thickBot="1" x14ac:dyDescent="0.35"/>
    <row r="49" spans="1:7" ht="18" hidden="1" customHeight="1" x14ac:dyDescent="0.3"/>
    <row r="50" spans="1:7" ht="18" hidden="1" customHeight="1" thickBot="1" x14ac:dyDescent="0.35"/>
    <row r="51" spans="1:7" ht="18" customHeight="1" thickBot="1" x14ac:dyDescent="0.35">
      <c r="A51" s="419" t="s">
        <v>258</v>
      </c>
      <c r="B51" s="420"/>
      <c r="C51" s="420"/>
      <c r="D51" s="421"/>
      <c r="E51" s="86">
        <f>G47+G27</f>
        <v>20150.648785714289</v>
      </c>
    </row>
    <row r="53" spans="1:7" x14ac:dyDescent="0.3">
      <c r="A53" t="s">
        <v>259</v>
      </c>
      <c r="B53" s="4">
        <v>43450</v>
      </c>
    </row>
    <row r="56" spans="1:7" x14ac:dyDescent="0.3">
      <c r="A56"/>
      <c r="B56"/>
      <c r="C56"/>
      <c r="D56"/>
      <c r="E56"/>
      <c r="F56"/>
      <c r="G56"/>
    </row>
    <row r="57" spans="1:7" x14ac:dyDescent="0.3">
      <c r="A57"/>
      <c r="B57"/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  <c r="C60"/>
      <c r="D60"/>
      <c r="E60"/>
      <c r="F60"/>
      <c r="G60"/>
    </row>
    <row r="61" spans="1:7" x14ac:dyDescent="0.3">
      <c r="A61"/>
      <c r="B61"/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7" x14ac:dyDescent="0.3">
      <c r="A65"/>
      <c r="B65"/>
      <c r="C65"/>
      <c r="D65"/>
      <c r="E65"/>
      <c r="F65"/>
      <c r="G65"/>
    </row>
    <row r="66" spans="1:7" x14ac:dyDescent="0.3">
      <c r="A66"/>
      <c r="B66"/>
      <c r="C66"/>
      <c r="D66"/>
      <c r="E66"/>
      <c r="F66"/>
      <c r="G66"/>
    </row>
    <row r="67" spans="1:7" x14ac:dyDescent="0.3">
      <c r="A67"/>
      <c r="B67"/>
      <c r="C67"/>
      <c r="D67"/>
      <c r="E67"/>
      <c r="F67"/>
      <c r="G67"/>
    </row>
    <row r="68" spans="1:7" x14ac:dyDescent="0.3">
      <c r="A68"/>
      <c r="B68"/>
      <c r="C68"/>
      <c r="D68"/>
      <c r="E68"/>
      <c r="F68"/>
      <c r="G68"/>
    </row>
    <row r="69" spans="1:7" x14ac:dyDescent="0.3">
      <c r="A69"/>
      <c r="B69"/>
      <c r="C69"/>
      <c r="D69"/>
      <c r="E69"/>
      <c r="F69"/>
      <c r="G69"/>
    </row>
    <row r="70" spans="1:7" x14ac:dyDescent="0.3">
      <c r="A70"/>
      <c r="B70"/>
      <c r="C70"/>
      <c r="D70"/>
      <c r="E70"/>
      <c r="F70"/>
      <c r="G70"/>
    </row>
    <row r="71" spans="1:7" x14ac:dyDescent="0.3">
      <c r="A71"/>
      <c r="B71"/>
      <c r="C71"/>
      <c r="D71"/>
      <c r="E71"/>
      <c r="F71"/>
      <c r="G71"/>
    </row>
    <row r="72" spans="1:7" x14ac:dyDescent="0.3">
      <c r="A72"/>
      <c r="B72"/>
      <c r="C72"/>
      <c r="D72"/>
      <c r="E72"/>
      <c r="F72"/>
      <c r="G72"/>
    </row>
    <row r="73" spans="1:7" x14ac:dyDescent="0.3">
      <c r="A73"/>
      <c r="B73"/>
      <c r="C73"/>
      <c r="D73"/>
      <c r="E73"/>
      <c r="F73"/>
      <c r="G73"/>
    </row>
    <row r="74" spans="1:7" x14ac:dyDescent="0.3">
      <c r="A74"/>
      <c r="B74"/>
      <c r="C74"/>
      <c r="D74"/>
      <c r="E74"/>
      <c r="F74"/>
      <c r="G74"/>
    </row>
    <row r="75" spans="1:7" x14ac:dyDescent="0.3">
      <c r="A75"/>
      <c r="B75"/>
      <c r="C75"/>
      <c r="D75"/>
      <c r="E75"/>
      <c r="F75"/>
      <c r="G75"/>
    </row>
    <row r="76" spans="1:7" x14ac:dyDescent="0.3">
      <c r="A76"/>
      <c r="B76"/>
      <c r="C76"/>
      <c r="D76"/>
      <c r="E76"/>
      <c r="F76"/>
      <c r="G76"/>
    </row>
    <row r="77" spans="1:7" x14ac:dyDescent="0.3">
      <c r="A77"/>
      <c r="B77"/>
      <c r="C77"/>
      <c r="D77"/>
      <c r="E77"/>
      <c r="F77"/>
      <c r="G77"/>
    </row>
    <row r="78" spans="1:7" x14ac:dyDescent="0.3">
      <c r="A78"/>
      <c r="B78"/>
      <c r="C78"/>
      <c r="D78"/>
      <c r="E78"/>
      <c r="F78"/>
      <c r="G78"/>
    </row>
    <row r="79" spans="1:7" x14ac:dyDescent="0.3">
      <c r="A79"/>
      <c r="B79"/>
      <c r="C79"/>
      <c r="D79"/>
      <c r="E79"/>
      <c r="F79"/>
      <c r="G79"/>
    </row>
    <row r="80" spans="1:7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</sheetData>
  <mergeCells count="9">
    <mergeCell ref="A29:G29"/>
    <mergeCell ref="A47:F47"/>
    <mergeCell ref="A51:D51"/>
    <mergeCell ref="A1:G1"/>
    <mergeCell ref="D4:D5"/>
    <mergeCell ref="E4:E5"/>
    <mergeCell ref="F4:F5"/>
    <mergeCell ref="G4:G5"/>
    <mergeCell ref="A27:F27"/>
  </mergeCells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2</vt:i4>
      </vt:variant>
    </vt:vector>
  </HeadingPairs>
  <TitlesOfParts>
    <vt:vector size="68" baseType="lpstr">
      <vt:lpstr>MODEL</vt:lpstr>
      <vt:lpstr>PERKINS WITHOUT ATS-OPEN-50HZ</vt:lpstr>
      <vt:lpstr>Prices without ATS</vt:lpstr>
      <vt:lpstr>Prices with ATS</vt:lpstr>
      <vt:lpstr>AMD6PN5</vt:lpstr>
      <vt:lpstr>AMD9PN5</vt:lpstr>
      <vt:lpstr>AMD13PN5</vt:lpstr>
      <vt:lpstr>AMD15PN5</vt:lpstr>
      <vt:lpstr>AMD20PN5</vt:lpstr>
      <vt:lpstr>AMD30PN5</vt:lpstr>
      <vt:lpstr>AMD45PN5</vt:lpstr>
      <vt:lpstr>AMD60PN5</vt:lpstr>
      <vt:lpstr>AMD65PN5</vt:lpstr>
      <vt:lpstr>AMD80PN5</vt:lpstr>
      <vt:lpstr>AMD80'PN5</vt:lpstr>
      <vt:lpstr>AMD100PN5</vt:lpstr>
      <vt:lpstr>AMD135PN5</vt:lpstr>
      <vt:lpstr>AMD150PN5</vt:lpstr>
      <vt:lpstr>AMD180PN5</vt:lpstr>
      <vt:lpstr>AMD200PN5</vt:lpstr>
      <vt:lpstr>AMD200.PN5</vt:lpstr>
      <vt:lpstr>AMD230PN5</vt:lpstr>
      <vt:lpstr>AMD250PN5</vt:lpstr>
      <vt:lpstr>AMD275PN5</vt:lpstr>
      <vt:lpstr>AMD300PN5</vt:lpstr>
      <vt:lpstr>AMD350PN5</vt:lpstr>
      <vt:lpstr>AMD400PN5</vt:lpstr>
      <vt:lpstr>AMD450PN5</vt:lpstr>
      <vt:lpstr>AMD500PN5</vt:lpstr>
      <vt:lpstr>AMD600PN5</vt:lpstr>
      <vt:lpstr>AMD650PN5</vt:lpstr>
      <vt:lpstr>AMD750PN5</vt:lpstr>
      <vt:lpstr>AMD800PN5</vt:lpstr>
      <vt:lpstr>AMD900PN5</vt:lpstr>
      <vt:lpstr>AMD1000PN5</vt:lpstr>
      <vt:lpstr>AMD1125PN5</vt:lpstr>
      <vt:lpstr>AMD1250PN5</vt:lpstr>
      <vt:lpstr>AMD1350'PN5</vt:lpstr>
      <vt:lpstr>AMD1350PN5</vt:lpstr>
      <vt:lpstr>AMD1500PN5</vt:lpstr>
      <vt:lpstr>AMD1700PN5</vt:lpstr>
      <vt:lpstr>AMD1850PN5</vt:lpstr>
      <vt:lpstr>AMD1850'PN5</vt:lpstr>
      <vt:lpstr>AMD2000PN5</vt:lpstr>
      <vt:lpstr>AMD2000'PN5</vt:lpstr>
      <vt:lpstr>AMD2250PN5</vt:lpstr>
      <vt:lpstr>Sheet2</vt:lpstr>
      <vt:lpstr>Sheet3</vt:lpstr>
      <vt:lpstr>BOQ FOR AMD6PN5-OPEN Type </vt:lpstr>
      <vt:lpstr>EP 1900x1000x950</vt:lpstr>
      <vt:lpstr>EP2400x1100x1185-2700x1100x1185</vt:lpstr>
      <vt:lpstr>EP 3500X1200X1400</vt:lpstr>
      <vt:lpstr>EP 3650X1400X1500</vt:lpstr>
      <vt:lpstr>EP 4880X1720X1810</vt:lpstr>
      <vt:lpstr>EP 5400X1800X1840</vt:lpstr>
      <vt:lpstr>EP 4006 Series</vt:lpstr>
      <vt:lpstr>EP 4008</vt:lpstr>
      <vt:lpstr>EP 4012</vt:lpstr>
      <vt:lpstr>EP 4016</vt:lpstr>
      <vt:lpstr>Sheet1</vt:lpstr>
      <vt:lpstr>Sheet4</vt:lpstr>
      <vt:lpstr>Sheet5</vt:lpstr>
      <vt:lpstr>Sheet6</vt:lpstr>
      <vt:lpstr>Sheet7</vt:lpstr>
      <vt:lpstr>Sheet8</vt:lpstr>
      <vt:lpstr>Sheet9</vt:lpstr>
      <vt:lpstr>'Prices with ATS'!Print_Area</vt:lpstr>
      <vt:lpstr>'Prices without ATS'!Print_Area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2019-08-07T07:08:02Z</dcterms:modified>
</cp:coreProperties>
</file>