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xl/charts/chart5.xml" ContentType="application/vnd.openxmlformats-officedocument.drawingml.chart+xml"/>
  <Override PartName="/xl/theme/themeOverride1.xml" ContentType="application/vnd.openxmlformats-officedocument.themeOverride+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01"/>
  <workbookPr hidePivotFieldList="1" defaultThemeVersion="124226"/>
  <mc:AlternateContent xmlns:mc="http://schemas.openxmlformats.org/markup-compatibility/2006">
    <mc:Choice Requires="x15">
      <x15ac:absPath xmlns:x15ac="http://schemas.microsoft.com/office/spreadsheetml/2010/11/ac" url="C:\Users\DCU\Desktop\"/>
    </mc:Choice>
  </mc:AlternateContent>
  <xr:revisionPtr revIDLastSave="0" documentId="13_ncr:1000001_{C252C772-AF5D-7F46-A7D0-E07DE3E89A3F}" xr6:coauthVersionLast="43" xr6:coauthVersionMax="43" xr10:uidLastSave="{00000000-0000-0000-0000-000000000000}"/>
  <bookViews>
    <workbookView xWindow="0" yWindow="0" windowWidth="23040" windowHeight="9390" firstSheet="3" activeTab="3" xr2:uid="{00000000-000D-0000-FFFF-FFFF00000000}"/>
  </bookViews>
  <sheets>
    <sheet name="Coke Moisture" sheetId="13" state="hidden" r:id="rId1"/>
    <sheet name="Cranes Operational Data" sheetId="23" state="hidden" r:id="rId2"/>
    <sheet name="Coke Transfer Obstacles " sheetId="26" state="hidden" r:id="rId3"/>
    <sheet name="PIT PAD Report -Density 0.8395 " sheetId="12" r:id="rId4"/>
    <sheet name="Sheet12" sheetId="32" r:id="rId5"/>
    <sheet name="Sheet11" sheetId="31" state="hidden" r:id="rId6"/>
    <sheet name="PIT to SP-3" sheetId="14" state="hidden" r:id="rId7"/>
    <sheet name="Sheet2" sheetId="15" state="hidden" r:id="rId8"/>
    <sheet name="Sheet3" sheetId="16" state="hidden" r:id="rId9"/>
    <sheet name="PITPAD Moisture Adj" sheetId="17" state="hidden" r:id="rId10"/>
    <sheet name="Sheet1" sheetId="18" state="hidden" r:id="rId11"/>
    <sheet name="Sheet4" sheetId="20" state="hidden" r:id="rId12"/>
    <sheet name="Sheet5" sheetId="21" state="hidden" r:id="rId13"/>
    <sheet name="Sheet6" sheetId="22" state="hidden" r:id="rId14"/>
    <sheet name="Sheet7" sheetId="24" state="hidden" r:id="rId15"/>
    <sheet name="Sheet8" sheetId="25" state="hidden" r:id="rId16"/>
    <sheet name="Meeting Highlight" sheetId="28" state="hidden" r:id="rId17"/>
    <sheet name="Sheet9" sheetId="29" state="hidden" r:id="rId18"/>
    <sheet name="Sheet10" sheetId="30" state="hidden" r:id="rId19"/>
  </sheets>
  <definedNames>
    <definedName name="_xlnm.Print_Area" localSheetId="3">'PIT PAD Report -Density 0.8395 '!$ADM$4:$AEC$16</definedName>
  </definedNames>
  <calcPr calcId="191028"/>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FS10" i="12" l="1"/>
  <c r="BFT10" i="12"/>
  <c r="BFU10" i="12"/>
  <c r="BFV10" i="12"/>
  <c r="BFW10" i="12"/>
  <c r="BFX10" i="12"/>
  <c r="BFY10" i="12"/>
  <c r="BFZ10" i="12"/>
  <c r="BGA10" i="12"/>
  <c r="BGB10" i="12"/>
  <c r="BGC10" i="12"/>
  <c r="BCV10" i="12"/>
  <c r="BCV13" i="12"/>
  <c r="BCW10" i="12"/>
  <c r="BCW13" i="12"/>
  <c r="BCX10" i="12"/>
  <c r="BCX13" i="12"/>
  <c r="BCY10" i="12"/>
  <c r="BCY13" i="12"/>
  <c r="BCZ10" i="12"/>
  <c r="BCZ13" i="12"/>
  <c r="BDA10" i="12"/>
  <c r="BDA13" i="12"/>
  <c r="BDB10" i="12"/>
  <c r="BDB13" i="12"/>
  <c r="BDC10" i="12"/>
  <c r="BDC13" i="12"/>
  <c r="BDD10" i="12"/>
  <c r="BDD13" i="12"/>
  <c r="BDE10" i="12"/>
  <c r="BDE13" i="12"/>
  <c r="BDF10" i="12"/>
  <c r="BDF13" i="12"/>
  <c r="BDG10" i="12"/>
  <c r="BDG13" i="12"/>
  <c r="BDH10" i="12"/>
  <c r="BDH13" i="12"/>
  <c r="BDI10" i="12"/>
  <c r="BDI13" i="12"/>
  <c r="BDJ10" i="12"/>
  <c r="BDJ13" i="12"/>
  <c r="BDK10" i="12"/>
  <c r="BDK13" i="12"/>
  <c r="BDL10" i="12"/>
  <c r="BDL13" i="12"/>
  <c r="BDM10" i="12"/>
  <c r="BDM13" i="12"/>
  <c r="BDN10" i="12"/>
  <c r="BDN13" i="12"/>
  <c r="BDO10" i="12"/>
  <c r="BDO13" i="12"/>
  <c r="BDP10" i="12"/>
  <c r="BDP13" i="12"/>
  <c r="BDQ10" i="12"/>
  <c r="BDQ13" i="12"/>
  <c r="BDR10" i="12"/>
  <c r="BDR13" i="12"/>
  <c r="BDS10" i="12"/>
  <c r="BDS13" i="12"/>
  <c r="BDT10" i="12"/>
  <c r="BDT13" i="12"/>
  <c r="BDU10" i="12"/>
  <c r="BDU13" i="12"/>
  <c r="BDV10" i="12"/>
  <c r="BDV13" i="12"/>
  <c r="BDW10" i="12"/>
  <c r="BDW13" i="12"/>
  <c r="BDX10" i="12"/>
  <c r="BDX13" i="12"/>
  <c r="BDY10" i="12"/>
  <c r="BDY13" i="12"/>
  <c r="BDZ10" i="12"/>
  <c r="BDZ13" i="12"/>
  <c r="BEA10" i="12"/>
  <c r="BEA13" i="12"/>
  <c r="BEB10" i="12"/>
  <c r="BEB13" i="12"/>
  <c r="BEC10" i="12"/>
  <c r="BEC13" i="12"/>
  <c r="BED10" i="12"/>
  <c r="BED13" i="12"/>
  <c r="BEE10" i="12"/>
  <c r="BEE13" i="12"/>
  <c r="BEF10" i="12"/>
  <c r="BEF13" i="12"/>
  <c r="BEG10" i="12"/>
  <c r="BEG13" i="12"/>
  <c r="BEH10" i="12"/>
  <c r="BEH13" i="12"/>
  <c r="BEI10" i="12"/>
  <c r="BEI13" i="12"/>
  <c r="BEJ10" i="12"/>
  <c r="BEJ13" i="12"/>
  <c r="BEK10" i="12"/>
  <c r="BEK13" i="12"/>
  <c r="BEL10" i="12"/>
  <c r="BEL13" i="12"/>
  <c r="BEM10" i="12"/>
  <c r="BEM13" i="12"/>
  <c r="BEN10" i="12"/>
  <c r="BEN13" i="12"/>
  <c r="BEO10" i="12"/>
  <c r="BEO13" i="12"/>
  <c r="BEP10" i="12"/>
  <c r="BEP13" i="12"/>
  <c r="BEQ10" i="12"/>
  <c r="BEQ13" i="12"/>
  <c r="BER10" i="12"/>
  <c r="BER13" i="12"/>
  <c r="BES10" i="12"/>
  <c r="BES13" i="12"/>
  <c r="BET10" i="12"/>
  <c r="BET13" i="12"/>
  <c r="BEU10" i="12"/>
  <c r="BEU13" i="12"/>
  <c r="BEV10" i="12"/>
  <c r="BEV13" i="12"/>
  <c r="BEW10" i="12"/>
  <c r="BEW13" i="12"/>
  <c r="BEX10" i="12"/>
  <c r="BEX13" i="12"/>
  <c r="BEY10" i="12"/>
  <c r="BEY13" i="12"/>
  <c r="BEZ10" i="12"/>
  <c r="BEZ13" i="12"/>
  <c r="BFA10" i="12"/>
  <c r="BFA13" i="12"/>
  <c r="BFB10" i="12"/>
  <c r="BFB13" i="12"/>
  <c r="BFC10" i="12"/>
  <c r="BFC13" i="12"/>
  <c r="BFD10" i="12"/>
  <c r="BFS13" i="12"/>
  <c r="BFE10" i="12"/>
  <c r="BFT13" i="12"/>
  <c r="BFF10" i="12"/>
  <c r="BFU13" i="12"/>
  <c r="BFG10" i="12"/>
  <c r="BFV13" i="12"/>
  <c r="BFH10" i="12"/>
  <c r="BFW13" i="12"/>
  <c r="BFI10" i="12"/>
  <c r="BFX13" i="12"/>
  <c r="BFJ10" i="12"/>
  <c r="BFY13" i="12"/>
  <c r="BFK10" i="12"/>
  <c r="BFZ13" i="12"/>
  <c r="BFL10" i="12"/>
  <c r="BGA13" i="12"/>
  <c r="BFM10" i="12"/>
  <c r="BGB13" i="12"/>
  <c r="BFN10" i="12"/>
  <c r="BGC13" i="12"/>
  <c r="BFO10" i="12"/>
  <c r="BGD13" i="12"/>
  <c r="BFP10" i="12"/>
  <c r="BGE13" i="12"/>
  <c r="BFQ10" i="12"/>
  <c r="BGF13" i="12"/>
  <c r="BFR10" i="12"/>
  <c r="BGG13" i="12"/>
  <c r="BFR13" i="12"/>
  <c r="BGH13" i="12"/>
  <c r="BGI13" i="12"/>
  <c r="BGJ13" i="12"/>
  <c r="BGK13" i="12"/>
  <c r="BGL13" i="12"/>
  <c r="BFS14" i="12"/>
  <c r="BFT14" i="12"/>
  <c r="BFU14" i="12"/>
  <c r="BFV14" i="12"/>
  <c r="BFW14" i="12"/>
  <c r="BFX14" i="12"/>
  <c r="BFY14" i="12"/>
  <c r="BFZ14" i="12"/>
  <c r="BGA14" i="12"/>
  <c r="BGB14" i="12"/>
  <c r="BGC14" i="12"/>
  <c r="BGD14" i="12"/>
  <c r="BGE14" i="12"/>
  <c r="BGF14" i="12"/>
  <c r="BGG14" i="12"/>
  <c r="BGH14" i="12"/>
  <c r="BGI14" i="12"/>
  <c r="BGJ14" i="12"/>
  <c r="BGK14" i="12"/>
  <c r="BGL14" i="12"/>
  <c r="LP15" i="12"/>
  <c r="LQ15" i="12"/>
  <c r="LR15" i="12"/>
  <c r="LS15" i="12"/>
  <c r="LT15" i="12"/>
  <c r="LU15" i="12"/>
  <c r="LV15" i="12"/>
  <c r="LW15" i="12"/>
  <c r="LX15" i="12"/>
  <c r="LY15" i="12"/>
  <c r="LZ15" i="12"/>
  <c r="MA15" i="12"/>
  <c r="MB15" i="12"/>
  <c r="MC15" i="12"/>
  <c r="MD15" i="12"/>
  <c r="ME15" i="12"/>
  <c r="MF15" i="12"/>
  <c r="MG15" i="12"/>
  <c r="MH15" i="12"/>
  <c r="MI15" i="12"/>
  <c r="MJ11" i="12"/>
  <c r="MJ15" i="12"/>
  <c r="MK11" i="12"/>
  <c r="MK15" i="12"/>
  <c r="ML15" i="12"/>
  <c r="MM15" i="12"/>
  <c r="MN15" i="12"/>
  <c r="MO15" i="12"/>
  <c r="MP15" i="12"/>
  <c r="MQ15" i="12"/>
  <c r="MR15" i="12"/>
  <c r="MS15" i="12"/>
  <c r="MT15" i="12"/>
  <c r="MU15" i="12"/>
  <c r="MV15" i="12"/>
  <c r="MW15" i="12"/>
  <c r="MX15" i="12"/>
  <c r="MY15" i="12"/>
  <c r="MZ15" i="12"/>
  <c r="NA15" i="12"/>
  <c r="NB15" i="12"/>
  <c r="NC15" i="12"/>
  <c r="ND15" i="12"/>
  <c r="NE15" i="12"/>
  <c r="NF15" i="12"/>
  <c r="NG15" i="12"/>
  <c r="NH15" i="12"/>
  <c r="NI15" i="12"/>
  <c r="NJ15" i="12"/>
  <c r="NK15" i="12"/>
  <c r="NL15" i="12"/>
  <c r="NM15" i="12"/>
  <c r="NN15" i="12"/>
  <c r="NO15" i="12"/>
  <c r="NP15" i="12"/>
  <c r="NQ15" i="12"/>
  <c r="NR15" i="12"/>
  <c r="NS15" i="12"/>
  <c r="NT15" i="12"/>
  <c r="NU15" i="12"/>
  <c r="NV15" i="12"/>
  <c r="NW15" i="12"/>
  <c r="NX15" i="12"/>
  <c r="NY15" i="12"/>
  <c r="NZ15" i="12"/>
  <c r="OA15" i="12"/>
  <c r="OB15" i="12"/>
  <c r="OC15" i="12"/>
  <c r="OD15" i="12"/>
  <c r="OE15" i="12"/>
  <c r="OF15" i="12"/>
  <c r="OG15" i="12"/>
  <c r="OH15" i="12"/>
  <c r="OI15" i="12"/>
  <c r="OJ15" i="12"/>
  <c r="OK15" i="12"/>
  <c r="OL15" i="12"/>
  <c r="OM15" i="12"/>
  <c r="ON15" i="12"/>
  <c r="OO15" i="12"/>
  <c r="OP15" i="12"/>
  <c r="OQ15" i="12"/>
  <c r="OR15" i="12"/>
  <c r="OS15" i="12"/>
  <c r="OT15" i="12"/>
  <c r="OU15" i="12"/>
  <c r="OV15" i="12"/>
  <c r="OW15" i="12"/>
  <c r="OX15" i="12"/>
  <c r="OY15" i="12"/>
  <c r="OZ15" i="12"/>
  <c r="PA15" i="12"/>
  <c r="PB15" i="12"/>
  <c r="PC15" i="12"/>
  <c r="PD15" i="12"/>
  <c r="PE15" i="12"/>
  <c r="PF15" i="12"/>
  <c r="PG15" i="12"/>
  <c r="PH15" i="12"/>
  <c r="PI15" i="12"/>
  <c r="PJ15" i="12"/>
  <c r="PK15" i="12"/>
  <c r="PL15" i="12"/>
  <c r="PM15" i="12"/>
  <c r="PN15" i="12"/>
  <c r="PO15" i="12"/>
  <c r="PP15" i="12"/>
  <c r="PQ15" i="12"/>
  <c r="PR15" i="12"/>
  <c r="PS15" i="12"/>
  <c r="PT15" i="12"/>
  <c r="PU15" i="12"/>
  <c r="PV15" i="12"/>
  <c r="PW15" i="12"/>
  <c r="PX15" i="12"/>
  <c r="PY15" i="12"/>
  <c r="PZ15" i="12"/>
  <c r="QA15" i="12"/>
  <c r="QB15" i="12"/>
  <c r="QC15" i="12"/>
  <c r="QD11" i="12"/>
  <c r="QD15" i="12"/>
  <c r="QE15" i="12"/>
  <c r="QF15" i="12"/>
  <c r="QG15" i="12"/>
  <c r="QH15" i="12"/>
  <c r="QI15" i="12"/>
  <c r="QJ15" i="12"/>
  <c r="QK15" i="12"/>
  <c r="QL15" i="12"/>
  <c r="QM15" i="12"/>
  <c r="QN15" i="12"/>
  <c r="QO15" i="12"/>
  <c r="QP15" i="12"/>
  <c r="QQ15" i="12"/>
  <c r="QR15" i="12"/>
  <c r="QS15" i="12"/>
  <c r="QT15" i="12"/>
  <c r="QU15" i="12"/>
  <c r="QV15" i="12"/>
  <c r="QW15" i="12"/>
  <c r="QX15" i="12"/>
  <c r="QY15" i="12"/>
  <c r="QZ15" i="12"/>
  <c r="RA15" i="12"/>
  <c r="RB15" i="12"/>
  <c r="RC15" i="12"/>
  <c r="RD15" i="12"/>
  <c r="RE15" i="12"/>
  <c r="RF15" i="12"/>
  <c r="RG15" i="12"/>
  <c r="RH15" i="12"/>
  <c r="RI15" i="12"/>
  <c r="RJ15" i="12"/>
  <c r="RK15" i="12"/>
  <c r="RL15" i="12"/>
  <c r="RM15" i="12"/>
  <c r="RN15" i="12"/>
  <c r="RO15" i="12"/>
  <c r="RP15" i="12"/>
  <c r="RQ15" i="12"/>
  <c r="RR15" i="12"/>
  <c r="RS15" i="12"/>
  <c r="RT15" i="12"/>
  <c r="RU15" i="12"/>
  <c r="RV15" i="12"/>
  <c r="RW15" i="12"/>
  <c r="RX15" i="12"/>
  <c r="RY15" i="12"/>
  <c r="RZ15" i="12"/>
  <c r="SA15" i="12"/>
  <c r="SB15" i="12"/>
  <c r="SC15" i="12"/>
  <c r="SD15" i="12"/>
  <c r="SE15" i="12"/>
  <c r="SF15" i="12"/>
  <c r="SG15" i="12"/>
  <c r="SH15" i="12"/>
  <c r="SI15" i="12"/>
  <c r="SJ15" i="12"/>
  <c r="SK15" i="12"/>
  <c r="SL15" i="12"/>
  <c r="SM15" i="12"/>
  <c r="SN15" i="12"/>
  <c r="SO15" i="12"/>
  <c r="SP15" i="12"/>
  <c r="SQ15" i="12"/>
  <c r="SR15" i="12"/>
  <c r="SS15" i="12"/>
  <c r="ST15" i="12"/>
  <c r="SU15" i="12"/>
  <c r="SV15" i="12"/>
  <c r="SW15" i="12"/>
  <c r="SX15" i="12"/>
  <c r="SY15" i="12"/>
  <c r="SZ15" i="12"/>
  <c r="TA15" i="12"/>
  <c r="TB15" i="12"/>
  <c r="TC15" i="12"/>
  <c r="TD15" i="12"/>
  <c r="TE15" i="12"/>
  <c r="TF15" i="12"/>
  <c r="TG15" i="12"/>
  <c r="TH15" i="12"/>
  <c r="TI15" i="12"/>
  <c r="TJ15" i="12"/>
  <c r="TK15" i="12"/>
  <c r="TL15" i="12"/>
  <c r="TM15" i="12"/>
  <c r="TN15" i="12"/>
  <c r="TO15" i="12"/>
  <c r="TP15" i="12"/>
  <c r="TQ15" i="12"/>
  <c r="TR15" i="12"/>
  <c r="TS15" i="12"/>
  <c r="TT15" i="12"/>
  <c r="TU15" i="12"/>
  <c r="TV15" i="12"/>
  <c r="TW15" i="12"/>
  <c r="TX15" i="12"/>
  <c r="TY15" i="12"/>
  <c r="TZ15" i="12"/>
  <c r="UA15" i="12"/>
  <c r="UB15" i="12"/>
  <c r="UC15" i="12"/>
  <c r="UD15" i="12"/>
  <c r="UE15" i="12"/>
  <c r="UF15" i="12"/>
  <c r="UG15" i="12"/>
  <c r="UH15" i="12"/>
  <c r="UI15" i="12"/>
  <c r="UJ15" i="12"/>
  <c r="UK15" i="12"/>
  <c r="UL15" i="12"/>
  <c r="UM15" i="12"/>
  <c r="UN15" i="12"/>
  <c r="UO15" i="12"/>
  <c r="UP15" i="12"/>
  <c r="UQ15" i="12"/>
  <c r="UR15" i="12"/>
  <c r="US15" i="12"/>
  <c r="UT15" i="12"/>
  <c r="UU15" i="12"/>
  <c r="UV15" i="12"/>
  <c r="UW15" i="12"/>
  <c r="UX15" i="12"/>
  <c r="UY15" i="12"/>
  <c r="UZ15" i="12"/>
  <c r="VA15" i="12"/>
  <c r="VB15" i="12"/>
  <c r="VC15" i="12"/>
  <c r="VD15" i="12"/>
  <c r="VE15" i="12"/>
  <c r="VF15" i="12"/>
  <c r="VG15" i="12"/>
  <c r="VH15" i="12"/>
  <c r="VI15" i="12"/>
  <c r="VJ15" i="12"/>
  <c r="VK15" i="12"/>
  <c r="VL15" i="12"/>
  <c r="VM15" i="12"/>
  <c r="VN15" i="12"/>
  <c r="VO15" i="12"/>
  <c r="VP15" i="12"/>
  <c r="VQ15" i="12"/>
  <c r="VR15" i="12"/>
  <c r="VS15" i="12"/>
  <c r="VT15" i="12"/>
  <c r="VU15" i="12"/>
  <c r="VV15" i="12"/>
  <c r="VW15" i="12"/>
  <c r="VX15" i="12"/>
  <c r="VY15" i="12"/>
  <c r="VZ15" i="12"/>
  <c r="WA15" i="12"/>
  <c r="WB15" i="12"/>
  <c r="WC15" i="12"/>
  <c r="WD15" i="12"/>
  <c r="WE15" i="12"/>
  <c r="WF15" i="12"/>
  <c r="WG15" i="12"/>
  <c r="WH15" i="12"/>
  <c r="WI15" i="12"/>
  <c r="WJ15" i="12"/>
  <c r="WK15" i="12"/>
  <c r="WL15" i="12"/>
  <c r="WM15" i="12"/>
  <c r="WN15" i="12"/>
  <c r="WO15" i="12"/>
  <c r="WP15" i="12"/>
  <c r="WQ15" i="12"/>
  <c r="WR15" i="12"/>
  <c r="WS15" i="12"/>
  <c r="WT15" i="12"/>
  <c r="WU15" i="12"/>
  <c r="WV15" i="12"/>
  <c r="WW15" i="12"/>
  <c r="WX15" i="12"/>
  <c r="WY9" i="12"/>
  <c r="WY15" i="12"/>
  <c r="WZ15" i="12"/>
  <c r="XA15" i="12"/>
  <c r="XB15" i="12"/>
  <c r="XC15" i="12"/>
  <c r="XD15" i="12"/>
  <c r="XE15" i="12"/>
  <c r="XF15" i="12"/>
  <c r="XG15" i="12"/>
  <c r="XH15" i="12"/>
  <c r="XI15" i="12"/>
  <c r="XJ15" i="12"/>
  <c r="XK15" i="12"/>
  <c r="XL15" i="12"/>
  <c r="XM15" i="12"/>
  <c r="XN15" i="12"/>
  <c r="XO15" i="12"/>
  <c r="XP15" i="12"/>
  <c r="XQ15" i="12"/>
  <c r="XR15" i="12"/>
  <c r="XS15" i="12"/>
  <c r="XT15" i="12"/>
  <c r="XU15" i="12"/>
  <c r="XV15" i="12"/>
  <c r="XW15" i="12"/>
  <c r="XX15" i="12"/>
  <c r="XY15" i="12"/>
  <c r="XZ15" i="12"/>
  <c r="YA15" i="12"/>
  <c r="YB15" i="12"/>
  <c r="YC15" i="12"/>
  <c r="YD15" i="12"/>
  <c r="YE15" i="12"/>
  <c r="YF15" i="12"/>
  <c r="YG15" i="12"/>
  <c r="YH15" i="12"/>
  <c r="YI15" i="12"/>
  <c r="YJ15" i="12"/>
  <c r="YK15" i="12"/>
  <c r="YL15" i="12"/>
  <c r="YM15" i="12"/>
  <c r="YN15" i="12"/>
  <c r="YO15" i="12"/>
  <c r="YP15" i="12"/>
  <c r="YQ15" i="12"/>
  <c r="YR15" i="12"/>
  <c r="YS15" i="12"/>
  <c r="YT15" i="12"/>
  <c r="YU15" i="12"/>
  <c r="YV15" i="12"/>
  <c r="YW15" i="12"/>
  <c r="YX15" i="12"/>
  <c r="YY15" i="12"/>
  <c r="YZ15" i="12"/>
  <c r="ZA15" i="12"/>
  <c r="ZB15" i="12"/>
  <c r="ZC15" i="12"/>
  <c r="ZD8" i="12"/>
  <c r="ZD15" i="12"/>
  <c r="ZE8" i="12"/>
  <c r="ZE15" i="12"/>
  <c r="ZF8" i="12"/>
  <c r="ZF15" i="12"/>
  <c r="ZG8" i="12"/>
  <c r="ZG15" i="12"/>
  <c r="ZH8" i="12"/>
  <c r="ZH15" i="12"/>
  <c r="ZI8" i="12"/>
  <c r="ZI15" i="12"/>
  <c r="ZJ8" i="12"/>
  <c r="ZJ15" i="12"/>
  <c r="ZK8" i="12"/>
  <c r="ZK15" i="12"/>
  <c r="ZL8" i="12"/>
  <c r="ZL15" i="12"/>
  <c r="ZM8" i="12"/>
  <c r="ZM15" i="12"/>
  <c r="ZN8" i="12"/>
  <c r="ZN15" i="12"/>
  <c r="ZO8" i="12"/>
  <c r="ZO15" i="12"/>
  <c r="ZP8" i="12"/>
  <c r="ZP15" i="12"/>
  <c r="ZQ8" i="12"/>
  <c r="ZQ15" i="12"/>
  <c r="ZR8" i="12"/>
  <c r="ZR15" i="12"/>
  <c r="ZS8" i="12"/>
  <c r="ZS15" i="12"/>
  <c r="ZT8" i="12"/>
  <c r="ZT15" i="12"/>
  <c r="ZU8" i="12"/>
  <c r="ZU15" i="12"/>
  <c r="ZV8" i="12"/>
  <c r="ZV15" i="12"/>
  <c r="ZW8" i="12"/>
  <c r="ZW15" i="12"/>
  <c r="ZX8" i="12"/>
  <c r="ZX15" i="12"/>
  <c r="ZY8" i="12"/>
  <c r="ZY15" i="12"/>
  <c r="ZZ8" i="12"/>
  <c r="ZZ15" i="12"/>
  <c r="AAA8" i="12"/>
  <c r="AAA15" i="12"/>
  <c r="AAB8" i="12"/>
  <c r="AAB15" i="12"/>
  <c r="AAC8" i="12"/>
  <c r="AAC15" i="12"/>
  <c r="AAD8" i="12"/>
  <c r="AAD15" i="12"/>
  <c r="AAE8" i="12"/>
  <c r="AAE15" i="12"/>
  <c r="AAF8" i="12"/>
  <c r="AAF15" i="12"/>
  <c r="AAG8" i="12"/>
  <c r="AAG15" i="12"/>
  <c r="AAH8" i="12"/>
  <c r="AAH15" i="12"/>
  <c r="AAI8" i="12"/>
  <c r="AAI15" i="12"/>
  <c r="AAJ8" i="12"/>
  <c r="AAJ15" i="12"/>
  <c r="AAK8" i="12"/>
  <c r="AAK15" i="12"/>
  <c r="AAL8" i="12"/>
  <c r="AAL15" i="12"/>
  <c r="AAM8" i="12"/>
  <c r="AAM15" i="12"/>
  <c r="AAN8" i="12"/>
  <c r="AAN15" i="12"/>
  <c r="AAO8" i="12"/>
  <c r="AAO15" i="12"/>
  <c r="AAP8" i="12"/>
  <c r="AAP15" i="12"/>
  <c r="AAQ8" i="12"/>
  <c r="AAQ15" i="12"/>
  <c r="AAR8" i="12"/>
  <c r="AAR15" i="12"/>
  <c r="AAS8" i="12"/>
  <c r="AAS15" i="12"/>
  <c r="AAT8" i="12"/>
  <c r="AAT15" i="12"/>
  <c r="AAU8" i="12"/>
  <c r="AAU15" i="12"/>
  <c r="AAV8" i="12"/>
  <c r="AAV15" i="12"/>
  <c r="AAW8" i="12"/>
  <c r="AAW15" i="12"/>
  <c r="AAX8" i="12"/>
  <c r="AAX15" i="12"/>
  <c r="AAY8" i="12"/>
  <c r="AAY15" i="12"/>
  <c r="AAZ8" i="12"/>
  <c r="AAZ15" i="12"/>
  <c r="ABA8" i="12"/>
  <c r="ABA15" i="12"/>
  <c r="ABB8" i="12"/>
  <c r="ABB15" i="12"/>
  <c r="ABC8" i="12"/>
  <c r="ABC15" i="12"/>
  <c r="ABD8" i="12"/>
  <c r="ABD15" i="12"/>
  <c r="ABE8" i="12"/>
  <c r="ABE15" i="12"/>
  <c r="ABF8" i="12"/>
  <c r="ABF15" i="12"/>
  <c r="ABG8" i="12"/>
  <c r="ABG15" i="12"/>
  <c r="ABH8" i="12"/>
  <c r="ABH15" i="12"/>
  <c r="ABI8" i="12"/>
  <c r="ABI15" i="12"/>
  <c r="ABJ8" i="12"/>
  <c r="ABJ15" i="12"/>
  <c r="ABK8" i="12"/>
  <c r="ABK15" i="12"/>
  <c r="ABL8" i="12"/>
  <c r="ABL15" i="12"/>
  <c r="ABM8" i="12"/>
  <c r="ABM15" i="12"/>
  <c r="ABN8" i="12"/>
  <c r="ABN15" i="12"/>
  <c r="ABO8" i="12"/>
  <c r="ABO15" i="12"/>
  <c r="ABP8" i="12"/>
  <c r="ABP15" i="12"/>
  <c r="ABQ8" i="12"/>
  <c r="ABQ15" i="12"/>
  <c r="ABR8" i="12"/>
  <c r="ABR15" i="12"/>
  <c r="ABS8" i="12"/>
  <c r="ABS15" i="12"/>
  <c r="ABT8" i="12"/>
  <c r="ABT15" i="12"/>
  <c r="ABU8" i="12"/>
  <c r="ABU15" i="12"/>
  <c r="ABV8" i="12"/>
  <c r="ABV15" i="12"/>
  <c r="ABW8" i="12"/>
  <c r="ABW15" i="12"/>
  <c r="ABX8" i="12"/>
  <c r="ABX15" i="12"/>
  <c r="ABY8" i="12"/>
  <c r="ABY15" i="12"/>
  <c r="ABZ8" i="12"/>
  <c r="ABZ15" i="12"/>
  <c r="ACA8" i="12"/>
  <c r="ACA15" i="12"/>
  <c r="ACB8" i="12"/>
  <c r="ACB15" i="12"/>
  <c r="ACC8" i="12"/>
  <c r="ACC15" i="12"/>
  <c r="ACD8" i="12"/>
  <c r="ACD15" i="12"/>
  <c r="ACE8" i="12"/>
  <c r="ACE15" i="12"/>
  <c r="ACF8" i="12"/>
  <c r="ACF15" i="12"/>
  <c r="ACG8" i="12"/>
  <c r="ACG15" i="12"/>
  <c r="ACH8" i="12"/>
  <c r="ACH15" i="12"/>
  <c r="ACI8" i="12"/>
  <c r="ACI15" i="12"/>
  <c r="ACJ8" i="12"/>
  <c r="ACJ15" i="12"/>
  <c r="ACK8" i="12"/>
  <c r="ACK15" i="12"/>
  <c r="ACL8" i="12"/>
  <c r="ACL15" i="12"/>
  <c r="ACM8" i="12"/>
  <c r="ACM15" i="12"/>
  <c r="ACN8" i="12"/>
  <c r="ACN15" i="12"/>
  <c r="ACO8" i="12"/>
  <c r="ACO15" i="12"/>
  <c r="ACP8" i="12"/>
  <c r="ACP15" i="12"/>
  <c r="ACQ8" i="12"/>
  <c r="ACQ15" i="12"/>
  <c r="ACR8" i="12"/>
  <c r="ACR15" i="12"/>
  <c r="ACS8" i="12"/>
  <c r="ACS15" i="12"/>
  <c r="ACT8" i="12"/>
  <c r="ACT15" i="12"/>
  <c r="ACU8" i="12"/>
  <c r="ACU15" i="12"/>
  <c r="ACV8" i="12"/>
  <c r="ACV15" i="12"/>
  <c r="ACW8" i="12"/>
  <c r="ACW15" i="12"/>
  <c r="ACX8" i="12"/>
  <c r="ACX15" i="12"/>
  <c r="ACY8" i="12"/>
  <c r="ACY15" i="12"/>
  <c r="ACZ8" i="12"/>
  <c r="ACZ15" i="12"/>
  <c r="ADA8" i="12"/>
  <c r="ADA15" i="12"/>
  <c r="ADB8" i="12"/>
  <c r="ADB15" i="12"/>
  <c r="ADC8" i="12"/>
  <c r="ADC15" i="12"/>
  <c r="ADD8" i="12"/>
  <c r="ADD15" i="12"/>
  <c r="ADE8" i="12"/>
  <c r="ADE15" i="12"/>
  <c r="ADF8" i="12"/>
  <c r="ADF15" i="12"/>
  <c r="ADG8" i="12"/>
  <c r="ADG15" i="12"/>
  <c r="ADH8" i="12"/>
  <c r="ADH15" i="12"/>
  <c r="ADI8" i="12"/>
  <c r="ADI15" i="12"/>
  <c r="ADJ8" i="12"/>
  <c r="ADJ15" i="12"/>
  <c r="ADK8" i="12"/>
  <c r="ADK15" i="12"/>
  <c r="ADL8" i="12"/>
  <c r="ADL15" i="12"/>
  <c r="ADM8" i="12"/>
  <c r="ADM15" i="12"/>
  <c r="ADN8" i="12"/>
  <c r="ADN15" i="12"/>
  <c r="ADO8" i="12"/>
  <c r="ADO15" i="12"/>
  <c r="ADP8" i="12"/>
  <c r="ADP15" i="12"/>
  <c r="ADQ8" i="12"/>
  <c r="ADQ15" i="12"/>
  <c r="ADR8" i="12"/>
  <c r="ADR15" i="12"/>
  <c r="ADS8" i="12"/>
  <c r="ADS15" i="12"/>
  <c r="ADT8" i="12"/>
  <c r="ADT15" i="12"/>
  <c r="ADU8" i="12"/>
  <c r="ADU15" i="12"/>
  <c r="ADV8" i="12"/>
  <c r="ADV15" i="12"/>
  <c r="ADW8" i="12"/>
  <c r="ADW15" i="12"/>
  <c r="ADX8" i="12"/>
  <c r="ADX15" i="12"/>
  <c r="ADY8" i="12"/>
  <c r="ADY15" i="12"/>
  <c r="ADZ8" i="12"/>
  <c r="ADZ15" i="12"/>
  <c r="AEA8" i="12"/>
  <c r="AEA15" i="12"/>
  <c r="AEB8" i="12"/>
  <c r="AEB15" i="12"/>
  <c r="AEC8" i="12"/>
  <c r="AEC15" i="12"/>
  <c r="AED8" i="12"/>
  <c r="AED15" i="12"/>
  <c r="AEE8" i="12"/>
  <c r="AEE15" i="12"/>
  <c r="AEF8" i="12"/>
  <c r="AEF15" i="12"/>
  <c r="AEG8" i="12"/>
  <c r="AEG15" i="12"/>
  <c r="AEH8" i="12"/>
  <c r="AEH15" i="12"/>
  <c r="AEI8" i="12"/>
  <c r="AEI15" i="12"/>
  <c r="AEJ8" i="12"/>
  <c r="AEJ15" i="12"/>
  <c r="AEK8" i="12"/>
  <c r="AEK15" i="12"/>
  <c r="AEL8" i="12"/>
  <c r="AEL15" i="12"/>
  <c r="AEM8" i="12"/>
  <c r="AEM15" i="12"/>
  <c r="AEN8" i="12"/>
  <c r="AEN15" i="12"/>
  <c r="AEO8" i="12"/>
  <c r="AEO15" i="12"/>
  <c r="AEP8" i="12"/>
  <c r="AEP15" i="12"/>
  <c r="AEQ8" i="12"/>
  <c r="AEQ15" i="12"/>
  <c r="AER8" i="12"/>
  <c r="AER15" i="12"/>
  <c r="AES8" i="12"/>
  <c r="AES15" i="12"/>
  <c r="AET8" i="12"/>
  <c r="AET15" i="12"/>
  <c r="AEU8" i="12"/>
  <c r="AEU15" i="12"/>
  <c r="AEV8" i="12"/>
  <c r="AEV15" i="12"/>
  <c r="AEW8" i="12"/>
  <c r="AEW15" i="12"/>
  <c r="AEX8" i="12"/>
  <c r="AEX15" i="12"/>
  <c r="AEY8" i="12"/>
  <c r="AEY15" i="12"/>
  <c r="AEZ8" i="12"/>
  <c r="AEZ15" i="12"/>
  <c r="AFA8" i="12"/>
  <c r="AFA15" i="12"/>
  <c r="AFB8" i="12"/>
  <c r="AFB15" i="12"/>
  <c r="AFC8" i="12"/>
  <c r="AFC15" i="12"/>
  <c r="AFD8" i="12"/>
  <c r="AFD15" i="12"/>
  <c r="AFE8" i="12"/>
  <c r="AFE15" i="12"/>
  <c r="AFF8" i="12"/>
  <c r="AFF15" i="12"/>
  <c r="AFG8" i="12"/>
  <c r="AFG15" i="12"/>
  <c r="AFH8" i="12"/>
  <c r="AFH15" i="12"/>
  <c r="AFI8" i="12"/>
  <c r="AFI15" i="12"/>
  <c r="AFJ8" i="12"/>
  <c r="AFJ15" i="12"/>
  <c r="AFK8" i="12"/>
  <c r="AFK15" i="12"/>
  <c r="AFL8" i="12"/>
  <c r="AFL15" i="12"/>
  <c r="AFM8" i="12"/>
  <c r="AFM15" i="12"/>
  <c r="AFN8" i="12"/>
  <c r="AFN15" i="12"/>
  <c r="AFO8" i="12"/>
  <c r="AFO15" i="12"/>
  <c r="AFP8" i="12"/>
  <c r="AFP15" i="12"/>
  <c r="AFQ8" i="12"/>
  <c r="AFQ15" i="12"/>
  <c r="AFR8" i="12"/>
  <c r="AFR15" i="12"/>
  <c r="AFS8" i="12"/>
  <c r="AFS15" i="12"/>
  <c r="AFT8" i="12"/>
  <c r="AFT15" i="12"/>
  <c r="AFU8" i="12"/>
  <c r="AFU15" i="12"/>
  <c r="AFV8" i="12"/>
  <c r="AFV15" i="12"/>
  <c r="AFW8" i="12"/>
  <c r="AFW15" i="12"/>
  <c r="AFX8" i="12"/>
  <c r="AFX15" i="12"/>
  <c r="AFY8" i="12"/>
  <c r="AFY15" i="12"/>
  <c r="AFZ8" i="12"/>
  <c r="AFZ15" i="12"/>
  <c r="AGA8" i="12"/>
  <c r="AGA15" i="12"/>
  <c r="AGB8" i="12"/>
  <c r="AGB15" i="12"/>
  <c r="AGC8" i="12"/>
  <c r="AGC15" i="12"/>
  <c r="AGD8" i="12"/>
  <c r="AGD15" i="12"/>
  <c r="AGE8" i="12"/>
  <c r="AGE15" i="12"/>
  <c r="AGF8" i="12"/>
  <c r="AGF15" i="12"/>
  <c r="AGG8" i="12"/>
  <c r="AGG15" i="12"/>
  <c r="AGH8" i="12"/>
  <c r="AGH15" i="12"/>
  <c r="AGI8" i="12"/>
  <c r="AGI15" i="12"/>
  <c r="AGJ8" i="12"/>
  <c r="AGJ15" i="12"/>
  <c r="AGK15" i="12"/>
  <c r="AGL15" i="12"/>
  <c r="AGM15" i="12"/>
  <c r="AGN15" i="12"/>
  <c r="AGO15" i="12"/>
  <c r="AGP15" i="12"/>
  <c r="AGQ15" i="12"/>
  <c r="AGR15" i="12"/>
  <c r="AGS15" i="12"/>
  <c r="AGT15" i="12"/>
  <c r="AGU15" i="12"/>
  <c r="AGV15" i="12"/>
  <c r="AGW15" i="12"/>
  <c r="AGX15" i="12"/>
  <c r="AGY15" i="12"/>
  <c r="AHB15" i="12"/>
  <c r="AHC15" i="12"/>
  <c r="AHE15" i="12"/>
  <c r="AHF15" i="12"/>
  <c r="AHG15" i="12"/>
  <c r="AHH15" i="12"/>
  <c r="AHJ15" i="12"/>
  <c r="AHM15" i="12"/>
  <c r="AHP15" i="12"/>
  <c r="AHS15" i="12"/>
  <c r="AHV15" i="12"/>
  <c r="AHY15" i="12"/>
  <c r="AIB15" i="12"/>
  <c r="AIE15" i="12"/>
  <c r="AIH15" i="12"/>
  <c r="AIK15" i="12"/>
  <c r="AIN15" i="12"/>
  <c r="AIQ15" i="12"/>
  <c r="AIT15" i="12"/>
  <c r="AIW15" i="12"/>
  <c r="AIZ15" i="12"/>
  <c r="AJC15" i="12"/>
  <c r="AJF15" i="12"/>
  <c r="AJI15" i="12"/>
  <c r="AJL15" i="12"/>
  <c r="AJO15" i="12"/>
  <c r="AJR15" i="12"/>
  <c r="AJU15" i="12"/>
  <c r="AJX15" i="12"/>
  <c r="AKA15" i="12"/>
  <c r="AKD15" i="12"/>
  <c r="AKG15" i="12"/>
  <c r="AKJ15" i="12"/>
  <c r="AKM15" i="12"/>
  <c r="AKP15" i="12"/>
  <c r="AKS15" i="12"/>
  <c r="AKV15" i="12"/>
  <c r="AKY15" i="12"/>
  <c r="ALB15" i="12"/>
  <c r="ALE15" i="12"/>
  <c r="ALH15" i="12"/>
  <c r="ALK15" i="12"/>
  <c r="ALN15" i="12"/>
  <c r="ALQ15" i="12"/>
  <c r="ALT15" i="12"/>
  <c r="ALW15" i="12"/>
  <c r="ALZ15" i="12"/>
  <c r="AMC15" i="12"/>
  <c r="AMF15" i="12"/>
  <c r="AMI15" i="12"/>
  <c r="AML15" i="12"/>
  <c r="AMO15" i="12"/>
  <c r="AMP15" i="12"/>
  <c r="AMQ15" i="12"/>
  <c r="AMR15" i="12"/>
  <c r="AMS15" i="12"/>
  <c r="AMT15" i="12"/>
  <c r="AMU15" i="12"/>
  <c r="AMV15" i="12"/>
  <c r="AMW15" i="12"/>
  <c r="AMX15" i="12"/>
  <c r="AMY15" i="12"/>
  <c r="AMZ15" i="12"/>
  <c r="ANA15" i="12"/>
  <c r="ANB15" i="12"/>
  <c r="ANC15" i="12"/>
  <c r="AND15" i="12"/>
  <c r="ANE15" i="12"/>
  <c r="ANF15" i="12"/>
  <c r="ANG15" i="12"/>
  <c r="ANH15" i="12"/>
  <c r="ANI15" i="12"/>
  <c r="ANJ15" i="12"/>
  <c r="ANK15" i="12"/>
  <c r="ANL15" i="12"/>
  <c r="ANM15" i="12"/>
  <c r="ANN15" i="12"/>
  <c r="ANO15" i="12"/>
  <c r="ANP15" i="12"/>
  <c r="ANQ15" i="12"/>
  <c r="ANR15" i="12"/>
  <c r="ANS15" i="12"/>
  <c r="ANT15" i="12"/>
  <c r="ANU15" i="12"/>
  <c r="ANV15" i="12"/>
  <c r="ANW15" i="12"/>
  <c r="ANX15" i="12"/>
  <c r="ANY15" i="12"/>
  <c r="ANZ15" i="12"/>
  <c r="AOA15" i="12"/>
  <c r="AOB15" i="12"/>
  <c r="AOC15" i="12"/>
  <c r="AOD15" i="12"/>
  <c r="AOE15" i="12"/>
  <c r="AOF15" i="12"/>
  <c r="AOG15" i="12"/>
  <c r="AOH15" i="12"/>
  <c r="AOI15" i="12"/>
  <c r="AOJ15" i="12"/>
  <c r="AOK15" i="12"/>
  <c r="AOL15" i="12"/>
  <c r="AOM15" i="12"/>
  <c r="AON15" i="12"/>
  <c r="AOO15" i="12"/>
  <c r="AOP15" i="12"/>
  <c r="AOQ15" i="12"/>
  <c r="AOR15" i="12"/>
  <c r="AOS15" i="12"/>
  <c r="AOT15" i="12"/>
  <c r="AOU15" i="12"/>
  <c r="AOV15" i="12"/>
  <c r="AOW15" i="12"/>
  <c r="AOX15" i="12"/>
  <c r="AOY15" i="12"/>
  <c r="AOZ15" i="12"/>
  <c r="APA15" i="12"/>
  <c r="APB15" i="12"/>
  <c r="APC15" i="12"/>
  <c r="APD15" i="12"/>
  <c r="APE15" i="12"/>
  <c r="APF15" i="12"/>
  <c r="APG15" i="12"/>
  <c r="APH15" i="12"/>
  <c r="API15" i="12"/>
  <c r="APJ15" i="12"/>
  <c r="APK15" i="12"/>
  <c r="APL15" i="12"/>
  <c r="APM15" i="12"/>
  <c r="APN15" i="12"/>
  <c r="APO15" i="12"/>
  <c r="APP15" i="12"/>
  <c r="APQ15" i="12"/>
  <c r="APR15" i="12"/>
  <c r="APS15" i="12"/>
  <c r="APT15" i="12"/>
  <c r="APU15" i="12"/>
  <c r="APV15" i="12"/>
  <c r="APW15" i="12"/>
  <c r="APX15" i="12"/>
  <c r="APY15" i="12"/>
  <c r="APZ15" i="12"/>
  <c r="AQA15" i="12"/>
  <c r="AQB15" i="12"/>
  <c r="AQC15" i="12"/>
  <c r="AQD15" i="12"/>
  <c r="AQE15" i="12"/>
  <c r="AQF15" i="12"/>
  <c r="AQG15" i="12"/>
  <c r="AQH15" i="12"/>
  <c r="AQI15" i="12"/>
  <c r="AQJ15" i="12"/>
  <c r="AQK15" i="12"/>
  <c r="AQL15" i="12"/>
  <c r="AQM15" i="12"/>
  <c r="AQN15" i="12"/>
  <c r="AQO15" i="12"/>
  <c r="AQP15" i="12"/>
  <c r="AQQ15" i="12"/>
  <c r="AQR15" i="12"/>
  <c r="AQS15" i="12"/>
  <c r="AQT15" i="12"/>
  <c r="AQU15" i="12"/>
  <c r="AQV15" i="12"/>
  <c r="AQW15" i="12"/>
  <c r="AQX15" i="12"/>
  <c r="AQY15" i="12"/>
  <c r="AQZ15" i="12"/>
  <c r="ARA15" i="12"/>
  <c r="ARB15" i="12"/>
  <c r="ARC15" i="12"/>
  <c r="ARD15" i="12"/>
  <c r="ARE15" i="12"/>
  <c r="ARF15" i="12"/>
  <c r="ARG15" i="12"/>
  <c r="ARH15" i="12"/>
  <c r="ARI15" i="12"/>
  <c r="ARJ15" i="12"/>
  <c r="ARK15" i="12"/>
  <c r="ARL15" i="12"/>
  <c r="ARM15" i="12"/>
  <c r="ARN15" i="12"/>
  <c r="ARO15" i="12"/>
  <c r="ARP15" i="12"/>
  <c r="ARQ15" i="12"/>
  <c r="ARR15" i="12"/>
  <c r="ARS15" i="12"/>
  <c r="ART15" i="12"/>
  <c r="ARU15" i="12"/>
  <c r="ARV15" i="12"/>
  <c r="ARW15" i="12"/>
  <c r="ARX15" i="12"/>
  <c r="ARY15" i="12"/>
  <c r="ARZ15" i="12"/>
  <c r="ASA15" i="12"/>
  <c r="ASB15" i="12"/>
  <c r="ASC15" i="12"/>
  <c r="ASD15" i="12"/>
  <c r="ASE15" i="12"/>
  <c r="ASF15" i="12"/>
  <c r="ASG15" i="12"/>
  <c r="ASH15" i="12"/>
  <c r="ASI15" i="12"/>
  <c r="ASJ15" i="12"/>
  <c r="ASK15" i="12"/>
  <c r="ASL15" i="12"/>
  <c r="ASM15" i="12"/>
  <c r="ASN15" i="12"/>
  <c r="ASO15" i="12"/>
  <c r="ASP15" i="12"/>
  <c r="ASQ15" i="12"/>
  <c r="ASR15" i="12"/>
  <c r="ASS15" i="12"/>
  <c r="AST15" i="12"/>
  <c r="ASU15" i="12"/>
  <c r="ASV15" i="12"/>
  <c r="ASW15" i="12"/>
  <c r="ASX15" i="12"/>
  <c r="ASY15" i="12"/>
  <c r="ASZ15" i="12"/>
  <c r="ATA15" i="12"/>
  <c r="ATB15" i="12"/>
  <c r="ATC15" i="12"/>
  <c r="ATD15" i="12"/>
  <c r="ATE15" i="12"/>
  <c r="ATF15" i="12"/>
  <c r="ATG15" i="12"/>
  <c r="ATH15" i="12"/>
  <c r="ATI15" i="12"/>
  <c r="ATJ15" i="12"/>
  <c r="ATK15" i="12"/>
  <c r="ATL15" i="12"/>
  <c r="ATM15" i="12"/>
  <c r="ATN15" i="12"/>
  <c r="ATO15" i="12"/>
  <c r="ATP15" i="12"/>
  <c r="ATQ15" i="12"/>
  <c r="ATR15" i="12"/>
  <c r="ATS15" i="12"/>
  <c r="ATT15" i="12"/>
  <c r="ATU15" i="12"/>
  <c r="ATV15" i="12"/>
  <c r="ATW15" i="12"/>
  <c r="ATX15" i="12"/>
  <c r="ATY15" i="12"/>
  <c r="ATZ15" i="12"/>
  <c r="AUA15" i="12"/>
  <c r="AUB15" i="12"/>
  <c r="AUC15" i="12"/>
  <c r="AUD15" i="12"/>
  <c r="AUE15" i="12"/>
  <c r="AUF15" i="12"/>
  <c r="AUG15" i="12"/>
  <c r="AUH15" i="12"/>
  <c r="AUI15" i="12"/>
  <c r="AUJ15" i="12"/>
  <c r="AUK15" i="12"/>
  <c r="AUL15" i="12"/>
  <c r="AUM15" i="12"/>
  <c r="AUN15" i="12"/>
  <c r="AUO15" i="12"/>
  <c r="AUP15" i="12"/>
  <c r="AUQ15" i="12"/>
  <c r="AUR15" i="12"/>
  <c r="AUS15" i="12"/>
  <c r="AUT15" i="12"/>
  <c r="AUU15" i="12"/>
  <c r="AUV15" i="12"/>
  <c r="AUW15" i="12"/>
  <c r="AUX15" i="12"/>
  <c r="AUY15" i="12"/>
  <c r="AUZ15" i="12"/>
  <c r="AVA15" i="12"/>
  <c r="AVB15" i="12"/>
  <c r="AVC15" i="12"/>
  <c r="AVD15" i="12"/>
  <c r="AVE15" i="12"/>
  <c r="AVF15" i="12"/>
  <c r="AVG15" i="12"/>
  <c r="AVH15" i="12"/>
  <c r="AVI15" i="12"/>
  <c r="AVJ15" i="12"/>
  <c r="AVK15" i="12"/>
  <c r="AVL15" i="12"/>
  <c r="AVM15" i="12"/>
  <c r="AVN15" i="12"/>
  <c r="AVO15" i="12"/>
  <c r="AVP15" i="12"/>
  <c r="AVQ15" i="12"/>
  <c r="AVR15" i="12"/>
  <c r="AVS15" i="12"/>
  <c r="AVT15" i="12"/>
  <c r="AVU15" i="12"/>
  <c r="AVV15" i="12"/>
  <c r="AVW15" i="12"/>
  <c r="AVX15" i="12"/>
  <c r="AVY15" i="12"/>
  <c r="AVZ15" i="12"/>
  <c r="AWA15" i="12"/>
  <c r="AWB15" i="12"/>
  <c r="AWC15" i="12"/>
  <c r="AWD15" i="12"/>
  <c r="AWE15" i="12"/>
  <c r="AWF15" i="12"/>
  <c r="AWG15" i="12"/>
  <c r="AWH15" i="12"/>
  <c r="AWI15" i="12"/>
  <c r="AWJ15" i="12"/>
  <c r="AWK15" i="12"/>
  <c r="AWL15" i="12"/>
  <c r="AWM15" i="12"/>
  <c r="AWN15" i="12"/>
  <c r="AWO15" i="12"/>
  <c r="AWP15" i="12"/>
  <c r="AWQ15" i="12"/>
  <c r="AWR15" i="12"/>
  <c r="AWS15" i="12"/>
  <c r="AWT15" i="12"/>
  <c r="AWU15" i="12"/>
  <c r="AWV15" i="12"/>
  <c r="AWW15" i="12"/>
  <c r="AWX15" i="12"/>
  <c r="AWY15" i="12"/>
  <c r="AWZ15" i="12"/>
  <c r="AXA15" i="12"/>
  <c r="AXB15" i="12"/>
  <c r="AXC15" i="12"/>
  <c r="AXD15" i="12"/>
  <c r="AXE15" i="12"/>
  <c r="AXF15" i="12"/>
  <c r="AXG15" i="12"/>
  <c r="AXH15" i="12"/>
  <c r="AXI15" i="12"/>
  <c r="AXJ15" i="12"/>
  <c r="AXK15" i="12"/>
  <c r="AXL15" i="12"/>
  <c r="AXM15" i="12"/>
  <c r="AXN15" i="12"/>
  <c r="AXO15" i="12"/>
  <c r="AXP15" i="12"/>
  <c r="AXQ15" i="12"/>
  <c r="AXR15" i="12"/>
  <c r="AXS15" i="12"/>
  <c r="AXT15" i="12"/>
  <c r="AXU15" i="12"/>
  <c r="AXV15" i="12"/>
  <c r="AXW15" i="12"/>
  <c r="AXX15" i="12"/>
  <c r="AXY15" i="12"/>
  <c r="AXZ15" i="12"/>
  <c r="AYA15" i="12"/>
  <c r="AYB15" i="12"/>
  <c r="AYC15" i="12"/>
  <c r="AYD15" i="12"/>
  <c r="AYE15" i="12"/>
  <c r="AYF15" i="12"/>
  <c r="AYG15" i="12"/>
  <c r="AYH15" i="12"/>
  <c r="AYI15" i="12"/>
  <c r="AYJ15" i="12"/>
  <c r="AYK15" i="12"/>
  <c r="AYL15" i="12"/>
  <c r="AYM15" i="12"/>
  <c r="AYN15" i="12"/>
  <c r="AYO15" i="12"/>
  <c r="AYP15" i="12"/>
  <c r="AYQ15" i="12"/>
  <c r="AYR15" i="12"/>
  <c r="AYS15" i="12"/>
  <c r="AYT15" i="12"/>
  <c r="AYU15" i="12"/>
  <c r="AYV15" i="12"/>
  <c r="AYW15" i="12"/>
  <c r="AYX15" i="12"/>
  <c r="AYY15" i="12"/>
  <c r="AYZ15" i="12"/>
  <c r="AZA15" i="12"/>
  <c r="AZB15" i="12"/>
  <c r="AZC15" i="12"/>
  <c r="AZD15" i="12"/>
  <c r="AZE15" i="12"/>
  <c r="AZF15" i="12"/>
  <c r="AZG15" i="12"/>
  <c r="AZH15" i="12"/>
  <c r="AZI15" i="12"/>
  <c r="AZJ15" i="12"/>
  <c r="AZK15" i="12"/>
  <c r="AZL15" i="12"/>
  <c r="AZM15" i="12"/>
  <c r="AZN15" i="12"/>
  <c r="AZO15" i="12"/>
  <c r="AZP15" i="12"/>
  <c r="AZQ15" i="12"/>
  <c r="AZR15" i="12"/>
  <c r="AZS15" i="12"/>
  <c r="AZT15" i="12"/>
  <c r="AZU15" i="12"/>
  <c r="AZV15" i="12"/>
  <c r="AZW15" i="12"/>
  <c r="AZX15" i="12"/>
  <c r="AZY15" i="12"/>
  <c r="AZZ15" i="12"/>
  <c r="BAA15" i="12"/>
  <c r="BAB15" i="12"/>
  <c r="BAC15" i="12"/>
  <c r="BAD15" i="12"/>
  <c r="BAE15" i="12"/>
  <c r="BAF15" i="12"/>
  <c r="BAG15" i="12"/>
  <c r="BAH15" i="12"/>
  <c r="BAI15" i="12"/>
  <c r="BAJ15" i="12"/>
  <c r="BAK15" i="12"/>
  <c r="BAL15" i="12"/>
  <c r="BAM15" i="12"/>
  <c r="BAN15" i="12"/>
  <c r="BAO15" i="12"/>
  <c r="BAP15" i="12"/>
  <c r="BAQ15" i="12"/>
  <c r="BAR15" i="12"/>
  <c r="BAS15" i="12"/>
  <c r="BAT15" i="12"/>
  <c r="BAU15" i="12"/>
  <c r="BAV15" i="12"/>
  <c r="BAW15" i="12"/>
  <c r="BAX15" i="12"/>
  <c r="BAY15" i="12"/>
  <c r="BAZ15" i="12"/>
  <c r="BBA15" i="12"/>
  <c r="BBB15" i="12"/>
  <c r="BBC15" i="12"/>
  <c r="BBD15" i="12"/>
  <c r="BBE15" i="12"/>
  <c r="BBF15" i="12"/>
  <c r="BBG15" i="12"/>
  <c r="BBH15" i="12"/>
  <c r="BBI15" i="12"/>
  <c r="BBJ15" i="12"/>
  <c r="BBK15" i="12"/>
  <c r="BBL15" i="12"/>
  <c r="BBM15" i="12"/>
  <c r="BBN15" i="12"/>
  <c r="BBO15" i="12"/>
  <c r="BBP15" i="12"/>
  <c r="BBQ15" i="12"/>
  <c r="BBR15" i="12"/>
  <c r="BBS15" i="12"/>
  <c r="BBT15" i="12"/>
  <c r="BBU15" i="12"/>
  <c r="BBV15" i="12"/>
  <c r="BBW15" i="12"/>
  <c r="BBX15" i="12"/>
  <c r="BBY15" i="12"/>
  <c r="BBZ15" i="12"/>
  <c r="BCA15" i="12"/>
  <c r="BCB15" i="12"/>
  <c r="BCC15" i="12"/>
  <c r="BCD15" i="12"/>
  <c r="BCE15" i="12"/>
  <c r="BCF15" i="12"/>
  <c r="BCG15" i="12"/>
  <c r="BCH15" i="12"/>
  <c r="BCI15" i="12"/>
  <c r="BCJ15" i="12"/>
  <c r="BCK15" i="12"/>
  <c r="BCL15" i="12"/>
  <c r="BCM15" i="12"/>
  <c r="BCN15" i="12"/>
  <c r="BCO15" i="12"/>
  <c r="BCP15" i="12"/>
  <c r="BCQ15" i="12"/>
  <c r="BCR15" i="12"/>
  <c r="BCS15" i="12"/>
  <c r="BCT15" i="12"/>
  <c r="BCU15" i="12"/>
  <c r="BCV15" i="12"/>
  <c r="BCW15" i="12"/>
  <c r="BCX15" i="12"/>
  <c r="BCY15" i="12"/>
  <c r="BCZ15" i="12"/>
  <c r="BDA15" i="12"/>
  <c r="BDB15" i="12"/>
  <c r="BDC15" i="12"/>
  <c r="BDD15" i="12"/>
  <c r="BDE15" i="12"/>
  <c r="BDF15" i="12"/>
  <c r="BDG15" i="12"/>
  <c r="BDH15" i="12"/>
  <c r="BDI15" i="12"/>
  <c r="BDJ15" i="12"/>
  <c r="BDK15" i="12"/>
  <c r="BDL15" i="12"/>
  <c r="BDM15" i="12"/>
  <c r="BDN15" i="12"/>
  <c r="BDO15" i="12"/>
  <c r="BDP15" i="12"/>
  <c r="BDQ15" i="12"/>
  <c r="BDR15" i="12"/>
  <c r="BDS15" i="12"/>
  <c r="BDT15" i="12"/>
  <c r="BDU15" i="12"/>
  <c r="BDV15" i="12"/>
  <c r="BDW15" i="12"/>
  <c r="BDX15" i="12"/>
  <c r="BDY15" i="12"/>
  <c r="BDZ15" i="12"/>
  <c r="BEA15" i="12"/>
  <c r="BEB15" i="12"/>
  <c r="BEC15" i="12"/>
  <c r="BED15" i="12"/>
  <c r="BEE15" i="12"/>
  <c r="BEF15" i="12"/>
  <c r="BEG15" i="12"/>
  <c r="BEH15" i="12"/>
  <c r="BEI15" i="12"/>
  <c r="BEJ15" i="12"/>
  <c r="BEK15" i="12"/>
  <c r="BEL15" i="12"/>
  <c r="BEM15" i="12"/>
  <c r="BEN15" i="12"/>
  <c r="BEO15" i="12"/>
  <c r="BEP15" i="12"/>
  <c r="BEQ15" i="12"/>
  <c r="BER15" i="12"/>
  <c r="BES15" i="12"/>
  <c r="BET15" i="12"/>
  <c r="BEU15" i="12"/>
  <c r="BEV15" i="12"/>
  <c r="BEW15" i="12"/>
  <c r="BEX15" i="12"/>
  <c r="BEY15" i="12"/>
  <c r="BEZ15" i="12"/>
  <c r="BFA15" i="12"/>
  <c r="BFB15" i="12"/>
  <c r="BFC15" i="12"/>
  <c r="BFD15" i="12"/>
  <c r="BFE15" i="12"/>
  <c r="BFF15" i="12"/>
  <c r="BFG15" i="12"/>
  <c r="BFH15" i="12"/>
  <c r="BFI15" i="12"/>
  <c r="BFJ15" i="12"/>
  <c r="BFK15" i="12"/>
  <c r="BFL15" i="12"/>
  <c r="BFM15" i="12"/>
  <c r="BFN15" i="12"/>
  <c r="BFO15" i="12"/>
  <c r="BFP15" i="12"/>
  <c r="BFQ15" i="12"/>
  <c r="BFR15" i="12"/>
  <c r="BFS15" i="12"/>
  <c r="BFT15" i="12"/>
  <c r="BFU15" i="12"/>
  <c r="BFV15" i="12"/>
  <c r="BFW15" i="12"/>
  <c r="BFX15" i="12"/>
  <c r="BFY15" i="12"/>
  <c r="BFZ15" i="12"/>
  <c r="BGA15" i="12"/>
  <c r="BGB15" i="12"/>
  <c r="BGC15" i="12"/>
  <c r="BGD15" i="12"/>
  <c r="BGE15" i="12"/>
  <c r="BGF15" i="12"/>
  <c r="BGG15" i="12"/>
  <c r="BGH15" i="12"/>
  <c r="BGI15" i="12"/>
  <c r="BGJ15" i="12"/>
  <c r="BGK15" i="12"/>
  <c r="BGL15" i="12"/>
  <c r="BFS16" i="12"/>
  <c r="BFT16" i="12"/>
  <c r="BFU16" i="12"/>
  <c r="BFV16" i="12"/>
  <c r="BFW16" i="12"/>
  <c r="BFX16" i="12"/>
  <c r="BFY16" i="12"/>
  <c r="BFZ16" i="12"/>
  <c r="BGA16" i="12"/>
  <c r="BGB16" i="12"/>
  <c r="BGC16" i="12"/>
  <c r="BGD16" i="12"/>
  <c r="BGE16" i="12"/>
  <c r="BGF16" i="12"/>
  <c r="BGG16" i="12"/>
  <c r="BGH16" i="12"/>
  <c r="BGI16" i="12"/>
  <c r="BGJ16" i="12"/>
  <c r="BGK16" i="12"/>
  <c r="BGL16" i="12"/>
  <c r="BFS17" i="12"/>
  <c r="BFT17" i="12"/>
  <c r="BFU17" i="12"/>
  <c r="BFV17" i="12"/>
  <c r="BFW17" i="12"/>
  <c r="BFX17" i="12"/>
  <c r="BFY17" i="12"/>
  <c r="BFZ17" i="12"/>
  <c r="BGA17" i="12"/>
  <c r="BGB17" i="12"/>
  <c r="BGC17" i="12"/>
  <c r="BGD17" i="12"/>
  <c r="BGE17" i="12"/>
  <c r="BGF17" i="12"/>
  <c r="BGG17" i="12"/>
  <c r="BGH17" i="12"/>
  <c r="BGI17" i="12"/>
  <c r="BGJ17" i="12"/>
  <c r="BGK17" i="12"/>
  <c r="BGL17" i="12"/>
  <c r="BHU10" i="12"/>
  <c r="BHT10" i="12"/>
  <c r="BHS10" i="12"/>
  <c r="BHR10" i="12"/>
  <c r="BHQ10" i="12"/>
  <c r="BHP10" i="12"/>
  <c r="BHO10" i="12"/>
  <c r="BHN10" i="12"/>
  <c r="BHM10" i="12"/>
  <c r="BHL10" i="12"/>
  <c r="BHK10" i="12"/>
  <c r="BHJ10" i="12"/>
  <c r="BHI10" i="12"/>
  <c r="BHH10" i="12"/>
  <c r="BHG10" i="12"/>
  <c r="BHF10" i="12"/>
  <c r="BHE10" i="12"/>
  <c r="BHD10" i="12"/>
  <c r="BHC10" i="12"/>
  <c r="BHB10" i="12"/>
  <c r="BHA10" i="12"/>
  <c r="BGZ10" i="12"/>
  <c r="BGY10" i="12"/>
  <c r="BGX10" i="12"/>
  <c r="BGW10" i="12"/>
  <c r="BGV10" i="12"/>
  <c r="BGU10" i="12"/>
  <c r="BGT10" i="12"/>
  <c r="BGS10" i="12"/>
  <c r="BGR10" i="12"/>
  <c r="BGQ10" i="12"/>
  <c r="BGP10" i="12"/>
  <c r="BGO10" i="12"/>
  <c r="BGN10" i="12"/>
  <c r="BGM10" i="12"/>
  <c r="BGM13" i="12"/>
  <c r="BGN13" i="12"/>
  <c r="BGO13" i="12"/>
  <c r="BGP13" i="12"/>
  <c r="BGQ13" i="12"/>
  <c r="BGR13" i="12"/>
  <c r="BGS13" i="12"/>
  <c r="BGT13" i="12"/>
  <c r="BGU13" i="12"/>
  <c r="BGV13" i="12"/>
  <c r="BGW13" i="12"/>
  <c r="BGX13" i="12"/>
  <c r="BGY13" i="12"/>
  <c r="BGZ13" i="12"/>
  <c r="BHA13" i="12"/>
  <c r="BHB13" i="12"/>
  <c r="BHC13" i="12"/>
  <c r="BHD13" i="12"/>
  <c r="BHE13" i="12"/>
  <c r="BHF13" i="12"/>
  <c r="BHG13" i="12"/>
  <c r="BHH13" i="12"/>
  <c r="BHI13" i="12"/>
  <c r="BHJ13" i="12"/>
  <c r="BHK13" i="12"/>
  <c r="BHL13" i="12"/>
  <c r="BHM13" i="12"/>
  <c r="BHN13" i="12"/>
  <c r="BHO13" i="12"/>
  <c r="BHP13" i="12"/>
  <c r="BHQ13" i="12"/>
  <c r="BHR13" i="12"/>
  <c r="BHS13" i="12"/>
  <c r="BHT13" i="12"/>
  <c r="BHU13" i="12"/>
  <c r="BGM15" i="12"/>
  <c r="BGN15" i="12"/>
  <c r="BGO15" i="12"/>
  <c r="BGP15" i="12"/>
  <c r="BGQ15" i="12"/>
  <c r="BGR15" i="12"/>
  <c r="BGS15" i="12"/>
  <c r="BGT15" i="12"/>
  <c r="BGU15" i="12"/>
  <c r="BGV15" i="12"/>
  <c r="BGW15" i="12"/>
  <c r="BGX15" i="12"/>
  <c r="BGY15" i="12"/>
  <c r="BGZ15" i="12"/>
  <c r="BHA15" i="12"/>
  <c r="BHB15" i="12"/>
  <c r="BHC15" i="12"/>
  <c r="BHD15" i="12"/>
  <c r="BHE15" i="12"/>
  <c r="BHF15" i="12"/>
  <c r="BHG15" i="12"/>
  <c r="BHH15" i="12"/>
  <c r="BHI15" i="12"/>
  <c r="BHJ15" i="12"/>
  <c r="BHK15" i="12"/>
  <c r="BHL15" i="12"/>
  <c r="BHM15" i="12"/>
  <c r="BHN15" i="12"/>
  <c r="BHO15" i="12"/>
  <c r="BHP15" i="12"/>
  <c r="BHQ15" i="12"/>
  <c r="BHR15" i="12"/>
  <c r="BHS15" i="12"/>
  <c r="BHU15" i="12"/>
  <c r="BHT15" i="12"/>
  <c r="UZ2" i="12"/>
  <c r="VA2" i="12"/>
  <c r="VB2" i="12"/>
  <c r="VC2" i="12"/>
  <c r="VD2" i="12"/>
  <c r="BFD14" i="12"/>
  <c r="BFE14" i="12"/>
  <c r="BFF14" i="12"/>
  <c r="BFG14" i="12"/>
  <c r="BFH14" i="12"/>
  <c r="BFI14" i="12"/>
  <c r="BFJ14" i="12"/>
  <c r="BFK14" i="12"/>
  <c r="BFL14" i="12"/>
  <c r="BFM14" i="12"/>
  <c r="BFN14" i="12"/>
  <c r="BFO14" i="12"/>
  <c r="BFP14" i="12"/>
  <c r="BFQ14" i="12"/>
  <c r="BFQ17" i="12"/>
  <c r="BFP17" i="12"/>
  <c r="BFO17" i="12"/>
  <c r="BFN17" i="12"/>
  <c r="BFM17" i="12"/>
  <c r="BFL17" i="12"/>
  <c r="BFK17" i="12"/>
  <c r="BFJ17" i="12"/>
  <c r="BFI17" i="12"/>
  <c r="BFH17" i="12"/>
  <c r="BFG17" i="12"/>
  <c r="BFF17" i="12"/>
  <c r="BFE17" i="12"/>
  <c r="BCV14" i="12"/>
  <c r="BCW14" i="12"/>
  <c r="BCV17" i="12"/>
  <c r="BCU14" i="12"/>
  <c r="BCU10" i="12"/>
  <c r="BCU17" i="12"/>
  <c r="BCW17" i="12"/>
  <c r="BCT10" i="12"/>
  <c r="BCX17" i="12"/>
  <c r="BCX14" i="12"/>
  <c r="BCT14" i="12"/>
  <c r="BCS10" i="12"/>
  <c r="BCY14" i="12"/>
  <c r="BCY17" i="12"/>
  <c r="BCR10" i="12"/>
  <c r="BDA17" i="12"/>
  <c r="BCZ14" i="12"/>
  <c r="BCZ17" i="12"/>
  <c r="BCQ10" i="12"/>
  <c r="BDB17" i="12"/>
  <c r="BDA14" i="12"/>
  <c r="BCP10" i="12"/>
  <c r="BDB14" i="12"/>
  <c r="BCO10" i="12"/>
  <c r="BDD17" i="12"/>
  <c r="BDC14" i="12"/>
  <c r="BDC17" i="12"/>
  <c r="BCN10" i="12"/>
  <c r="BDE17" i="12"/>
  <c r="BDD14" i="12"/>
  <c r="BCM10" i="12"/>
  <c r="BDF17" i="12"/>
  <c r="BDE14" i="12"/>
  <c r="BCL10" i="12"/>
  <c r="BDG17" i="12"/>
  <c r="BDF14" i="12"/>
  <c r="BCK10" i="12"/>
  <c r="BDG14" i="12"/>
  <c r="BCJ10" i="12"/>
  <c r="BCI10" i="12"/>
  <c r="BCH10" i="12"/>
  <c r="BDH17" i="12"/>
  <c r="BDI17" i="12"/>
  <c r="BDH14" i="12"/>
  <c r="BCG10" i="12"/>
  <c r="BDJ17" i="12"/>
  <c r="BDI14" i="12"/>
  <c r="BCF10" i="12"/>
  <c r="BDK17" i="12"/>
  <c r="BDJ14" i="12"/>
  <c r="BCE10" i="12"/>
  <c r="BDK14" i="12"/>
  <c r="BCD10" i="12"/>
  <c r="BDL17" i="12"/>
  <c r="BDL14" i="12"/>
  <c r="BCC10" i="12"/>
  <c r="BCB10" i="12"/>
  <c r="BCA10" i="12"/>
  <c r="BDN17" i="12"/>
  <c r="BDM17" i="12"/>
  <c r="BDM14" i="12"/>
  <c r="BBZ10" i="12"/>
  <c r="BDO17" i="12"/>
  <c r="BDN14" i="12"/>
  <c r="BBY10" i="12"/>
  <c r="BDP17" i="12"/>
  <c r="BDO14" i="12"/>
  <c r="BBX10" i="12"/>
  <c r="BDP14" i="12"/>
  <c r="BBW10" i="12"/>
  <c r="BDR17" i="12"/>
  <c r="BDQ14" i="12"/>
  <c r="BDQ17" i="12"/>
  <c r="BBV10" i="12"/>
  <c r="BBU10" i="12"/>
  <c r="BBT10" i="12"/>
  <c r="BDS17" i="12"/>
  <c r="BDR14" i="12"/>
  <c r="BBS10" i="12"/>
  <c r="BDS14" i="12"/>
  <c r="BDT17" i="12"/>
  <c r="BBR10" i="12"/>
  <c r="BGM16" i="12"/>
  <c r="BGM17" i="12"/>
  <c r="BDT14" i="12"/>
  <c r="BDU17" i="12"/>
  <c r="BBQ10" i="12"/>
  <c r="BGN16" i="12"/>
  <c r="BGN17" i="12"/>
  <c r="BDV17" i="12"/>
  <c r="BDU14" i="12"/>
  <c r="BBP10" i="12"/>
  <c r="BGO16" i="12"/>
  <c r="BGO17" i="12"/>
  <c r="BDW17" i="12"/>
  <c r="BDV14" i="12"/>
  <c r="BBO10" i="12"/>
  <c r="BBN10" i="12"/>
  <c r="BBM10" i="12"/>
  <c r="BGP16" i="12"/>
  <c r="BGP17" i="12"/>
  <c r="BDX17" i="12"/>
  <c r="BDW14" i="12"/>
  <c r="BBL10" i="12"/>
  <c r="BGQ16" i="12"/>
  <c r="BGQ17" i="12"/>
  <c r="BDY17" i="12"/>
  <c r="BDX14" i="12"/>
  <c r="BBK10" i="12"/>
  <c r="BGR16" i="12"/>
  <c r="BGR17" i="12"/>
  <c r="BDZ17" i="12"/>
  <c r="BDY14" i="12"/>
  <c r="BBJ10" i="12"/>
  <c r="BGS16" i="12"/>
  <c r="BGS17" i="12"/>
  <c r="BEA17" i="12"/>
  <c r="BDZ14" i="12"/>
  <c r="BBI10" i="12"/>
  <c r="BGT16" i="12"/>
  <c r="BGT17" i="12"/>
  <c r="BEB17" i="12"/>
  <c r="BEA14" i="12"/>
  <c r="BBH10" i="12"/>
  <c r="BBG10" i="12"/>
  <c r="BBF10" i="12"/>
  <c r="BGU16" i="12"/>
  <c r="BGU17" i="12"/>
  <c r="BEC17" i="12"/>
  <c r="BEB14" i="12"/>
  <c r="BBE10" i="12"/>
  <c r="BGV16" i="12"/>
  <c r="BGV17" i="12"/>
  <c r="BEC14" i="12"/>
  <c r="BBD10" i="12"/>
  <c r="BGW16" i="12"/>
  <c r="BGW17" i="12"/>
  <c r="BEE17" i="12"/>
  <c r="BED14" i="12"/>
  <c r="BED17" i="12"/>
  <c r="BBC10" i="12"/>
  <c r="BGX16" i="12"/>
  <c r="BGX17" i="12"/>
  <c r="BEE14" i="12"/>
  <c r="BBB10" i="12"/>
  <c r="BGY16" i="12"/>
  <c r="BGY17" i="12"/>
  <c r="BEF17" i="12"/>
  <c r="BEG17" i="12"/>
  <c r="BEF14" i="12"/>
  <c r="BBA10" i="12"/>
  <c r="BAZ10" i="12"/>
  <c r="BAY10" i="12"/>
  <c r="BGZ16" i="12"/>
  <c r="BGZ17" i="12"/>
  <c r="BEH17" i="12"/>
  <c r="BEG14" i="12"/>
  <c r="BAX10" i="12"/>
  <c r="BHA16" i="12"/>
  <c r="BHA17" i="12"/>
  <c r="BEI17" i="12"/>
  <c r="BEH14" i="12"/>
  <c r="BAW10" i="12"/>
  <c r="BHB16" i="12"/>
  <c r="BHB17" i="12"/>
  <c r="BEI14" i="12"/>
  <c r="BAV10" i="12"/>
  <c r="BHC16" i="12"/>
  <c r="BHC17" i="12"/>
  <c r="BEK17" i="12"/>
  <c r="BEJ14" i="12"/>
  <c r="BEJ17" i="12"/>
  <c r="BAU10" i="12"/>
  <c r="BHD16" i="12"/>
  <c r="BHD17" i="12"/>
  <c r="BEK14" i="12"/>
  <c r="BEL17" i="12"/>
  <c r="BAT10" i="12"/>
  <c r="BAS10" i="12"/>
  <c r="BAR10" i="12"/>
  <c r="BHE16" i="12"/>
  <c r="BHE17" i="12"/>
  <c r="BEM17" i="12"/>
  <c r="BEL14" i="12"/>
  <c r="BAQ10" i="12"/>
  <c r="BHF16" i="12"/>
  <c r="BHF17" i="12"/>
  <c r="BEN17" i="12"/>
  <c r="BEM14" i="12"/>
  <c r="BAP10" i="12"/>
  <c r="BHG16" i="12"/>
  <c r="BHG17" i="12"/>
  <c r="BEN14" i="12"/>
  <c r="BAO10" i="12"/>
  <c r="BHH16" i="12"/>
  <c r="BHH17" i="12"/>
  <c r="BEP17" i="12"/>
  <c r="BEO14" i="12"/>
  <c r="BEO17" i="12"/>
  <c r="BAN10" i="12"/>
  <c r="BHI16" i="12"/>
  <c r="BHI17" i="12"/>
  <c r="BEQ17" i="12"/>
  <c r="BEP14" i="12"/>
  <c r="BAM10" i="12"/>
  <c r="BAL10" i="12"/>
  <c r="BAK10" i="12"/>
  <c r="BHJ16" i="12"/>
  <c r="BHJ17" i="12"/>
  <c r="BER17" i="12"/>
  <c r="BEQ14" i="12"/>
  <c r="BAJ10" i="12"/>
  <c r="BHK16" i="12"/>
  <c r="BHK17" i="12"/>
  <c r="BES17" i="12"/>
  <c r="BER14" i="12"/>
  <c r="BAI10" i="12"/>
  <c r="BHL16" i="12"/>
  <c r="BHL17" i="12"/>
  <c r="BET17" i="12"/>
  <c r="BES14" i="12"/>
  <c r="BAH10" i="12"/>
  <c r="BHM16" i="12"/>
  <c r="BHM17" i="12"/>
  <c r="BEU17" i="12"/>
  <c r="BET14" i="12"/>
  <c r="BAG10" i="12"/>
  <c r="BHN16" i="12"/>
  <c r="BHN17" i="12"/>
  <c r="BEV17" i="12"/>
  <c r="BEU14" i="12"/>
  <c r="BAF10" i="12"/>
  <c r="BAE10" i="12"/>
  <c r="BAD10" i="12"/>
  <c r="BHO16" i="12"/>
  <c r="BHO17" i="12"/>
  <c r="BEW17" i="12"/>
  <c r="BEV14" i="12"/>
  <c r="BAC10" i="12"/>
  <c r="BHP16" i="12"/>
  <c r="BHP17" i="12"/>
  <c r="BEX17" i="12"/>
  <c r="BEW14" i="12"/>
  <c r="BAB10" i="12"/>
  <c r="BHQ16" i="12"/>
  <c r="BHQ17" i="12"/>
  <c r="BEX14" i="12"/>
  <c r="BAA10" i="12"/>
  <c r="BHR16" i="12"/>
  <c r="BHR17" i="12"/>
  <c r="BEY17" i="12"/>
  <c r="BEZ17" i="12"/>
  <c r="BEY14" i="12"/>
  <c r="AZZ10" i="12"/>
  <c r="BHS16" i="12"/>
  <c r="BHS17" i="12"/>
  <c r="BEZ14" i="12"/>
  <c r="AZY10" i="12"/>
  <c r="AZX10" i="12"/>
  <c r="AZW10" i="12"/>
  <c r="BHU16" i="12"/>
  <c r="BHT16" i="12"/>
  <c r="BHT17" i="12"/>
  <c r="BFA17" i="12"/>
  <c r="BFB17" i="12"/>
  <c r="BFA14" i="12"/>
  <c r="AZV10" i="12"/>
  <c r="BHU17" i="12"/>
  <c r="BFB14" i="12"/>
  <c r="AZU10" i="12"/>
  <c r="BFR14" i="12"/>
  <c r="BFC17" i="12"/>
  <c r="BFR17" i="12"/>
  <c r="BFD17" i="12"/>
  <c r="BFC14" i="12"/>
  <c r="AZT10" i="12"/>
  <c r="AZS10" i="12"/>
  <c r="AZR10" i="12"/>
  <c r="AZQ10" i="12"/>
  <c r="AZP10" i="12"/>
  <c r="AZO10" i="12"/>
  <c r="AZN10" i="12"/>
  <c r="AZM10" i="12"/>
  <c r="AZL10" i="12"/>
  <c r="AZK10" i="12"/>
  <c r="AZJ10" i="12"/>
  <c r="AZI10" i="12"/>
  <c r="AZH10" i="12"/>
  <c r="AZG10" i="12"/>
  <c r="AZF10" i="12"/>
  <c r="AZE10" i="12"/>
  <c r="AZD10" i="12"/>
  <c r="AZC10" i="12"/>
  <c r="AZB10" i="12"/>
  <c r="AZA10" i="12"/>
  <c r="AYZ10" i="12"/>
  <c r="AYY10" i="12"/>
  <c r="AYX10" i="12"/>
  <c r="AYW10" i="12"/>
  <c r="AYV10" i="12"/>
  <c r="AYU10" i="12"/>
  <c r="AYT10" i="12"/>
  <c r="AYS10" i="12"/>
  <c r="AYR10" i="12"/>
  <c r="AYQ10" i="12"/>
  <c r="AYP10" i="12"/>
  <c r="AYO10" i="12"/>
  <c r="AYN10" i="12"/>
  <c r="AYM10" i="12"/>
  <c r="AYL10" i="12"/>
  <c r="AYK10" i="12"/>
  <c r="AYJ10" i="12"/>
  <c r="AYI10" i="12"/>
  <c r="AYH10" i="12"/>
  <c r="AYG10" i="12"/>
  <c r="AYF10" i="12"/>
  <c r="AYE10" i="12"/>
  <c r="AYD10" i="12"/>
  <c r="AYC10" i="12"/>
  <c r="AYB10" i="12"/>
  <c r="AYA10" i="12"/>
  <c r="AXZ10" i="12"/>
  <c r="AXY10" i="12"/>
  <c r="AXX10" i="12"/>
  <c r="AXW10" i="12"/>
  <c r="AXV10" i="12"/>
  <c r="AXU10" i="12"/>
  <c r="AXT10" i="12"/>
  <c r="AXS10" i="12"/>
  <c r="AXR10" i="12"/>
  <c r="AXQ10" i="12"/>
  <c r="AXP10" i="12"/>
  <c r="AXO10" i="12"/>
  <c r="AXN10" i="12"/>
  <c r="AXM10" i="12"/>
  <c r="AXL10" i="12"/>
  <c r="AXK10" i="12"/>
  <c r="AXJ10" i="12"/>
  <c r="Q3" i="12"/>
  <c r="AXI10" i="12"/>
  <c r="AXG10" i="12"/>
  <c r="AXH10" i="12"/>
  <c r="AXF10" i="12"/>
  <c r="AXE10" i="12"/>
  <c r="AXD10" i="12"/>
  <c r="AXC10" i="12"/>
  <c r="AXB10" i="12"/>
  <c r="AXA10" i="12"/>
  <c r="AWZ10" i="12"/>
  <c r="AWY10" i="12"/>
  <c r="AWX10" i="12"/>
  <c r="AWW10" i="12"/>
  <c r="AWV10" i="12"/>
  <c r="AWU10" i="12"/>
  <c r="AWT10" i="12"/>
  <c r="AWS10" i="12"/>
  <c r="AWR10" i="12"/>
  <c r="AWQ10" i="12"/>
  <c r="AWP10" i="12"/>
  <c r="AWO10" i="12"/>
  <c r="AWN10" i="12"/>
  <c r="AWM10" i="12"/>
  <c r="AWL10" i="12"/>
  <c r="AWK10" i="12"/>
  <c r="AWJ10" i="12"/>
  <c r="AWI10" i="12"/>
  <c r="AWH10" i="12"/>
  <c r="AWG10" i="12"/>
  <c r="AWF10" i="12"/>
  <c r="AWE10" i="12"/>
  <c r="AWD10" i="12"/>
  <c r="AWC10" i="12"/>
  <c r="AWB10" i="12"/>
  <c r="AWA10" i="12"/>
  <c r="AVZ10" i="12"/>
  <c r="AVY10" i="12"/>
  <c r="AVX10" i="12"/>
  <c r="AVW10" i="12"/>
  <c r="AVV10" i="12"/>
  <c r="AVU10" i="12"/>
  <c r="AVT10" i="12"/>
  <c r="AVS10" i="12"/>
  <c r="AVR10" i="12"/>
  <c r="AVQ10" i="12"/>
  <c r="AVP10" i="12"/>
  <c r="AVO10" i="12"/>
  <c r="AVN10" i="12"/>
  <c r="AVM10" i="12"/>
  <c r="AVL10" i="12"/>
  <c r="AVK10" i="12"/>
  <c r="AVJ10" i="12"/>
  <c r="AVI10" i="12"/>
  <c r="AVH10" i="12"/>
  <c r="AVG10" i="12"/>
  <c r="AVF10" i="12"/>
  <c r="AVE10" i="12"/>
  <c r="AVD10" i="12"/>
  <c r="AVC10" i="12"/>
  <c r="AVB10" i="12"/>
  <c r="AVA10" i="12"/>
  <c r="AUZ10" i="12"/>
  <c r="AUY10" i="12"/>
  <c r="AUX10" i="12"/>
  <c r="AUW10" i="12"/>
  <c r="AUV10" i="12"/>
  <c r="AUU10" i="12"/>
  <c r="AUT10" i="12"/>
  <c r="AUS10" i="12"/>
  <c r="AUR10" i="12"/>
  <c r="AUQ10" i="12"/>
  <c r="AUP10" i="12"/>
  <c r="AUO10" i="12"/>
  <c r="AUN10" i="12"/>
  <c r="AUM10" i="12"/>
  <c r="AUL10" i="12"/>
  <c r="AUK10" i="12"/>
  <c r="AUJ10" i="12"/>
  <c r="AUI10" i="12"/>
  <c r="AUH10" i="12"/>
  <c r="AUG10" i="12"/>
  <c r="AUF10" i="12"/>
  <c r="AUE10" i="12"/>
  <c r="AUD10" i="12"/>
  <c r="AUC10" i="12"/>
  <c r="AUB10" i="12"/>
  <c r="AUA10" i="12"/>
  <c r="ATZ10" i="12"/>
  <c r="ATY10" i="12"/>
  <c r="ATX10" i="12"/>
  <c r="ATW10" i="12"/>
  <c r="ATV10" i="12"/>
  <c r="ATU10" i="12"/>
  <c r="ATT10" i="12"/>
  <c r="ATS10" i="12"/>
  <c r="ATR10" i="12"/>
  <c r="ATQ10" i="12"/>
  <c r="ATP10" i="12"/>
  <c r="ATO10" i="12"/>
  <c r="ATN10" i="12"/>
  <c r="ATM10" i="12"/>
  <c r="ATL10" i="12"/>
  <c r="ATK10" i="12"/>
  <c r="ATJ10" i="12"/>
  <c r="ATI10" i="12"/>
  <c r="ATH10" i="12"/>
  <c r="ATG10" i="12"/>
  <c r="ATF10" i="12"/>
  <c r="ATE10" i="12"/>
  <c r="ATD10" i="12"/>
  <c r="ATC10" i="12"/>
  <c r="ATB10" i="12"/>
  <c r="ATA10" i="12"/>
  <c r="ASZ10" i="12"/>
  <c r="ASY10" i="12"/>
  <c r="ASX10" i="12"/>
  <c r="ASW10" i="12"/>
  <c r="ASV10" i="12"/>
  <c r="ASU10" i="12"/>
  <c r="AST10" i="12"/>
  <c r="ASS10" i="12"/>
  <c r="ASR10" i="12"/>
  <c r="ASQ10" i="12"/>
  <c r="ASP10" i="12"/>
  <c r="ASO10" i="12"/>
  <c r="ASN10" i="12"/>
  <c r="ASM10" i="12"/>
  <c r="ASL10" i="12"/>
  <c r="ASK10" i="12"/>
  <c r="ASJ10" i="12"/>
  <c r="ASI10" i="12"/>
  <c r="ASH10" i="12"/>
  <c r="ASG10" i="12"/>
  <c r="ASF10" i="12"/>
  <c r="ASE10" i="12"/>
  <c r="ASD10" i="12"/>
  <c r="ASC10" i="12"/>
  <c r="ASB10" i="12"/>
  <c r="ARS10" i="12"/>
  <c r="ARR10" i="12"/>
  <c r="ARQ10" i="12"/>
  <c r="ARP10" i="12"/>
  <c r="ARO10" i="12"/>
  <c r="ARN10" i="12"/>
  <c r="ARM10" i="12"/>
  <c r="ARL10" i="12"/>
  <c r="ARK10" i="12"/>
  <c r="ARJ10" i="12"/>
  <c r="ARI10" i="12"/>
  <c r="ARH10" i="12"/>
  <c r="ARG10" i="12"/>
  <c r="ARF10" i="12"/>
  <c r="ARE10" i="12"/>
  <c r="ARD10" i="12"/>
  <c r="ARC10" i="12"/>
  <c r="ARB10" i="12"/>
  <c r="ARA10" i="12"/>
  <c r="AQZ10" i="12"/>
  <c r="AQY10" i="12"/>
  <c r="AQX10" i="12"/>
  <c r="AQW10" i="12"/>
  <c r="AQV10" i="12"/>
  <c r="AQU10" i="12"/>
  <c r="AQT10" i="12"/>
  <c r="AQS10" i="12"/>
  <c r="AQR10" i="12"/>
  <c r="AQQ10" i="12"/>
  <c r="AQP10" i="12"/>
  <c r="AQO10" i="12"/>
  <c r="ARZ10" i="12"/>
  <c r="ARY10" i="12"/>
  <c r="ARX10" i="12"/>
  <c r="ARW10" i="12"/>
  <c r="ARV10" i="12"/>
  <c r="ARU10" i="12"/>
  <c r="ART10" i="12"/>
  <c r="ASA10" i="12"/>
  <c r="AQN10" i="12"/>
  <c r="AQM10" i="12"/>
  <c r="AQL10" i="12"/>
  <c r="AQK10" i="12"/>
  <c r="AQJ10" i="12"/>
  <c r="AQI10" i="12"/>
  <c r="AQH10" i="12"/>
  <c r="AQG10" i="12"/>
  <c r="AQF10" i="12"/>
  <c r="AQE10" i="12"/>
  <c r="AQD10" i="12"/>
  <c r="AQC10" i="12"/>
  <c r="AQB10" i="12"/>
  <c r="AQA10" i="12"/>
  <c r="APZ10" i="12"/>
  <c r="APY10" i="12"/>
  <c r="APX10" i="12"/>
  <c r="APW10" i="12"/>
  <c r="APV10" i="12"/>
  <c r="APU10" i="12"/>
  <c r="APT10" i="12"/>
  <c r="APM10" i="12"/>
  <c r="APS10" i="12"/>
  <c r="APR10" i="12"/>
  <c r="APQ10" i="12"/>
  <c r="APP10" i="12"/>
  <c r="APO10" i="12"/>
  <c r="QS1" i="12"/>
  <c r="ADQ1" i="12"/>
  <c r="APN10" i="12"/>
  <c r="APL10" i="12"/>
  <c r="APK10" i="12"/>
  <c r="APJ10" i="12"/>
  <c r="API10" i="12"/>
  <c r="APH10" i="12"/>
  <c r="APG10" i="12"/>
  <c r="APF10" i="12"/>
  <c r="APE10" i="12"/>
  <c r="APD10" i="12"/>
  <c r="APC10" i="12"/>
  <c r="APB10" i="12"/>
  <c r="APA10" i="12"/>
  <c r="AOZ10" i="12"/>
  <c r="AOY10" i="12"/>
  <c r="AOX10" i="12"/>
  <c r="AOW10" i="12"/>
  <c r="AOV10" i="12"/>
  <c r="AOU10" i="12"/>
  <c r="AOT10" i="12"/>
  <c r="AOS10" i="12"/>
  <c r="AOR10" i="12"/>
  <c r="AOQ10" i="12"/>
  <c r="AOP10" i="12"/>
  <c r="AOO10" i="12"/>
  <c r="AON10" i="12"/>
  <c r="AOM10" i="12"/>
  <c r="AOL10" i="12"/>
  <c r="AOK10" i="12"/>
  <c r="AOJ10" i="12"/>
  <c r="AOI10" i="12"/>
  <c r="AOH10" i="12"/>
  <c r="AOG10" i="12"/>
  <c r="AOF10" i="12"/>
  <c r="AOE10" i="12"/>
  <c r="AOD10" i="12"/>
  <c r="AOC10" i="12"/>
  <c r="AOB10" i="12"/>
  <c r="AOA10" i="12"/>
  <c r="AMP10" i="12"/>
  <c r="AMH10" i="12"/>
  <c r="AMG10" i="12"/>
  <c r="AMF10" i="12"/>
  <c r="AME10" i="12"/>
  <c r="AMD10" i="12"/>
  <c r="AMC10" i="12"/>
  <c r="AMB10" i="12"/>
  <c r="AMA10" i="12"/>
  <c r="ALZ10" i="12"/>
  <c r="ALY10" i="12"/>
  <c r="ALX10" i="12"/>
  <c r="ALW10" i="12"/>
  <c r="ALT10" i="12"/>
  <c r="ALS10" i="12"/>
  <c r="ALR10" i="12"/>
  <c r="ALQ10" i="12"/>
  <c r="ALP10" i="12"/>
  <c r="ALM10" i="12"/>
  <c r="ALL10" i="12"/>
  <c r="ALK10" i="12"/>
  <c r="ALJ10" i="12"/>
  <c r="ALI10" i="12"/>
  <c r="ALF10" i="12"/>
  <c r="ALE10" i="12"/>
  <c r="ALD10" i="12"/>
  <c r="ALC10" i="12"/>
  <c r="ALB10" i="12"/>
  <c r="AKX10" i="12"/>
  <c r="AKY10" i="12"/>
  <c r="AKW10" i="12"/>
  <c r="AKV10" i="12"/>
  <c r="AKU10" i="12"/>
  <c r="AIH10" i="12"/>
  <c r="J10" i="12"/>
  <c r="K10" i="12"/>
  <c r="L10" i="12"/>
  <c r="M10" i="12"/>
  <c r="N10" i="12"/>
  <c r="O10" i="12"/>
  <c r="P10" i="12"/>
  <c r="Q10" i="12"/>
  <c r="R10" i="12"/>
  <c r="S10" i="12"/>
  <c r="T10" i="12"/>
  <c r="U10" i="12"/>
  <c r="V10" i="12"/>
  <c r="W10" i="12"/>
  <c r="X10" i="12"/>
  <c r="Y10" i="12"/>
  <c r="Z10" i="12"/>
  <c r="AA10" i="12"/>
  <c r="AB10" i="12"/>
  <c r="AC10" i="12"/>
  <c r="AD10" i="12"/>
  <c r="AE10" i="12"/>
  <c r="AF10" i="12"/>
  <c r="AG10" i="12"/>
  <c r="AH10" i="12"/>
  <c r="AI10" i="12"/>
  <c r="AJ10" i="12"/>
  <c r="AK10" i="12"/>
  <c r="AL10" i="12"/>
  <c r="AM10" i="12"/>
  <c r="AN10" i="12"/>
  <c r="AO10" i="12"/>
  <c r="AP10" i="12"/>
  <c r="AQ10" i="12"/>
  <c r="AR10" i="12"/>
  <c r="AS10" i="12"/>
  <c r="AT10" i="12"/>
  <c r="AU10" i="12"/>
  <c r="AV10" i="12"/>
  <c r="AW10" i="12"/>
  <c r="AX10" i="12"/>
  <c r="AY10" i="12"/>
  <c r="AZ10" i="12"/>
  <c r="BA10" i="12"/>
  <c r="BB10" i="12"/>
  <c r="BC10" i="12"/>
  <c r="BD10" i="12"/>
  <c r="BE10" i="12"/>
  <c r="BF10" i="12"/>
  <c r="BG10" i="12"/>
  <c r="BH10" i="12"/>
  <c r="BI10" i="12"/>
  <c r="BJ10" i="12"/>
  <c r="BK10" i="12"/>
  <c r="BL10" i="12"/>
  <c r="BM10" i="12"/>
  <c r="BN10" i="12"/>
  <c r="BO10" i="12"/>
  <c r="BP10" i="12"/>
  <c r="BQ10" i="12"/>
  <c r="BR10" i="12"/>
  <c r="BS10" i="12"/>
  <c r="BT10" i="12"/>
  <c r="BU10" i="12"/>
  <c r="BV10" i="12"/>
  <c r="BW10" i="12"/>
  <c r="BX10" i="12"/>
  <c r="BY10" i="12"/>
  <c r="BZ10" i="12"/>
  <c r="CA10" i="12"/>
  <c r="CB10" i="12"/>
  <c r="CC10" i="12"/>
  <c r="CD10" i="12"/>
  <c r="CE10" i="12"/>
  <c r="CF10" i="12"/>
  <c r="CG10" i="12"/>
  <c r="CH10" i="12"/>
  <c r="CI10" i="12"/>
  <c r="CJ10" i="12"/>
  <c r="CK10" i="12"/>
  <c r="CL10" i="12"/>
  <c r="CM10" i="12"/>
  <c r="CN10" i="12"/>
  <c r="CO10" i="12"/>
  <c r="CP10" i="12"/>
  <c r="CQ10" i="12"/>
  <c r="CR10" i="12"/>
  <c r="CS10" i="12"/>
  <c r="CT10" i="12"/>
  <c r="CU10" i="12"/>
  <c r="CV10" i="12"/>
  <c r="CW10" i="12"/>
  <c r="CX10" i="12"/>
  <c r="CY10" i="12"/>
  <c r="CZ10" i="12"/>
  <c r="DA10" i="12"/>
  <c r="DB10" i="12"/>
  <c r="DC10" i="12"/>
  <c r="DD10" i="12"/>
  <c r="DE10" i="12"/>
  <c r="DF10" i="12"/>
  <c r="DG10" i="12"/>
  <c r="DH10" i="12"/>
  <c r="DI10" i="12"/>
  <c r="DJ10" i="12"/>
  <c r="DK10" i="12"/>
  <c r="DL10" i="12"/>
  <c r="DM10" i="12"/>
  <c r="DN10" i="12"/>
  <c r="DO10" i="12"/>
  <c r="DP10" i="12"/>
  <c r="DQ10" i="12"/>
  <c r="DR10" i="12"/>
  <c r="DS10" i="12"/>
  <c r="DT10" i="12"/>
  <c r="DU10" i="12"/>
  <c r="DV10" i="12"/>
  <c r="DW10" i="12"/>
  <c r="DX10" i="12"/>
  <c r="DY10" i="12"/>
  <c r="DZ10" i="12"/>
  <c r="EA10" i="12"/>
  <c r="EB10" i="12"/>
  <c r="EC10" i="12"/>
  <c r="ED10" i="12"/>
  <c r="EE10" i="12"/>
  <c r="EF10" i="12"/>
  <c r="EG10" i="12"/>
  <c r="EH10" i="12"/>
  <c r="EI10" i="12"/>
  <c r="EJ10" i="12"/>
  <c r="EK10" i="12"/>
  <c r="EL10" i="12"/>
  <c r="EM10" i="12"/>
  <c r="EN10" i="12"/>
  <c r="EO10" i="12"/>
  <c r="EP10" i="12"/>
  <c r="EQ10" i="12"/>
  <c r="ER10" i="12"/>
  <c r="ES10" i="12"/>
  <c r="ET10" i="12"/>
  <c r="EU10" i="12"/>
  <c r="EV10" i="12"/>
  <c r="EW10" i="12"/>
  <c r="EX10" i="12"/>
  <c r="EY10" i="12"/>
  <c r="EZ10" i="12"/>
  <c r="FA10" i="12"/>
  <c r="FB10" i="12"/>
  <c r="FC10" i="12"/>
  <c r="FD10" i="12"/>
  <c r="FE10" i="12"/>
  <c r="FF10" i="12"/>
  <c r="FG10" i="12"/>
  <c r="FH10" i="12"/>
  <c r="FI10" i="12"/>
  <c r="FJ10" i="12"/>
  <c r="FK10" i="12"/>
  <c r="FL10" i="12"/>
  <c r="FM10" i="12"/>
  <c r="FN10" i="12"/>
  <c r="FO10" i="12"/>
  <c r="FP10" i="12"/>
  <c r="FQ10" i="12"/>
  <c r="FR10" i="12"/>
  <c r="FS10" i="12"/>
  <c r="FT10" i="12"/>
  <c r="FU10" i="12"/>
  <c r="FV10" i="12"/>
  <c r="FW10" i="12"/>
  <c r="FX10" i="12"/>
  <c r="FY10" i="12"/>
  <c r="FZ10" i="12"/>
  <c r="GA10" i="12"/>
  <c r="GB10" i="12"/>
  <c r="GC10" i="12"/>
  <c r="GD10" i="12"/>
  <c r="GE10" i="12"/>
  <c r="GF10" i="12"/>
  <c r="GG10" i="12"/>
  <c r="GH10" i="12"/>
  <c r="GI10" i="12"/>
  <c r="GJ10" i="12"/>
  <c r="GK10" i="12"/>
  <c r="GL10" i="12"/>
  <c r="GM10" i="12"/>
  <c r="GN10" i="12"/>
  <c r="GO10" i="12"/>
  <c r="GP10" i="12"/>
  <c r="GQ10" i="12"/>
  <c r="GR10" i="12"/>
  <c r="GS10" i="12"/>
  <c r="GT10" i="12"/>
  <c r="GU10" i="12"/>
  <c r="GV10" i="12"/>
  <c r="GW10" i="12"/>
  <c r="GX10" i="12"/>
  <c r="GY10" i="12"/>
  <c r="GZ10" i="12"/>
  <c r="HA10" i="12"/>
  <c r="HB10" i="12"/>
  <c r="HC10" i="12"/>
  <c r="HD10" i="12"/>
  <c r="HE10" i="12"/>
  <c r="HF10" i="12"/>
  <c r="HG10" i="12"/>
  <c r="HH10" i="12"/>
  <c r="HI10" i="12"/>
  <c r="HJ10" i="12"/>
  <c r="HK10" i="12"/>
  <c r="HL10" i="12"/>
  <c r="HM10" i="12"/>
  <c r="HN10" i="12"/>
  <c r="HO10" i="12"/>
  <c r="HP10" i="12"/>
  <c r="HQ10" i="12"/>
  <c r="HR10" i="12"/>
  <c r="HS10" i="12"/>
  <c r="HT10" i="12"/>
  <c r="HU10" i="12"/>
  <c r="HV10" i="12"/>
  <c r="HW10" i="12"/>
  <c r="HX10" i="12"/>
  <c r="HY10" i="12"/>
  <c r="HZ10" i="12"/>
  <c r="IA10" i="12"/>
  <c r="IB10" i="12"/>
  <c r="IC10" i="12"/>
  <c r="ID10" i="12"/>
  <c r="IE10" i="12"/>
  <c r="IF10" i="12"/>
  <c r="IG10" i="12"/>
  <c r="IH10" i="12"/>
  <c r="II10" i="12"/>
  <c r="IJ10" i="12"/>
  <c r="IK10" i="12"/>
  <c r="IL10" i="12"/>
  <c r="IM10" i="12"/>
  <c r="IN10" i="12"/>
  <c r="IO10" i="12"/>
  <c r="IP10" i="12"/>
  <c r="IQ10" i="12"/>
  <c r="IR10" i="12"/>
  <c r="IS10" i="12"/>
  <c r="IT10" i="12"/>
  <c r="IU10" i="12"/>
  <c r="IV10" i="12"/>
  <c r="IW10" i="12"/>
  <c r="IX10" i="12"/>
  <c r="IY10" i="12"/>
  <c r="IZ10" i="12"/>
  <c r="JA10" i="12"/>
  <c r="JB10" i="12"/>
  <c r="JC10" i="12"/>
  <c r="JD10" i="12"/>
  <c r="JE10" i="12"/>
  <c r="JF10" i="12"/>
  <c r="JG10" i="12"/>
  <c r="JH10" i="12"/>
  <c r="JI10" i="12"/>
  <c r="JJ10" i="12"/>
  <c r="JK10" i="12"/>
  <c r="JL10" i="12"/>
  <c r="JM10" i="12"/>
  <c r="JN10" i="12"/>
  <c r="JO10" i="12"/>
  <c r="JP10" i="12"/>
  <c r="JQ10" i="12"/>
  <c r="JR10" i="12"/>
  <c r="JS10" i="12"/>
  <c r="JT10" i="12"/>
  <c r="JU10" i="12"/>
  <c r="JV10" i="12"/>
  <c r="JW10" i="12"/>
  <c r="JX10" i="12"/>
  <c r="JY10" i="12"/>
  <c r="JZ10" i="12"/>
  <c r="KA10" i="12"/>
  <c r="KB10" i="12"/>
  <c r="KC10" i="12"/>
  <c r="KD10" i="12"/>
  <c r="KE10" i="12"/>
  <c r="KF10" i="12"/>
  <c r="KG10" i="12"/>
  <c r="KH10" i="12"/>
  <c r="KI10" i="12"/>
  <c r="KJ10" i="12"/>
  <c r="KK10" i="12"/>
  <c r="KL10" i="12"/>
  <c r="KM10" i="12"/>
  <c r="KN10" i="12"/>
  <c r="KO10" i="12"/>
  <c r="KP10" i="12"/>
  <c r="KQ10" i="12"/>
  <c r="KR10" i="12"/>
  <c r="KS10" i="12"/>
  <c r="KT10" i="12"/>
  <c r="KU10" i="12"/>
  <c r="KV10" i="12"/>
  <c r="KW10" i="12"/>
  <c r="KX10" i="12"/>
  <c r="KY10" i="12"/>
  <c r="KZ10" i="12"/>
  <c r="LA10" i="12"/>
  <c r="LB10" i="12"/>
  <c r="LC10" i="12"/>
  <c r="LD10" i="12"/>
  <c r="LE10" i="12"/>
  <c r="LF10" i="12"/>
  <c r="LG10" i="12"/>
  <c r="LH10" i="12"/>
  <c r="LI10" i="12"/>
  <c r="LJ10" i="12"/>
  <c r="LK10" i="12"/>
  <c r="LL10" i="12"/>
  <c r="LM10" i="12"/>
  <c r="LN10" i="12"/>
  <c r="LO10" i="12"/>
  <c r="LP10" i="12"/>
  <c r="LQ10" i="12"/>
  <c r="LR10" i="12"/>
  <c r="LS10" i="12"/>
  <c r="LT10" i="12"/>
  <c r="LU10" i="12"/>
  <c r="LV10" i="12"/>
  <c r="LW10" i="12"/>
  <c r="LX10" i="12"/>
  <c r="LY10" i="12"/>
  <c r="LZ10" i="12"/>
  <c r="MA10" i="12"/>
  <c r="MB10" i="12"/>
  <c r="MC10" i="12"/>
  <c r="MD10" i="12"/>
  <c r="ME10" i="12"/>
  <c r="MF10" i="12"/>
  <c r="MG10" i="12"/>
  <c r="MH10" i="12"/>
  <c r="MI10" i="12"/>
  <c r="MJ10" i="12"/>
  <c r="MK10" i="12"/>
  <c r="ML10" i="12"/>
  <c r="MM10" i="12"/>
  <c r="MN10" i="12"/>
  <c r="MO10" i="12"/>
  <c r="MP10" i="12"/>
  <c r="MQ10" i="12"/>
  <c r="MR10" i="12"/>
  <c r="MS10" i="12"/>
  <c r="MT10" i="12"/>
  <c r="MU10" i="12"/>
  <c r="MV10" i="12"/>
  <c r="MW10" i="12"/>
  <c r="MX10" i="12"/>
  <c r="MY10" i="12"/>
  <c r="MZ10" i="12"/>
  <c r="NA10" i="12"/>
  <c r="NB10" i="12"/>
  <c r="NC10" i="12"/>
  <c r="ND10" i="12"/>
  <c r="NE10" i="12"/>
  <c r="NF10" i="12"/>
  <c r="NG10" i="12"/>
  <c r="NH10" i="12"/>
  <c r="NI10" i="12"/>
  <c r="NJ10" i="12"/>
  <c r="NK10" i="12"/>
  <c r="NL10" i="12"/>
  <c r="NM10" i="12"/>
  <c r="NN10" i="12"/>
  <c r="NO10" i="12"/>
  <c r="NP10" i="12"/>
  <c r="NQ10" i="12"/>
  <c r="NR10" i="12"/>
  <c r="NS10" i="12"/>
  <c r="NT10" i="12"/>
  <c r="NU10" i="12"/>
  <c r="NV10" i="12"/>
  <c r="NW10" i="12"/>
  <c r="NX10" i="12"/>
  <c r="NY10" i="12"/>
  <c r="NZ10" i="12"/>
  <c r="OA10" i="12"/>
  <c r="OB10" i="12"/>
  <c r="OC10" i="12"/>
  <c r="OD10" i="12"/>
  <c r="OE10" i="12"/>
  <c r="OF10" i="12"/>
  <c r="OG10" i="12"/>
  <c r="OH10" i="12"/>
  <c r="OI10" i="12"/>
  <c r="OJ10" i="12"/>
  <c r="OK10" i="12"/>
  <c r="OL10" i="12"/>
  <c r="OM10" i="12"/>
  <c r="ON10" i="12"/>
  <c r="OO10" i="12"/>
  <c r="OP10" i="12"/>
  <c r="OQ10" i="12"/>
  <c r="OR10" i="12"/>
  <c r="OS10" i="12"/>
  <c r="OT10" i="12"/>
  <c r="OU10" i="12"/>
  <c r="OV10" i="12"/>
  <c r="OW10" i="12"/>
  <c r="OX10" i="12"/>
  <c r="OY10" i="12"/>
  <c r="OZ10" i="12"/>
  <c r="PA10" i="12"/>
  <c r="PB10" i="12"/>
  <c r="PC10" i="12"/>
  <c r="PD10" i="12"/>
  <c r="PE10" i="12"/>
  <c r="PF10" i="12"/>
  <c r="PG10" i="12"/>
  <c r="PH10" i="12"/>
  <c r="PI10" i="12"/>
  <c r="PJ10" i="12"/>
  <c r="PK10" i="12"/>
  <c r="PL10" i="12"/>
  <c r="PM10" i="12"/>
  <c r="PN10" i="12"/>
  <c r="PO10" i="12"/>
  <c r="PP10" i="12"/>
  <c r="PQ10" i="12"/>
  <c r="PR10" i="12"/>
  <c r="PS10" i="12"/>
  <c r="PT10" i="12"/>
  <c r="PU10" i="12"/>
  <c r="PV10" i="12"/>
  <c r="PW10" i="12"/>
  <c r="PX10" i="12"/>
  <c r="PY10" i="12"/>
  <c r="PZ10" i="12"/>
  <c r="QA10" i="12"/>
  <c r="QB10" i="12"/>
  <c r="QC10" i="12"/>
  <c r="QD10" i="12"/>
  <c r="QE10" i="12"/>
  <c r="QF10" i="12"/>
  <c r="QG10" i="12"/>
  <c r="QH10" i="12"/>
  <c r="QI10" i="12"/>
  <c r="QJ10" i="12"/>
  <c r="QK10" i="12"/>
  <c r="QL10" i="12"/>
  <c r="QM10" i="12"/>
  <c r="QN10" i="12"/>
  <c r="QO10" i="12"/>
  <c r="QP10" i="12"/>
  <c r="QQ10" i="12"/>
  <c r="QR10" i="12"/>
  <c r="QS10" i="12"/>
  <c r="QT10" i="12"/>
  <c r="QU10" i="12"/>
  <c r="QV10" i="12"/>
  <c r="QW10" i="12"/>
  <c r="QX10" i="12"/>
  <c r="QY10" i="12"/>
  <c r="QZ10" i="12"/>
  <c r="RA10" i="12"/>
  <c r="RB10" i="12"/>
  <c r="RC10" i="12"/>
  <c r="RD10" i="12"/>
  <c r="RE10" i="12"/>
  <c r="RF10" i="12"/>
  <c r="RG10" i="12"/>
  <c r="RH10" i="12"/>
  <c r="RI10" i="12"/>
  <c r="RJ10" i="12"/>
  <c r="RK10" i="12"/>
  <c r="RL10" i="12"/>
  <c r="RM10" i="12"/>
  <c r="RN10" i="12"/>
  <c r="RO10" i="12"/>
  <c r="RP10" i="12"/>
  <c r="RQ10" i="12"/>
  <c r="RR10" i="12"/>
  <c r="RS10" i="12"/>
  <c r="RT10" i="12"/>
  <c r="RU10" i="12"/>
  <c r="RV10" i="12"/>
  <c r="RW10" i="12"/>
  <c r="RX10" i="12"/>
  <c r="RY10" i="12"/>
  <c r="RZ10" i="12"/>
  <c r="SA10" i="12"/>
  <c r="SB10" i="12"/>
  <c r="SC10" i="12"/>
  <c r="SD10" i="12"/>
  <c r="SE10" i="12"/>
  <c r="SF10" i="12"/>
  <c r="SG10" i="12"/>
  <c r="SH10" i="12"/>
  <c r="SI10" i="12"/>
  <c r="SJ10" i="12"/>
  <c r="SK10" i="12"/>
  <c r="SL10" i="12"/>
  <c r="SM10" i="12"/>
  <c r="SN10" i="12"/>
  <c r="SO10" i="12"/>
  <c r="SP10" i="12"/>
  <c r="SQ10" i="12"/>
  <c r="SR10" i="12"/>
  <c r="SS10" i="12"/>
  <c r="ST10" i="12"/>
  <c r="SU10" i="12"/>
  <c r="SV10" i="12"/>
  <c r="SW10" i="12"/>
  <c r="SX10" i="12"/>
  <c r="SY10" i="12"/>
  <c r="SZ10" i="12"/>
  <c r="TA10" i="12"/>
  <c r="TB10" i="12"/>
  <c r="TC10" i="12"/>
  <c r="TD10" i="12"/>
  <c r="TE10" i="12"/>
  <c r="TF10" i="12"/>
  <c r="TG10" i="12"/>
  <c r="TH10" i="12"/>
  <c r="TI10" i="12"/>
  <c r="TJ10" i="12"/>
  <c r="TK10" i="12"/>
  <c r="TL10" i="12"/>
  <c r="TM10" i="12"/>
  <c r="TN10" i="12"/>
  <c r="TO10" i="12"/>
  <c r="TP10" i="12"/>
  <c r="TQ10" i="12"/>
  <c r="TR10" i="12"/>
  <c r="TS10" i="12"/>
  <c r="TT10" i="12"/>
  <c r="TU10" i="12"/>
  <c r="TV10" i="12"/>
  <c r="TW10" i="12"/>
  <c r="TX10" i="12"/>
  <c r="TY10" i="12"/>
  <c r="TZ10" i="12"/>
  <c r="UA10" i="12"/>
  <c r="UB10" i="12"/>
  <c r="UC10" i="12"/>
  <c r="UD10" i="12"/>
  <c r="UE10" i="12"/>
  <c r="UF10" i="12"/>
  <c r="UG10" i="12"/>
  <c r="UH10" i="12"/>
  <c r="UI10" i="12"/>
  <c r="UJ10" i="12"/>
  <c r="UK10" i="12"/>
  <c r="UL10" i="12"/>
  <c r="UM10" i="12"/>
  <c r="UN10" i="12"/>
  <c r="UO10" i="12"/>
  <c r="UP10" i="12"/>
  <c r="UQ10" i="12"/>
  <c r="UR10" i="12"/>
  <c r="US10" i="12"/>
  <c r="UT10" i="12"/>
  <c r="UU10" i="12"/>
  <c r="UV10" i="12"/>
  <c r="UW10" i="12"/>
  <c r="UX10" i="12"/>
  <c r="UY10" i="12"/>
  <c r="UZ10" i="12"/>
  <c r="VA10" i="12"/>
  <c r="VB10" i="12"/>
  <c r="VC10" i="12"/>
  <c r="VD10" i="12"/>
  <c r="VE10" i="12"/>
  <c r="VF10" i="12"/>
  <c r="VG10" i="12"/>
  <c r="VH10" i="12"/>
  <c r="VI10" i="12"/>
  <c r="VJ10" i="12"/>
  <c r="VK10" i="12"/>
  <c r="VL10" i="12"/>
  <c r="VM10" i="12"/>
  <c r="VN10" i="12"/>
  <c r="VO10" i="12"/>
  <c r="VP10" i="12"/>
  <c r="VQ10" i="12"/>
  <c r="VR10" i="12"/>
  <c r="VS10" i="12"/>
  <c r="VT10" i="12"/>
  <c r="VU10" i="12"/>
  <c r="VV10" i="12"/>
  <c r="VW10" i="12"/>
  <c r="VX10" i="12"/>
  <c r="VY10" i="12"/>
  <c r="VZ10" i="12"/>
  <c r="WA10" i="12"/>
  <c r="WB10" i="12"/>
  <c r="WC10" i="12"/>
  <c r="WD10" i="12"/>
  <c r="WE10" i="12"/>
  <c r="WF10" i="12"/>
  <c r="WG10" i="12"/>
  <c r="WH10" i="12"/>
  <c r="WI10" i="12"/>
  <c r="WJ10" i="12"/>
  <c r="WK10" i="12"/>
  <c r="WL10" i="12"/>
  <c r="WM10" i="12"/>
  <c r="WN10" i="12"/>
  <c r="WO10" i="12"/>
  <c r="WP10" i="12"/>
  <c r="WQ10" i="12"/>
  <c r="WR10" i="12"/>
  <c r="WS10" i="12"/>
  <c r="WT10" i="12"/>
  <c r="WU10" i="12"/>
  <c r="WV10" i="12"/>
  <c r="WW10" i="12"/>
  <c r="WX10" i="12"/>
  <c r="WZ10" i="12"/>
  <c r="XA10" i="12"/>
  <c r="XB10" i="12"/>
  <c r="XC10" i="12"/>
  <c r="XD10" i="12"/>
  <c r="XE10" i="12"/>
  <c r="XF10" i="12"/>
  <c r="XG10" i="12"/>
  <c r="XH10" i="12"/>
  <c r="XI10" i="12"/>
  <c r="XJ10" i="12"/>
  <c r="XK10" i="12"/>
  <c r="XL10" i="12"/>
  <c r="XM10" i="12"/>
  <c r="XN10" i="12"/>
  <c r="XO10" i="12"/>
  <c r="XP10" i="12"/>
  <c r="XQ10" i="12"/>
  <c r="XR10" i="12"/>
  <c r="XS10" i="12"/>
  <c r="XT10" i="12"/>
  <c r="XU10" i="12"/>
  <c r="XV10" i="12"/>
  <c r="XW10" i="12"/>
  <c r="XX10" i="12"/>
  <c r="XY10" i="12"/>
  <c r="XZ10" i="12"/>
  <c r="YA10" i="12"/>
  <c r="YB10" i="12"/>
  <c r="YC10" i="12"/>
  <c r="YD10" i="12"/>
  <c r="YE10" i="12"/>
  <c r="YF10" i="12"/>
  <c r="YG10" i="12"/>
  <c r="YH10" i="12"/>
  <c r="YI10" i="12"/>
  <c r="YJ10" i="12"/>
  <c r="YK10" i="12"/>
  <c r="YL10" i="12"/>
  <c r="YM10" i="12"/>
  <c r="YN10" i="12"/>
  <c r="YO10" i="12"/>
  <c r="YP10" i="12"/>
  <c r="YQ10" i="12"/>
  <c r="YR10" i="12"/>
  <c r="YS10" i="12"/>
  <c r="YT10" i="12"/>
  <c r="YU10" i="12"/>
  <c r="YV10" i="12"/>
  <c r="YW10" i="12"/>
  <c r="YX10" i="12"/>
  <c r="YY10" i="12"/>
  <c r="YZ10" i="12"/>
  <c r="ZA10" i="12"/>
  <c r="ZB10" i="12"/>
  <c r="ZC10" i="12"/>
  <c r="ZD10" i="12"/>
  <c r="ZE10" i="12"/>
  <c r="ZF10" i="12"/>
  <c r="ZG10" i="12"/>
  <c r="ZH10" i="12"/>
  <c r="ZI10" i="12"/>
  <c r="ZJ10" i="12"/>
  <c r="ZK10" i="12"/>
  <c r="ZL10" i="12"/>
  <c r="ZM10" i="12"/>
  <c r="ZN10" i="12"/>
  <c r="ZO10" i="12"/>
  <c r="ZP10" i="12"/>
  <c r="ZQ10" i="12"/>
  <c r="ZR10" i="12"/>
  <c r="ZS10" i="12"/>
  <c r="ZT10" i="12"/>
  <c r="ZU10" i="12"/>
  <c r="ZV10" i="12"/>
  <c r="ZW10" i="12"/>
  <c r="ZX10" i="12"/>
  <c r="ZY10" i="12"/>
  <c r="ZZ10" i="12"/>
  <c r="AAA10" i="12"/>
  <c r="AAB10" i="12"/>
  <c r="AAC10" i="12"/>
  <c r="AAD10" i="12"/>
  <c r="AAE10" i="12"/>
  <c r="AAF10" i="12"/>
  <c r="AAG10" i="12"/>
  <c r="AAH10" i="12"/>
  <c r="AAI10" i="12"/>
  <c r="AAJ10" i="12"/>
  <c r="AAK10" i="12"/>
  <c r="AAL10" i="12"/>
  <c r="AAM10" i="12"/>
  <c r="AAN10" i="12"/>
  <c r="AAO10" i="12"/>
  <c r="AAP10" i="12"/>
  <c r="AAQ10" i="12"/>
  <c r="AAR10" i="12"/>
  <c r="AAS10" i="12"/>
  <c r="AAT10" i="12"/>
  <c r="AAU10" i="12"/>
  <c r="AAV10" i="12"/>
  <c r="AAW10" i="12"/>
  <c r="AAX10" i="12"/>
  <c r="AAY10" i="12"/>
  <c r="AAZ10" i="12"/>
  <c r="ABA10" i="12"/>
  <c r="ABB10" i="12"/>
  <c r="ABC10" i="12"/>
  <c r="ABD10" i="12"/>
  <c r="ABE10" i="12"/>
  <c r="ABF10" i="12"/>
  <c r="ABG10" i="12"/>
  <c r="ABH10" i="12"/>
  <c r="ABI10" i="12"/>
  <c r="ABJ10" i="12"/>
  <c r="ABK10" i="12"/>
  <c r="ABL10" i="12"/>
  <c r="ABM10" i="12"/>
  <c r="ABN10" i="12"/>
  <c r="ABO10" i="12"/>
  <c r="ABP10" i="12"/>
  <c r="ABQ10" i="12"/>
  <c r="ABR10" i="12"/>
  <c r="ABS10" i="12"/>
  <c r="ABT10" i="12"/>
  <c r="ABU10" i="12"/>
  <c r="ABV10" i="12"/>
  <c r="ABW10" i="12"/>
  <c r="ABX10" i="12"/>
  <c r="ABY10" i="12"/>
  <c r="ABZ10" i="12"/>
  <c r="ACA10" i="12"/>
  <c r="ACB10" i="12"/>
  <c r="ACC10" i="12"/>
  <c r="ACD10" i="12"/>
  <c r="ACE10" i="12"/>
  <c r="ACF10" i="12"/>
  <c r="ACG10" i="12"/>
  <c r="ACH10" i="12"/>
  <c r="ACI10" i="12"/>
  <c r="ACJ10" i="12"/>
  <c r="ACK10" i="12"/>
  <c r="ACL10" i="12"/>
  <c r="ACM10" i="12"/>
  <c r="ACN10" i="12"/>
  <c r="ACO10" i="12"/>
  <c r="ACP10" i="12"/>
  <c r="ACQ10" i="12"/>
  <c r="ACR10" i="12"/>
  <c r="ACS10" i="12"/>
  <c r="ACT10" i="12"/>
  <c r="ACU10" i="12"/>
  <c r="ACV10" i="12"/>
  <c r="ACW10" i="12"/>
  <c r="ACX10" i="12"/>
  <c r="ACY10" i="12"/>
  <c r="ACZ10" i="12"/>
  <c r="ADA10" i="12"/>
  <c r="ADB10" i="12"/>
  <c r="ADC10" i="12"/>
  <c r="ADD10" i="12"/>
  <c r="ADE10" i="12"/>
  <c r="ADF10" i="12"/>
  <c r="ADG10" i="12"/>
  <c r="ADH10" i="12"/>
  <c r="ADI10" i="12"/>
  <c r="ADJ10" i="12"/>
  <c r="ADK10" i="12"/>
  <c r="ADL10" i="12"/>
  <c r="ADM10" i="12"/>
  <c r="ADN10" i="12"/>
  <c r="ADO10" i="12"/>
  <c r="ADP10" i="12"/>
  <c r="ADQ10" i="12"/>
  <c r="ADR10" i="12"/>
  <c r="ADS10" i="12"/>
  <c r="ADT10" i="12"/>
  <c r="ADU10" i="12"/>
  <c r="ADV10" i="12"/>
  <c r="ADW10" i="12"/>
  <c r="ADX10" i="12"/>
  <c r="ADY10" i="12"/>
  <c r="ADZ10" i="12"/>
  <c r="AEA10" i="12"/>
  <c r="AEB10" i="12"/>
  <c r="AEC10" i="12"/>
  <c r="AED10" i="12"/>
  <c r="AEE10" i="12"/>
  <c r="AEF10" i="12"/>
  <c r="AEG10" i="12"/>
  <c r="AEH10" i="12"/>
  <c r="AEI10" i="12"/>
  <c r="AEJ10" i="12"/>
  <c r="AEK10" i="12"/>
  <c r="AEL10" i="12"/>
  <c r="AEM10" i="12"/>
  <c r="AEN10" i="12"/>
  <c r="AEO10" i="12"/>
  <c r="AEP10" i="12"/>
  <c r="AEQ10" i="12"/>
  <c r="AER10" i="12"/>
  <c r="AES10" i="12"/>
  <c r="AET10" i="12"/>
  <c r="AEU10" i="12"/>
  <c r="AEV10" i="12"/>
  <c r="AEW10" i="12"/>
  <c r="AEX10" i="12"/>
  <c r="AEY10" i="12"/>
  <c r="AEZ10" i="12"/>
  <c r="AFA10" i="12"/>
  <c r="AFB10" i="12"/>
  <c r="AFC10" i="12"/>
  <c r="AFD10" i="12"/>
  <c r="AFE10" i="12"/>
  <c r="AFF10" i="12"/>
  <c r="AFG10" i="12"/>
  <c r="AFH10" i="12"/>
  <c r="AFI10" i="12"/>
  <c r="AFJ10" i="12"/>
  <c r="AFK10" i="12"/>
  <c r="AFL10" i="12"/>
  <c r="AFM10" i="12"/>
  <c r="AFN10" i="12"/>
  <c r="AFO10" i="12"/>
  <c r="AFP10" i="12"/>
  <c r="AFQ10" i="12"/>
  <c r="AFR10" i="12"/>
  <c r="AFS10" i="12"/>
  <c r="AFT10" i="12"/>
  <c r="AFU10" i="12"/>
  <c r="AFV10" i="12"/>
  <c r="AFW10" i="12"/>
  <c r="AFX10" i="12"/>
  <c r="AFY10" i="12"/>
  <c r="AFZ10" i="12"/>
  <c r="AGA10" i="12"/>
  <c r="AGB10" i="12"/>
  <c r="AGC10" i="12"/>
  <c r="AGD10" i="12"/>
  <c r="AGE10" i="12"/>
  <c r="AGF10" i="12"/>
  <c r="AGG10" i="12"/>
  <c r="AGH10" i="12"/>
  <c r="AGI10" i="12"/>
  <c r="AGJ10" i="12"/>
  <c r="AGK10" i="12"/>
  <c r="AGL10" i="12"/>
  <c r="AGM10" i="12"/>
  <c r="AGN10" i="12"/>
  <c r="AGO10" i="12"/>
  <c r="AGP10" i="12"/>
  <c r="AGQ10" i="12"/>
  <c r="AGR10" i="12"/>
  <c r="AGS10" i="12"/>
  <c r="AGT10" i="12"/>
  <c r="AGU10" i="12"/>
  <c r="AGV10" i="12"/>
  <c r="AGW10" i="12"/>
  <c r="AGX10" i="12"/>
  <c r="AGY10" i="12"/>
  <c r="AGZ10" i="12"/>
  <c r="AHA10" i="12"/>
  <c r="AHB10" i="12"/>
  <c r="AHC10" i="12"/>
  <c r="AHD10" i="12"/>
  <c r="AHE10" i="12"/>
  <c r="AHF10" i="12"/>
  <c r="AHG10" i="12"/>
  <c r="AHH10" i="12"/>
  <c r="AHI10" i="12"/>
  <c r="AHJ10" i="12"/>
  <c r="AHK10" i="12"/>
  <c r="AHL10" i="12"/>
  <c r="AHM10" i="12"/>
  <c r="AHN10" i="12"/>
  <c r="AHO10" i="12"/>
  <c r="AHP10" i="12"/>
  <c r="AHQ10" i="12"/>
  <c r="AHR10" i="12"/>
  <c r="AHS10" i="12"/>
  <c r="AHT10" i="12"/>
  <c r="AHU10" i="12"/>
  <c r="AHV10" i="12"/>
  <c r="AHW10" i="12"/>
  <c r="AHX10" i="12"/>
  <c r="AHY10" i="12"/>
  <c r="AHZ10" i="12"/>
  <c r="AIA10" i="12"/>
  <c r="AIB10" i="12"/>
  <c r="AIC10" i="12"/>
  <c r="AID10" i="12"/>
  <c r="AIE10" i="12"/>
  <c r="AIF10" i="12"/>
  <c r="AIG10" i="12"/>
  <c r="AII10" i="12"/>
  <c r="AIJ10" i="12"/>
  <c r="AIK10" i="12"/>
  <c r="AIL10" i="12"/>
  <c r="AIM10" i="12"/>
  <c r="AIN10" i="12"/>
  <c r="AIO10" i="12"/>
  <c r="AIP10" i="12"/>
  <c r="AIQ10" i="12"/>
  <c r="AIR10" i="12"/>
  <c r="AIS10" i="12"/>
  <c r="AIT10" i="12"/>
  <c r="AIU10" i="12"/>
  <c r="AIV10" i="12"/>
  <c r="AIW10" i="12"/>
  <c r="AIX10" i="12"/>
  <c r="AIY10" i="12"/>
  <c r="AIZ10" i="12"/>
  <c r="AJA10" i="12"/>
  <c r="AJB10" i="12"/>
  <c r="AJC10" i="12"/>
  <c r="AJD10" i="12"/>
  <c r="AJE10" i="12"/>
  <c r="AJF10" i="12"/>
  <c r="AJG10" i="12"/>
  <c r="AJH10" i="12"/>
  <c r="AJI10" i="12"/>
  <c r="AJJ10" i="12"/>
  <c r="AJK10" i="12"/>
  <c r="AJL10" i="12"/>
  <c r="AJM10" i="12"/>
  <c r="AJN10" i="12"/>
  <c r="AJO10" i="12"/>
  <c r="AJP10" i="12"/>
  <c r="AJQ10" i="12"/>
  <c r="AJR10" i="12"/>
  <c r="AJS10" i="12"/>
  <c r="AJT10" i="12"/>
  <c r="AJU10" i="12"/>
  <c r="AJV10" i="12"/>
  <c r="AJW10" i="12"/>
  <c r="AJX10" i="12"/>
  <c r="AJY10" i="12"/>
  <c r="AJZ10" i="12"/>
  <c r="AKA10" i="12"/>
  <c r="AKB10" i="12"/>
  <c r="AKC10" i="12"/>
  <c r="AKD10" i="12"/>
  <c r="AKE10" i="12"/>
  <c r="AKF10" i="12"/>
  <c r="AKG10" i="12"/>
  <c r="AKH10" i="12"/>
  <c r="AKI10" i="12"/>
  <c r="AKJ10" i="12"/>
  <c r="AKK10" i="12"/>
  <c r="AKL10" i="12"/>
  <c r="AKM10" i="12"/>
  <c r="AKN10" i="12"/>
  <c r="AKO10" i="12"/>
  <c r="AKP10" i="12"/>
  <c r="AKQ10" i="12"/>
  <c r="AKR10" i="12"/>
  <c r="I10" i="12"/>
  <c r="H10" i="12"/>
  <c r="AKD8" i="12"/>
  <c r="AKC8" i="12"/>
  <c r="AKB8" i="12"/>
  <c r="AKA8" i="12"/>
  <c r="AJZ8" i="12"/>
  <c r="AJY8" i="12"/>
  <c r="AJX8" i="12"/>
  <c r="AJW8" i="12"/>
  <c r="AJN8" i="12"/>
  <c r="AJO8" i="12"/>
  <c r="AJP8" i="12"/>
  <c r="AJQ8" i="12"/>
  <c r="AJR8" i="12"/>
  <c r="AJS8" i="12"/>
  <c r="AJT8" i="12"/>
  <c r="AJU8" i="12"/>
  <c r="AJV8" i="12"/>
  <c r="AJM8" i="12"/>
  <c r="AII8" i="12"/>
  <c r="AIJ8" i="12"/>
  <c r="AIK8" i="12"/>
  <c r="AIL8" i="12"/>
  <c r="AIM8" i="12"/>
  <c r="AIN8" i="12"/>
  <c r="AIO8" i="12"/>
  <c r="AIP8" i="12"/>
  <c r="AIQ8" i="12"/>
  <c r="AIR8" i="12"/>
  <c r="AIS8" i="12"/>
  <c r="AIT8" i="12"/>
  <c r="AIU8" i="12"/>
  <c r="AIV8" i="12"/>
  <c r="AIW8" i="12"/>
  <c r="AIX8" i="12"/>
  <c r="AIY8" i="12"/>
  <c r="AIZ8" i="12"/>
  <c r="AJA8" i="12"/>
  <c r="AJB8" i="12"/>
  <c r="AJC8" i="12"/>
  <c r="AJD8" i="12"/>
  <c r="AJE8" i="12"/>
  <c r="AJF8" i="12"/>
  <c r="AJG8" i="12"/>
  <c r="AJH8" i="12"/>
  <c r="AJI8" i="12"/>
  <c r="AJJ8" i="12"/>
  <c r="AJK8" i="12"/>
  <c r="AJL8" i="12"/>
  <c r="AIH8" i="12"/>
  <c r="AIG8" i="12"/>
  <c r="AIF8" i="12"/>
  <c r="AID8" i="12"/>
  <c r="AIE8" i="12"/>
  <c r="AIC8" i="12"/>
  <c r="AIB8" i="12"/>
  <c r="AIA8" i="12"/>
  <c r="AHZ8" i="12"/>
  <c r="AHY8" i="12"/>
  <c r="AHW8" i="12"/>
  <c r="AHX8" i="12"/>
  <c r="AHV8" i="12"/>
  <c r="AHU8" i="12"/>
  <c r="AHN8" i="12"/>
  <c r="AHO8" i="12"/>
  <c r="AHT8" i="12"/>
  <c r="AHS8" i="12"/>
  <c r="AHR8" i="12"/>
  <c r="AGU8" i="12"/>
  <c r="AGV8" i="12"/>
  <c r="AGW8" i="12"/>
  <c r="AGX8" i="12"/>
  <c r="AGY8" i="12"/>
  <c r="AGZ8" i="12"/>
  <c r="AHA8" i="12"/>
  <c r="AHB8" i="12"/>
  <c r="AHC8" i="12"/>
  <c r="AHD8" i="12"/>
  <c r="AHE8" i="12"/>
  <c r="AHF8" i="12"/>
  <c r="AHG8" i="12"/>
  <c r="AHH8" i="12"/>
  <c r="AHI8" i="12"/>
  <c r="AHJ8" i="12"/>
  <c r="AHK8" i="12"/>
  <c r="AHL8" i="12"/>
  <c r="AHM8" i="12"/>
  <c r="AHP8" i="12"/>
  <c r="AHQ8" i="12"/>
  <c r="GU20" i="23"/>
  <c r="GT20" i="23"/>
  <c r="GS20" i="23"/>
  <c r="GQ20" i="23"/>
  <c r="GR20" i="23"/>
  <c r="GP20" i="23"/>
  <c r="GO20" i="23"/>
  <c r="GN20" i="23"/>
  <c r="GM20" i="23"/>
  <c r="AGT8" i="12"/>
  <c r="GL20" i="23"/>
  <c r="GK20" i="23"/>
  <c r="GJ20" i="23"/>
  <c r="GI20" i="23"/>
  <c r="GH20" i="23"/>
  <c r="GG20" i="23"/>
  <c r="GF20" i="23"/>
  <c r="AGS8" i="12"/>
  <c r="AGR8" i="12"/>
  <c r="AGQ8" i="12"/>
  <c r="AGP8" i="12"/>
  <c r="AGO8" i="12"/>
  <c r="AGN8" i="12"/>
  <c r="GE20" i="23"/>
  <c r="AGM8" i="12"/>
  <c r="GD20" i="23"/>
  <c r="AGL8" i="12"/>
  <c r="AGK8" i="12"/>
  <c r="GC20" i="23"/>
  <c r="GB20" i="23"/>
  <c r="GA20" i="23"/>
  <c r="FZ20" i="23"/>
  <c r="FY20" i="23"/>
  <c r="FX20" i="23"/>
  <c r="FW20" i="23"/>
  <c r="FV20" i="23"/>
  <c r="FU20" i="23"/>
  <c r="FT20" i="23"/>
  <c r="FS20" i="23"/>
  <c r="FR20" i="23"/>
  <c r="FQ20" i="23"/>
  <c r="FP20" i="23"/>
  <c r="FO20" i="23"/>
  <c r="FN20" i="23"/>
  <c r="FM20" i="23"/>
  <c r="FL20" i="23"/>
  <c r="FK20" i="23"/>
  <c r="FJ20" i="23"/>
  <c r="FI20" i="23"/>
  <c r="FH20" i="23"/>
  <c r="FG20" i="23"/>
  <c r="FF20" i="23"/>
  <c r="FE20" i="23"/>
  <c r="FD20" i="23"/>
  <c r="FC20" i="23"/>
  <c r="FB20" i="23"/>
  <c r="FA20" i="23"/>
  <c r="EZ20" i="23"/>
  <c r="EY20" i="23"/>
  <c r="EX20" i="23"/>
  <c r="EW20" i="23"/>
  <c r="EV20" i="23"/>
  <c r="EU20" i="23"/>
  <c r="ET20" i="23"/>
  <c r="ER20" i="23"/>
  <c r="EQ20" i="23"/>
  <c r="EP20" i="23"/>
  <c r="EO20" i="23"/>
  <c r="EN20" i="23"/>
  <c r="ES20" i="23"/>
  <c r="EM20" i="23"/>
  <c r="EL20" i="23"/>
  <c r="EK20" i="23"/>
  <c r="EJ20" i="23"/>
  <c r="EI20" i="23"/>
  <c r="ED20" i="23"/>
  <c r="EH20" i="23"/>
  <c r="EE20" i="23"/>
  <c r="EG20" i="23"/>
  <c r="EF20" i="23"/>
  <c r="EC20" i="23"/>
  <c r="H8" i="12"/>
  <c r="H13" i="12"/>
  <c r="I8" i="12"/>
  <c r="J8" i="12"/>
  <c r="K8" i="12"/>
  <c r="L8" i="12"/>
  <c r="M8" i="12"/>
  <c r="N8" i="12"/>
  <c r="O8" i="12"/>
  <c r="P8" i="12"/>
  <c r="Q8" i="12"/>
  <c r="R8" i="12"/>
  <c r="S8" i="12"/>
  <c r="T8" i="12"/>
  <c r="U8" i="12"/>
  <c r="V8" i="12"/>
  <c r="W8" i="12"/>
  <c r="X8" i="12"/>
  <c r="Y8" i="12"/>
  <c r="Z8" i="12"/>
  <c r="AA8" i="12"/>
  <c r="AB8" i="12"/>
  <c r="AC8" i="12"/>
  <c r="AD8" i="12"/>
  <c r="AE8" i="12"/>
  <c r="AF8" i="12"/>
  <c r="AG8" i="12"/>
  <c r="AH8" i="12"/>
  <c r="AI8" i="12"/>
  <c r="AJ8" i="12"/>
  <c r="AK8" i="12"/>
  <c r="AL8" i="12"/>
  <c r="AM8" i="12"/>
  <c r="AN8" i="12"/>
  <c r="AO8" i="12"/>
  <c r="AP8" i="12"/>
  <c r="AQ8" i="12"/>
  <c r="AR8" i="12"/>
  <c r="AS8" i="12"/>
  <c r="AT8" i="12"/>
  <c r="AU8" i="12"/>
  <c r="AV8" i="12"/>
  <c r="AW8" i="12"/>
  <c r="AX8" i="12"/>
  <c r="AY8" i="12"/>
  <c r="AZ8" i="12"/>
  <c r="BA8" i="12"/>
  <c r="BB8" i="12"/>
  <c r="BC8" i="12"/>
  <c r="BD8" i="12"/>
  <c r="BE8" i="12"/>
  <c r="BF8" i="12"/>
  <c r="BG8" i="12"/>
  <c r="BH8" i="12"/>
  <c r="BI8" i="12"/>
  <c r="BJ8" i="12"/>
  <c r="BK8" i="12"/>
  <c r="BL8" i="12"/>
  <c r="BM8" i="12"/>
  <c r="BN8" i="12"/>
  <c r="BO8" i="12"/>
  <c r="BP8" i="12"/>
  <c r="BQ8" i="12"/>
  <c r="BR8" i="12"/>
  <c r="BS8" i="12"/>
  <c r="BT8" i="12"/>
  <c r="BU8" i="12"/>
  <c r="BV8" i="12"/>
  <c r="BW8" i="12"/>
  <c r="BX8" i="12"/>
  <c r="BY8" i="12"/>
  <c r="BZ8" i="12"/>
  <c r="CA8" i="12"/>
  <c r="CB8" i="12"/>
  <c r="CC8" i="12"/>
  <c r="CD8" i="12"/>
  <c r="CE8" i="12"/>
  <c r="CF8" i="12"/>
  <c r="CG8" i="12"/>
  <c r="CH8" i="12"/>
  <c r="CI8" i="12"/>
  <c r="CJ8" i="12"/>
  <c r="CK8" i="12"/>
  <c r="CL8" i="12"/>
  <c r="CM8" i="12"/>
  <c r="CN8" i="12"/>
  <c r="CO8" i="12"/>
  <c r="CP8" i="12"/>
  <c r="CQ8" i="12"/>
  <c r="CR8" i="12"/>
  <c r="CS8" i="12"/>
  <c r="CT8" i="12"/>
  <c r="CU8" i="12"/>
  <c r="CV8" i="12"/>
  <c r="CW8" i="12"/>
  <c r="CX8" i="12"/>
  <c r="CY8" i="12"/>
  <c r="CZ8" i="12"/>
  <c r="DA8" i="12"/>
  <c r="DB8" i="12"/>
  <c r="DC8" i="12"/>
  <c r="DD8" i="12"/>
  <c r="DE8" i="12"/>
  <c r="DF8" i="12"/>
  <c r="DG8" i="12"/>
  <c r="DH8" i="12"/>
  <c r="DI8" i="12"/>
  <c r="DJ8" i="12"/>
  <c r="DK8" i="12"/>
  <c r="DL8" i="12"/>
  <c r="DM8" i="12"/>
  <c r="DN8" i="12"/>
  <c r="DO8" i="12"/>
  <c r="DP8" i="12"/>
  <c r="DQ8" i="12"/>
  <c r="DR8" i="12"/>
  <c r="DS8" i="12"/>
  <c r="DT8" i="12"/>
  <c r="DU8" i="12"/>
  <c r="DV8" i="12"/>
  <c r="DW8" i="12"/>
  <c r="DX8" i="12"/>
  <c r="DY8" i="12"/>
  <c r="DZ8" i="12"/>
  <c r="EA8" i="12"/>
  <c r="EB8" i="12"/>
  <c r="EC8" i="12"/>
  <c r="ED8" i="12"/>
  <c r="EE8" i="12"/>
  <c r="EF8" i="12"/>
  <c r="EG8" i="12"/>
  <c r="EH8" i="12"/>
  <c r="EI8" i="12"/>
  <c r="EJ8" i="12"/>
  <c r="EK8" i="12"/>
  <c r="EL8" i="12"/>
  <c r="EM8" i="12"/>
  <c r="EN8" i="12"/>
  <c r="EO8" i="12"/>
  <c r="EP8" i="12"/>
  <c r="EQ8" i="12"/>
  <c r="ER8" i="12"/>
  <c r="ES8" i="12"/>
  <c r="ET8" i="12"/>
  <c r="EU8" i="12"/>
  <c r="EV8" i="12"/>
  <c r="EW8" i="12"/>
  <c r="EX8" i="12"/>
  <c r="EY8" i="12"/>
  <c r="EZ8" i="12"/>
  <c r="FA8" i="12"/>
  <c r="FB8" i="12"/>
  <c r="FC8" i="12"/>
  <c r="FD8" i="12"/>
  <c r="FE8" i="12"/>
  <c r="FF8" i="12"/>
  <c r="FG8" i="12"/>
  <c r="FH8" i="12"/>
  <c r="FI8" i="12"/>
  <c r="FJ8" i="12"/>
  <c r="FK8" i="12"/>
  <c r="FL8" i="12"/>
  <c r="FM8" i="12"/>
  <c r="FN8" i="12"/>
  <c r="FO8" i="12"/>
  <c r="FP8" i="12"/>
  <c r="FQ8" i="12"/>
  <c r="FR8" i="12"/>
  <c r="FS8" i="12"/>
  <c r="FT8" i="12"/>
  <c r="FU8" i="12"/>
  <c r="FV8" i="12"/>
  <c r="FW8" i="12"/>
  <c r="FX8" i="12"/>
  <c r="FY8" i="12"/>
  <c r="FZ8" i="12"/>
  <c r="GA8" i="12"/>
  <c r="GB8" i="12"/>
  <c r="GC8" i="12"/>
  <c r="GD8" i="12"/>
  <c r="GE8" i="12"/>
  <c r="GF8" i="12"/>
  <c r="GG8" i="12"/>
  <c r="GH8" i="12"/>
  <c r="GI8" i="12"/>
  <c r="GJ8" i="12"/>
  <c r="GK8" i="12"/>
  <c r="GL8" i="12"/>
  <c r="GM8" i="12"/>
  <c r="GN8" i="12"/>
  <c r="GO8" i="12"/>
  <c r="GP8" i="12"/>
  <c r="GQ8" i="12"/>
  <c r="GR8" i="12"/>
  <c r="GS8" i="12"/>
  <c r="GT8" i="12"/>
  <c r="GU8" i="12"/>
  <c r="GV8" i="12"/>
  <c r="GW8" i="12"/>
  <c r="GX8" i="12"/>
  <c r="GY8" i="12"/>
  <c r="GZ8" i="12"/>
  <c r="HA8" i="12"/>
  <c r="HB8" i="12"/>
  <c r="HC8" i="12"/>
  <c r="HD8" i="12"/>
  <c r="HE8" i="12"/>
  <c r="HF8" i="12"/>
  <c r="HG8" i="12"/>
  <c r="HH8" i="12"/>
  <c r="HI8" i="12"/>
  <c r="HJ8" i="12"/>
  <c r="HK8" i="12"/>
  <c r="HL8" i="12"/>
  <c r="HM8" i="12"/>
  <c r="HN8" i="12"/>
  <c r="HO8" i="12"/>
  <c r="HP8" i="12"/>
  <c r="HQ8" i="12"/>
  <c r="HR8" i="12"/>
  <c r="HS8" i="12"/>
  <c r="HT8" i="12"/>
  <c r="HU8" i="12"/>
  <c r="HV8" i="12"/>
  <c r="HW8" i="12"/>
  <c r="HX8" i="12"/>
  <c r="HY8" i="12"/>
  <c r="HZ8" i="12"/>
  <c r="IA8" i="12"/>
  <c r="IB8" i="12"/>
  <c r="IC8" i="12"/>
  <c r="ID8" i="12"/>
  <c r="IE8" i="12"/>
  <c r="IF8" i="12"/>
  <c r="IG8" i="12"/>
  <c r="IH8" i="12"/>
  <c r="II8" i="12"/>
  <c r="IJ8" i="12"/>
  <c r="IK8" i="12"/>
  <c r="IL8" i="12"/>
  <c r="IM8" i="12"/>
  <c r="IN8" i="12"/>
  <c r="IO8" i="12"/>
  <c r="IP8" i="12"/>
  <c r="IQ8" i="12"/>
  <c r="IR8" i="12"/>
  <c r="IS8" i="12"/>
  <c r="IT8" i="12"/>
  <c r="IU8" i="12"/>
  <c r="IV8" i="12"/>
  <c r="IW8" i="12"/>
  <c r="IX8" i="12"/>
  <c r="IY8" i="12"/>
  <c r="IZ8" i="12"/>
  <c r="JA8" i="12"/>
  <c r="JB8" i="12"/>
  <c r="JC8" i="12"/>
  <c r="JD8" i="12"/>
  <c r="JE8" i="12"/>
  <c r="JF8" i="12"/>
  <c r="JG8" i="12"/>
  <c r="JH8" i="12"/>
  <c r="JI8" i="12"/>
  <c r="JJ8" i="12"/>
  <c r="JK8" i="12"/>
  <c r="JL8" i="12"/>
  <c r="JM8" i="12"/>
  <c r="JN8" i="12"/>
  <c r="JO8" i="12"/>
  <c r="JP8" i="12"/>
  <c r="JQ8" i="12"/>
  <c r="JR8" i="12"/>
  <c r="JS8" i="12"/>
  <c r="JT8" i="12"/>
  <c r="JU8" i="12"/>
  <c r="JV8" i="12"/>
  <c r="JW8" i="12"/>
  <c r="JX8" i="12"/>
  <c r="JY8" i="12"/>
  <c r="JZ8" i="12"/>
  <c r="KA8" i="12"/>
  <c r="KB8" i="12"/>
  <c r="KC8" i="12"/>
  <c r="KD8" i="12"/>
  <c r="KE8" i="12"/>
  <c r="KF8" i="12"/>
  <c r="KG8" i="12"/>
  <c r="KH8" i="12"/>
  <c r="KI8" i="12"/>
  <c r="KJ8" i="12"/>
  <c r="KK8" i="12"/>
  <c r="KL8" i="12"/>
  <c r="KM8" i="12"/>
  <c r="KN8" i="12"/>
  <c r="KO8" i="12"/>
  <c r="KP8" i="12"/>
  <c r="KQ8" i="12"/>
  <c r="KR8" i="12"/>
  <c r="KS8" i="12"/>
  <c r="KT8" i="12"/>
  <c r="KU8" i="12"/>
  <c r="KV8" i="12"/>
  <c r="KW8" i="12"/>
  <c r="KX8" i="12"/>
  <c r="KY8" i="12"/>
  <c r="KZ8" i="12"/>
  <c r="LA8" i="12"/>
  <c r="LB8" i="12"/>
  <c r="LC8" i="12"/>
  <c r="LD8" i="12"/>
  <c r="LE8" i="12"/>
  <c r="LF8" i="12"/>
  <c r="LG8" i="12"/>
  <c r="LH8" i="12"/>
  <c r="LI8" i="12"/>
  <c r="LJ8" i="12"/>
  <c r="LK8" i="12"/>
  <c r="LL8" i="12"/>
  <c r="LM8" i="12"/>
  <c r="LN8" i="12"/>
  <c r="LO8" i="12"/>
  <c r="LP8" i="12"/>
  <c r="LQ8" i="12"/>
  <c r="LR8" i="12"/>
  <c r="LS8" i="12"/>
  <c r="LT8" i="12"/>
  <c r="LU8" i="12"/>
  <c r="LV8" i="12"/>
  <c r="LW8" i="12"/>
  <c r="LX8" i="12"/>
  <c r="LY8" i="12"/>
  <c r="LZ8" i="12"/>
  <c r="MA8" i="12"/>
  <c r="MB8" i="12"/>
  <c r="MC8" i="12"/>
  <c r="MD8" i="12"/>
  <c r="ME8" i="12"/>
  <c r="MF8" i="12"/>
  <c r="MG8" i="12"/>
  <c r="MH8" i="12"/>
  <c r="MI8" i="12"/>
  <c r="MJ8" i="12"/>
  <c r="MK8" i="12"/>
  <c r="ML8" i="12"/>
  <c r="MM8" i="12"/>
  <c r="MN8" i="12"/>
  <c r="MO8" i="12"/>
  <c r="MP8" i="12"/>
  <c r="MQ8" i="12"/>
  <c r="MR8" i="12"/>
  <c r="MS8" i="12"/>
  <c r="MT8" i="12"/>
  <c r="MU8" i="12"/>
  <c r="MV8" i="12"/>
  <c r="MW8" i="12"/>
  <c r="MX8" i="12"/>
  <c r="MY8" i="12"/>
  <c r="MZ8" i="12"/>
  <c r="NA8" i="12"/>
  <c r="NB8" i="12"/>
  <c r="NC8" i="12"/>
  <c r="ND8" i="12"/>
  <c r="NE8" i="12"/>
  <c r="NF8" i="12"/>
  <c r="NG8" i="12"/>
  <c r="NH8" i="12"/>
  <c r="NI8" i="12"/>
  <c r="NJ8" i="12"/>
  <c r="NK8" i="12"/>
  <c r="NL8" i="12"/>
  <c r="NM8" i="12"/>
  <c r="NN8" i="12"/>
  <c r="NO8" i="12"/>
  <c r="NP8" i="12"/>
  <c r="NQ8" i="12"/>
  <c r="NR8" i="12"/>
  <c r="NS8" i="12"/>
  <c r="NT8" i="12"/>
  <c r="NU8" i="12"/>
  <c r="NV8" i="12"/>
  <c r="NW8" i="12"/>
  <c r="NX8" i="12"/>
  <c r="NY8" i="12"/>
  <c r="NZ8" i="12"/>
  <c r="OA8" i="12"/>
  <c r="OB8" i="12"/>
  <c r="OC8" i="12"/>
  <c r="OD8" i="12"/>
  <c r="OE8" i="12"/>
  <c r="OF8" i="12"/>
  <c r="OG8" i="12"/>
  <c r="OH8" i="12"/>
  <c r="OI8" i="12"/>
  <c r="OJ8" i="12"/>
  <c r="OK8" i="12"/>
  <c r="OL8" i="12"/>
  <c r="OM8" i="12"/>
  <c r="ON8" i="12"/>
  <c r="OO8" i="12"/>
  <c r="OP8" i="12"/>
  <c r="OQ8" i="12"/>
  <c r="OR8" i="12"/>
  <c r="OS8" i="12"/>
  <c r="OT8" i="12"/>
  <c r="OU8" i="12"/>
  <c r="OV8" i="12"/>
  <c r="OW8" i="12"/>
  <c r="OX8" i="12"/>
  <c r="OY8" i="12"/>
  <c r="OZ8" i="12"/>
  <c r="PA8" i="12"/>
  <c r="PB8" i="12"/>
  <c r="PC8" i="12"/>
  <c r="PD8" i="12"/>
  <c r="PE8" i="12"/>
  <c r="PF8" i="12"/>
  <c r="PG8" i="12"/>
  <c r="PH8" i="12"/>
  <c r="PI8" i="12"/>
  <c r="PJ8" i="12"/>
  <c r="PK8" i="12"/>
  <c r="PL8" i="12"/>
  <c r="PM8" i="12"/>
  <c r="PN8" i="12"/>
  <c r="PO8" i="12"/>
  <c r="PP8" i="12"/>
  <c r="PQ8" i="12"/>
  <c r="PR8" i="12"/>
  <c r="PS8" i="12"/>
  <c r="PT8" i="12"/>
  <c r="PU8" i="12"/>
  <c r="PV8" i="12"/>
  <c r="PW8" i="12"/>
  <c r="PX8" i="12"/>
  <c r="PY8" i="12"/>
  <c r="PZ8" i="12"/>
  <c r="QA8" i="12"/>
  <c r="QB8" i="12"/>
  <c r="QC8" i="12"/>
  <c r="QD8" i="12"/>
  <c r="QE8" i="12"/>
  <c r="QF8" i="12"/>
  <c r="QG8" i="12"/>
  <c r="QH8" i="12"/>
  <c r="QI8" i="12"/>
  <c r="QJ8" i="12"/>
  <c r="QK8" i="12"/>
  <c r="QL8" i="12"/>
  <c r="QM8" i="12"/>
  <c r="QN8" i="12"/>
  <c r="QO8" i="12"/>
  <c r="QP8" i="12"/>
  <c r="QQ8" i="12"/>
  <c r="QR8" i="12"/>
  <c r="QS8" i="12"/>
  <c r="QT8" i="12"/>
  <c r="QU8" i="12"/>
  <c r="QV8" i="12"/>
  <c r="QW8" i="12"/>
  <c r="QX8" i="12"/>
  <c r="QY8" i="12"/>
  <c r="QZ8" i="12"/>
  <c r="RA8" i="12"/>
  <c r="RB8" i="12"/>
  <c r="RC8" i="12"/>
  <c r="RD8" i="12"/>
  <c r="RE8" i="12"/>
  <c r="RF8" i="12"/>
  <c r="RG8" i="12"/>
  <c r="RH8" i="12"/>
  <c r="RI8" i="12"/>
  <c r="RJ8" i="12"/>
  <c r="RK8" i="12"/>
  <c r="RL8" i="12"/>
  <c r="RM8" i="12"/>
  <c r="RN8" i="12"/>
  <c r="RO8" i="12"/>
  <c r="RP8" i="12"/>
  <c r="RQ8" i="12"/>
  <c r="RR8" i="12"/>
  <c r="RS8" i="12"/>
  <c r="RT8" i="12"/>
  <c r="RU8" i="12"/>
  <c r="RV8" i="12"/>
  <c r="RW8" i="12"/>
  <c r="RX8" i="12"/>
  <c r="RY8" i="12"/>
  <c r="RZ8" i="12"/>
  <c r="SA8" i="12"/>
  <c r="SB8" i="12"/>
  <c r="SC8" i="12"/>
  <c r="SD8" i="12"/>
  <c r="SE8" i="12"/>
  <c r="SF8" i="12"/>
  <c r="SG8" i="12"/>
  <c r="SH8" i="12"/>
  <c r="SI8" i="12"/>
  <c r="SJ8" i="12"/>
  <c r="SK8" i="12"/>
  <c r="SL8" i="12"/>
  <c r="SM8" i="12"/>
  <c r="SN8" i="12"/>
  <c r="SO8" i="12"/>
  <c r="SP8" i="12"/>
  <c r="SQ8" i="12"/>
  <c r="SR8" i="12"/>
  <c r="SS8" i="12"/>
  <c r="ST8" i="12"/>
  <c r="SU8" i="12"/>
  <c r="SV8" i="12"/>
  <c r="SW8" i="12"/>
  <c r="SX8" i="12"/>
  <c r="SY8" i="12"/>
  <c r="SZ8" i="12"/>
  <c r="TA8" i="12"/>
  <c r="TB8" i="12"/>
  <c r="TC8" i="12"/>
  <c r="TD8" i="12"/>
  <c r="TE8" i="12"/>
  <c r="TF8" i="12"/>
  <c r="TG8" i="12"/>
  <c r="TH8" i="12"/>
  <c r="TI8" i="12"/>
  <c r="TJ8" i="12"/>
  <c r="TK8" i="12"/>
  <c r="TL8" i="12"/>
  <c r="TM8" i="12"/>
  <c r="TN8" i="12"/>
  <c r="TO8" i="12"/>
  <c r="TP8" i="12"/>
  <c r="TQ8" i="12"/>
  <c r="TR8" i="12"/>
  <c r="TS8" i="12"/>
  <c r="TT8" i="12"/>
  <c r="TU8" i="12"/>
  <c r="TV8" i="12"/>
  <c r="TW8" i="12"/>
  <c r="TX8" i="12"/>
  <c r="TY8" i="12"/>
  <c r="TZ8" i="12"/>
  <c r="UA8" i="12"/>
  <c r="UB8" i="12"/>
  <c r="UC8" i="12"/>
  <c r="UD8" i="12"/>
  <c r="UE8" i="12"/>
  <c r="UF8" i="12"/>
  <c r="UG8" i="12"/>
  <c r="UH8" i="12"/>
  <c r="UI8" i="12"/>
  <c r="UJ8" i="12"/>
  <c r="UK8" i="12"/>
  <c r="UL8" i="12"/>
  <c r="UM8" i="12"/>
  <c r="UN8" i="12"/>
  <c r="UO8" i="12"/>
  <c r="UP8" i="12"/>
  <c r="UQ8" i="12"/>
  <c r="UR8" i="12"/>
  <c r="US8" i="12"/>
  <c r="UT8" i="12"/>
  <c r="UU8" i="12"/>
  <c r="UV8" i="12"/>
  <c r="UW8" i="12"/>
  <c r="UX8" i="12"/>
  <c r="UY8" i="12"/>
  <c r="UZ8" i="12"/>
  <c r="VA8" i="12"/>
  <c r="VB8" i="12"/>
  <c r="VC8" i="12"/>
  <c r="VD8" i="12"/>
  <c r="VE8" i="12"/>
  <c r="VF8" i="12"/>
  <c r="VG8" i="12"/>
  <c r="VH8" i="12"/>
  <c r="VI8" i="12"/>
  <c r="VJ8" i="12"/>
  <c r="VK8" i="12"/>
  <c r="VL8" i="12"/>
  <c r="VM8" i="12"/>
  <c r="VN8" i="12"/>
  <c r="VO8" i="12"/>
  <c r="VP8" i="12"/>
  <c r="VQ8" i="12"/>
  <c r="VR8" i="12"/>
  <c r="VS8" i="12"/>
  <c r="VT8" i="12"/>
  <c r="VU8" i="12"/>
  <c r="VV8" i="12"/>
  <c r="VW8" i="12"/>
  <c r="VX8" i="12"/>
  <c r="VY8" i="12"/>
  <c r="VZ8" i="12"/>
  <c r="WA8" i="12"/>
  <c r="WB8" i="12"/>
  <c r="WC8" i="12"/>
  <c r="WD8" i="12"/>
  <c r="WE8" i="12"/>
  <c r="WF8" i="12"/>
  <c r="WG8" i="12"/>
  <c r="WH8" i="12"/>
  <c r="WI8" i="12"/>
  <c r="WJ8" i="12"/>
  <c r="WK8" i="12"/>
  <c r="WL8" i="12"/>
  <c r="WM8" i="12"/>
  <c r="WN8" i="12"/>
  <c r="WO8" i="12"/>
  <c r="WP8" i="12"/>
  <c r="WQ8" i="12"/>
  <c r="WR8" i="12"/>
  <c r="WS8" i="12"/>
  <c r="WT8" i="12"/>
  <c r="WU8" i="12"/>
  <c r="WV8" i="12"/>
  <c r="WW8" i="12"/>
  <c r="WX8" i="12"/>
  <c r="WZ8" i="12"/>
  <c r="XA8" i="12"/>
  <c r="XB8" i="12"/>
  <c r="XC8" i="12"/>
  <c r="XD8" i="12"/>
  <c r="XE8" i="12"/>
  <c r="XF8" i="12"/>
  <c r="XG8" i="12"/>
  <c r="XH8" i="12"/>
  <c r="XI8" i="12"/>
  <c r="XJ8" i="12"/>
  <c r="XK8" i="12"/>
  <c r="XL8" i="12"/>
  <c r="XM8" i="12"/>
  <c r="XN8" i="12"/>
  <c r="XO8" i="12"/>
  <c r="XP8" i="12"/>
  <c r="XQ8" i="12"/>
  <c r="XR8" i="12"/>
  <c r="XS8" i="12"/>
  <c r="XT8" i="12"/>
  <c r="XU8" i="12"/>
  <c r="XV8" i="12"/>
  <c r="XW8" i="12"/>
  <c r="XX8" i="12"/>
  <c r="XY8" i="12"/>
  <c r="XZ8" i="12"/>
  <c r="YA8" i="12"/>
  <c r="YB8" i="12"/>
  <c r="YC8" i="12"/>
  <c r="YD8" i="12"/>
  <c r="YE8" i="12"/>
  <c r="YF8" i="12"/>
  <c r="YG8" i="12"/>
  <c r="YH8" i="12"/>
  <c r="YI8" i="12"/>
  <c r="YJ8" i="12"/>
  <c r="YK8" i="12"/>
  <c r="YL8" i="12"/>
  <c r="YM8" i="12"/>
  <c r="YN8" i="12"/>
  <c r="YO8" i="12"/>
  <c r="YP8" i="12"/>
  <c r="YQ8" i="12"/>
  <c r="YR8" i="12"/>
  <c r="YS8" i="12"/>
  <c r="YT8" i="12"/>
  <c r="YU8" i="12"/>
  <c r="YV8" i="12"/>
  <c r="YW8" i="12"/>
  <c r="YX8" i="12"/>
  <c r="YY8" i="12"/>
  <c r="YZ8" i="12"/>
  <c r="ZA8" i="12"/>
  <c r="ZB8" i="12"/>
  <c r="ZC8" i="12"/>
  <c r="O12" i="12"/>
  <c r="P12" i="12"/>
  <c r="Q12" i="12"/>
  <c r="R12" i="12"/>
  <c r="S12" i="12"/>
  <c r="T12" i="12"/>
  <c r="U12" i="12"/>
  <c r="V12" i="12"/>
  <c r="W12" i="12"/>
  <c r="X12" i="12"/>
  <c r="Y12" i="12"/>
  <c r="Z12" i="12"/>
  <c r="AA12" i="12"/>
  <c r="AB12" i="12"/>
  <c r="AC12" i="12"/>
  <c r="AD12" i="12"/>
  <c r="AE12" i="12"/>
  <c r="AF12" i="12"/>
  <c r="AG12" i="12"/>
  <c r="AH12" i="12"/>
  <c r="AI12" i="12"/>
  <c r="AJ12" i="12"/>
  <c r="AK12" i="12"/>
  <c r="AL12" i="12"/>
  <c r="AM12" i="12"/>
  <c r="AN12" i="12"/>
  <c r="AO12" i="12"/>
  <c r="AP12" i="12"/>
  <c r="AQ12" i="12"/>
  <c r="AR12" i="12"/>
  <c r="AS12" i="12"/>
  <c r="AT12" i="12"/>
  <c r="AU12" i="12"/>
  <c r="AV12" i="12"/>
  <c r="AW12" i="12"/>
  <c r="AX12" i="12"/>
  <c r="AY12" i="12"/>
  <c r="AZ12" i="12"/>
  <c r="BA12" i="12"/>
  <c r="BB12" i="12"/>
  <c r="BC12" i="12"/>
  <c r="BD12" i="12"/>
  <c r="BE12" i="12"/>
  <c r="BF12" i="12"/>
  <c r="BG12" i="12"/>
  <c r="BH12" i="12"/>
  <c r="BI12" i="12"/>
  <c r="BJ12" i="12"/>
  <c r="BK12" i="12"/>
  <c r="BL12" i="12"/>
  <c r="BM12" i="12"/>
  <c r="BN12" i="12"/>
  <c r="BO12" i="12"/>
  <c r="BP12" i="12"/>
  <c r="BQ12" i="12"/>
  <c r="BR12" i="12"/>
  <c r="BS12" i="12"/>
  <c r="BT12" i="12"/>
  <c r="BU12" i="12"/>
  <c r="BV12" i="12"/>
  <c r="BW12" i="12"/>
  <c r="BX12" i="12"/>
  <c r="BY12" i="12"/>
  <c r="BZ12" i="12"/>
  <c r="CA12" i="12"/>
  <c r="CB12" i="12"/>
  <c r="CC12" i="12"/>
  <c r="CD12" i="12"/>
  <c r="CE12" i="12"/>
  <c r="CF12" i="12"/>
  <c r="CG12" i="12"/>
  <c r="CH12" i="12"/>
  <c r="CI12" i="12"/>
  <c r="CJ12" i="12"/>
  <c r="CK12" i="12"/>
  <c r="CL12" i="12"/>
  <c r="CM12" i="12"/>
  <c r="CN12" i="12"/>
  <c r="CO12" i="12"/>
  <c r="CP12" i="12"/>
  <c r="CQ12" i="12"/>
  <c r="CR12" i="12"/>
  <c r="CS12" i="12"/>
  <c r="CT12" i="12"/>
  <c r="CU12" i="12"/>
  <c r="CV12" i="12"/>
  <c r="CW12" i="12"/>
  <c r="CX12" i="12"/>
  <c r="CY12" i="12"/>
  <c r="CZ12" i="12"/>
  <c r="DA12" i="12"/>
  <c r="DB12" i="12"/>
  <c r="DC12" i="12"/>
  <c r="DD12" i="12"/>
  <c r="DE12" i="12"/>
  <c r="DF12" i="12"/>
  <c r="DG12" i="12"/>
  <c r="DH12" i="12"/>
  <c r="DI12" i="12"/>
  <c r="DJ12" i="12"/>
  <c r="DK12" i="12"/>
  <c r="DL12" i="12"/>
  <c r="DM12" i="12"/>
  <c r="DN12" i="12"/>
  <c r="DO12" i="12"/>
  <c r="DP12" i="12"/>
  <c r="DQ12" i="12"/>
  <c r="DR12" i="12"/>
  <c r="DS12" i="12"/>
  <c r="DT12" i="12"/>
  <c r="DU12" i="12"/>
  <c r="DV12" i="12"/>
  <c r="DW12" i="12"/>
  <c r="DX12" i="12"/>
  <c r="DY12" i="12"/>
  <c r="DZ12" i="12"/>
  <c r="EA12" i="12"/>
  <c r="EB12" i="12"/>
  <c r="EC12" i="12"/>
  <c r="ED12" i="12"/>
  <c r="EE12" i="12"/>
  <c r="EF12" i="12"/>
  <c r="EG12" i="12"/>
  <c r="EH12" i="12"/>
  <c r="EI12" i="12"/>
  <c r="EJ12" i="12"/>
  <c r="EK12" i="12"/>
  <c r="EL12" i="12"/>
  <c r="EM12" i="12"/>
  <c r="EN12" i="12"/>
  <c r="EO12" i="12"/>
  <c r="EP12" i="12"/>
  <c r="EQ12" i="12"/>
  <c r="ER12" i="12"/>
  <c r="ES12" i="12"/>
  <c r="ET12" i="12"/>
  <c r="EU12" i="12"/>
  <c r="EV12" i="12"/>
  <c r="EW12" i="12"/>
  <c r="EX12" i="12"/>
  <c r="EY12" i="12"/>
  <c r="EZ12" i="12"/>
  <c r="FA12" i="12"/>
  <c r="FB12" i="12"/>
  <c r="FC12" i="12"/>
  <c r="FD12" i="12"/>
  <c r="FE12" i="12"/>
  <c r="FF12" i="12"/>
  <c r="FG12" i="12"/>
  <c r="FH12" i="12"/>
  <c r="FI12" i="12"/>
  <c r="FJ12" i="12"/>
  <c r="FK12" i="12"/>
  <c r="FL12" i="12"/>
  <c r="FM12" i="12"/>
  <c r="FN12" i="12"/>
  <c r="FO12" i="12"/>
  <c r="FP12" i="12"/>
  <c r="FQ12" i="12"/>
  <c r="FR12" i="12"/>
  <c r="FS12" i="12"/>
  <c r="FT12" i="12"/>
  <c r="FU12" i="12"/>
  <c r="FV12" i="12"/>
  <c r="FW12" i="12"/>
  <c r="FX12" i="12"/>
  <c r="FY12" i="12"/>
  <c r="FZ12" i="12"/>
  <c r="GA12" i="12"/>
  <c r="GB12" i="12"/>
  <c r="GC12" i="12"/>
  <c r="GD12" i="12"/>
  <c r="GE12" i="12"/>
  <c r="GF12" i="12"/>
  <c r="GG12" i="12"/>
  <c r="GH12" i="12"/>
  <c r="GI12" i="12"/>
  <c r="GJ12" i="12"/>
  <c r="GK12" i="12"/>
  <c r="GL12" i="12"/>
  <c r="GM12" i="12"/>
  <c r="GN12" i="12"/>
  <c r="GO12" i="12"/>
  <c r="GP12" i="12"/>
  <c r="GQ12" i="12"/>
  <c r="GR12" i="12"/>
  <c r="GS12" i="12"/>
  <c r="GT12" i="12"/>
  <c r="GU12" i="12"/>
  <c r="GV12" i="12"/>
  <c r="GW12" i="12"/>
  <c r="GX12" i="12"/>
  <c r="GY12" i="12"/>
  <c r="GZ12" i="12"/>
  <c r="HA12" i="12"/>
  <c r="HB12" i="12"/>
  <c r="HC12" i="12"/>
  <c r="HD12" i="12"/>
  <c r="HE12" i="12"/>
  <c r="HF12" i="12"/>
  <c r="HG12" i="12"/>
  <c r="HH12" i="12"/>
  <c r="HI12" i="12"/>
  <c r="HJ12" i="12"/>
  <c r="HK12" i="12"/>
  <c r="HL12" i="12"/>
  <c r="HM12" i="12"/>
  <c r="HN12" i="12"/>
  <c r="HO12" i="12"/>
  <c r="HP12" i="12"/>
  <c r="HQ12" i="12"/>
  <c r="HR12" i="12"/>
  <c r="HS12" i="12"/>
  <c r="HT12" i="12"/>
  <c r="HU12" i="12"/>
  <c r="HV12" i="12"/>
  <c r="HW12" i="12"/>
  <c r="HX12" i="12"/>
  <c r="HY12" i="12"/>
  <c r="HZ12" i="12"/>
  <c r="IA12" i="12"/>
  <c r="IB12" i="12"/>
  <c r="IC12" i="12"/>
  <c r="ID12" i="12"/>
  <c r="IE12" i="12"/>
  <c r="IF12" i="12"/>
  <c r="IG12" i="12"/>
  <c r="IH12" i="12"/>
  <c r="II12" i="12"/>
  <c r="IJ12" i="12"/>
  <c r="IK12" i="12"/>
  <c r="IL12" i="12"/>
  <c r="IM12" i="12"/>
  <c r="IN12" i="12"/>
  <c r="IO12" i="12"/>
  <c r="IP12" i="12"/>
  <c r="IQ12" i="12"/>
  <c r="IR12" i="12"/>
  <c r="IS12" i="12"/>
  <c r="IT12" i="12"/>
  <c r="IU12" i="12"/>
  <c r="IV12" i="12"/>
  <c r="IW12" i="12"/>
  <c r="IX12" i="12"/>
  <c r="IY12" i="12"/>
  <c r="IZ12" i="12"/>
  <c r="JA12" i="12"/>
  <c r="JB12" i="12"/>
  <c r="JC12" i="12"/>
  <c r="JD12" i="12"/>
  <c r="JE12" i="12"/>
  <c r="JF12" i="12"/>
  <c r="JG12" i="12"/>
  <c r="JH12" i="12"/>
  <c r="JI12" i="12"/>
  <c r="JJ12" i="12"/>
  <c r="JK12" i="12"/>
  <c r="JL12" i="12"/>
  <c r="JM12" i="12"/>
  <c r="JN12" i="12"/>
  <c r="JO12" i="12"/>
  <c r="JP12" i="12"/>
  <c r="JQ12" i="12"/>
  <c r="JR12" i="12"/>
  <c r="JS12" i="12"/>
  <c r="JT12" i="12"/>
  <c r="JU12" i="12"/>
  <c r="JV12" i="12"/>
  <c r="JW12" i="12"/>
  <c r="JX12" i="12"/>
  <c r="JY12" i="12"/>
  <c r="JZ12" i="12"/>
  <c r="KA12" i="12"/>
  <c r="KB12" i="12"/>
  <c r="KC12" i="12"/>
  <c r="KD12" i="12"/>
  <c r="KE12" i="12"/>
  <c r="KF12" i="12"/>
  <c r="KG12" i="12"/>
  <c r="KH12" i="12"/>
  <c r="KI12" i="12"/>
  <c r="KJ12" i="12"/>
  <c r="KK12" i="12"/>
  <c r="KL12" i="12"/>
  <c r="KM12" i="12"/>
  <c r="KN12" i="12"/>
  <c r="KO12" i="12"/>
  <c r="KP12" i="12"/>
  <c r="KQ12" i="12"/>
  <c r="KR12" i="12"/>
  <c r="KS12" i="12"/>
  <c r="KT12" i="12"/>
  <c r="KU12" i="12"/>
  <c r="KV12" i="12"/>
  <c r="KW12" i="12"/>
  <c r="KX12" i="12"/>
  <c r="KY12" i="12"/>
  <c r="KZ12" i="12"/>
  <c r="LA12" i="12"/>
  <c r="LB12" i="12"/>
  <c r="LC12" i="12"/>
  <c r="LD12" i="12"/>
  <c r="LE12" i="12"/>
  <c r="LF12" i="12"/>
  <c r="LG12" i="12"/>
  <c r="LH12" i="12"/>
  <c r="LI12" i="12"/>
  <c r="LJ12" i="12"/>
  <c r="LK12" i="12"/>
  <c r="LL12" i="12"/>
  <c r="LM12" i="12"/>
  <c r="LN12" i="12"/>
  <c r="LO12" i="12"/>
  <c r="LP12" i="12"/>
  <c r="LQ12" i="12"/>
  <c r="LR12" i="12"/>
  <c r="LS12" i="12"/>
  <c r="LT12" i="12"/>
  <c r="LU12" i="12"/>
  <c r="LV12" i="12"/>
  <c r="LW12" i="12"/>
  <c r="LX12" i="12"/>
  <c r="LY12" i="12"/>
  <c r="LZ12" i="12"/>
  <c r="MA12" i="12"/>
  <c r="MB12" i="12"/>
  <c r="MC12" i="12"/>
  <c r="MD12" i="12"/>
  <c r="ME12" i="12"/>
  <c r="MF12" i="12"/>
  <c r="MG12" i="12"/>
  <c r="MH12" i="12"/>
  <c r="MI12" i="12"/>
  <c r="MJ12" i="12"/>
  <c r="MK12" i="12"/>
  <c r="ML12" i="12"/>
  <c r="MM12" i="12"/>
  <c r="MN12" i="12"/>
  <c r="MO12" i="12"/>
  <c r="MP12" i="12"/>
  <c r="MQ12" i="12"/>
  <c r="MR12" i="12"/>
  <c r="MS12" i="12"/>
  <c r="MT12" i="12"/>
  <c r="MU12" i="12"/>
  <c r="MV12" i="12"/>
  <c r="MW12" i="12"/>
  <c r="MX12" i="12"/>
  <c r="MY12" i="12"/>
  <c r="MZ12" i="12"/>
  <c r="NA12" i="12"/>
  <c r="NB12" i="12"/>
  <c r="NC12" i="12"/>
  <c r="ND12" i="12"/>
  <c r="NE12" i="12"/>
  <c r="NF12" i="12"/>
  <c r="NG12" i="12"/>
  <c r="NH12" i="12"/>
  <c r="NI12" i="12"/>
  <c r="NJ12" i="12"/>
  <c r="NK12" i="12"/>
  <c r="NL12" i="12"/>
  <c r="NM12" i="12"/>
  <c r="NN12" i="12"/>
  <c r="NO12" i="12"/>
  <c r="NP12" i="12"/>
  <c r="NQ12" i="12"/>
  <c r="NR12" i="12"/>
  <c r="NS12" i="12"/>
  <c r="NT12" i="12"/>
  <c r="NU12" i="12"/>
  <c r="NV12" i="12"/>
  <c r="NW12" i="12"/>
  <c r="NX12" i="12"/>
  <c r="NY12" i="12"/>
  <c r="NZ12" i="12"/>
  <c r="OA12" i="12"/>
  <c r="OB12" i="12"/>
  <c r="OC12" i="12"/>
  <c r="OD12" i="12"/>
  <c r="OE12" i="12"/>
  <c r="OF12" i="12"/>
  <c r="OG12" i="12"/>
  <c r="OH12" i="12"/>
  <c r="OI12" i="12"/>
  <c r="OJ12" i="12"/>
  <c r="OK12" i="12"/>
  <c r="OL12" i="12"/>
  <c r="OM12" i="12"/>
  <c r="ON12" i="12"/>
  <c r="OO12" i="12"/>
  <c r="OP12" i="12"/>
  <c r="OQ12" i="12"/>
  <c r="OR12" i="12"/>
  <c r="OS12" i="12"/>
  <c r="OT12" i="12"/>
  <c r="OU12" i="12"/>
  <c r="OV12" i="12"/>
  <c r="OW12" i="12"/>
  <c r="OX12" i="12"/>
  <c r="OY12" i="12"/>
  <c r="OZ12" i="12"/>
  <c r="PA12" i="12"/>
  <c r="PB12" i="12"/>
  <c r="PC12" i="12"/>
  <c r="PD12" i="12"/>
  <c r="PE12" i="12"/>
  <c r="PF12" i="12"/>
  <c r="PG12" i="12"/>
  <c r="PH12" i="12"/>
  <c r="PI12" i="12"/>
  <c r="PJ12" i="12"/>
  <c r="PK12" i="12"/>
  <c r="PL12" i="12"/>
  <c r="PM12" i="12"/>
  <c r="PN12" i="12"/>
  <c r="PO12" i="12"/>
  <c r="PP12" i="12"/>
  <c r="PQ12" i="12"/>
  <c r="PR12" i="12"/>
  <c r="PS12" i="12"/>
  <c r="PT12" i="12"/>
  <c r="PU12" i="12"/>
  <c r="PV12" i="12"/>
  <c r="PW12" i="12"/>
  <c r="PX12" i="12"/>
  <c r="PY12" i="12"/>
  <c r="PZ12" i="12"/>
  <c r="QA12" i="12"/>
  <c r="QB12" i="12"/>
  <c r="QC12" i="12"/>
  <c r="QD12" i="12"/>
  <c r="QE12" i="12"/>
  <c r="QF12" i="12"/>
  <c r="QG12" i="12"/>
  <c r="QH12" i="12"/>
  <c r="QI12" i="12"/>
  <c r="QJ12" i="12"/>
  <c r="QK12" i="12"/>
  <c r="QL12" i="12"/>
  <c r="QM12" i="12"/>
  <c r="QN12" i="12"/>
  <c r="QO12" i="12"/>
  <c r="QP12" i="12"/>
  <c r="QQ12" i="12"/>
  <c r="QR12" i="12"/>
  <c r="QS12" i="12"/>
  <c r="QT12" i="12"/>
  <c r="QU12" i="12"/>
  <c r="QV12" i="12"/>
  <c r="QW12" i="12"/>
  <c r="QX12" i="12"/>
  <c r="QY12" i="12"/>
  <c r="QZ12" i="12"/>
  <c r="RA12" i="12"/>
  <c r="RB12" i="12"/>
  <c r="RC12" i="12"/>
  <c r="RD12" i="12"/>
  <c r="RE12" i="12"/>
  <c r="RF12" i="12"/>
  <c r="RG12" i="12"/>
  <c r="RH12" i="12"/>
  <c r="RI12" i="12"/>
  <c r="RJ12" i="12"/>
  <c r="JF15" i="12"/>
  <c r="JG15" i="12"/>
  <c r="JH15" i="12"/>
  <c r="JI15" i="12"/>
  <c r="JJ15" i="12"/>
  <c r="JK15" i="12"/>
  <c r="JL15" i="12"/>
  <c r="JM15" i="12"/>
  <c r="JN15" i="12"/>
  <c r="JO15" i="12"/>
  <c r="JP15" i="12"/>
  <c r="JQ15" i="12"/>
  <c r="JR15" i="12"/>
  <c r="JS15" i="12"/>
  <c r="JT15" i="12"/>
  <c r="JU15" i="12"/>
  <c r="JV15" i="12"/>
  <c r="JW15" i="12"/>
  <c r="JX15" i="12"/>
  <c r="JY15" i="12"/>
  <c r="JZ15" i="12"/>
  <c r="KA15" i="12"/>
  <c r="KB15" i="12"/>
  <c r="KC15" i="12"/>
  <c r="KD15" i="12"/>
  <c r="KE15" i="12"/>
  <c r="KF15" i="12"/>
  <c r="KG15" i="12"/>
  <c r="KH15" i="12"/>
  <c r="KI15" i="12"/>
  <c r="KJ15" i="12"/>
  <c r="KK15" i="12"/>
  <c r="KL15" i="12"/>
  <c r="KM15" i="12"/>
  <c r="KN15" i="12"/>
  <c r="KO15" i="12"/>
  <c r="KP15" i="12"/>
  <c r="KQ15" i="12"/>
  <c r="KR15" i="12"/>
  <c r="KS15" i="12"/>
  <c r="KT15" i="12"/>
  <c r="KU15" i="12"/>
  <c r="KV15" i="12"/>
  <c r="LF15" i="12"/>
  <c r="LG15" i="12"/>
  <c r="LH15" i="12"/>
  <c r="LI15" i="12"/>
  <c r="LJ15" i="12"/>
  <c r="LK15" i="12"/>
  <c r="LL15" i="12"/>
  <c r="LM15" i="12"/>
  <c r="LN15" i="12"/>
  <c r="LO15" i="12"/>
  <c r="WY8" i="12"/>
  <c r="WY10" i="12"/>
  <c r="I13" i="12"/>
  <c r="I14" i="12"/>
  <c r="H14" i="12"/>
  <c r="KW15" i="12"/>
  <c r="KY15" i="12"/>
  <c r="KZ15" i="12"/>
  <c r="LA15" i="12"/>
  <c r="LB15" i="12"/>
  <c r="LC15" i="12"/>
  <c r="LD15" i="12"/>
  <c r="LE15" i="12"/>
  <c r="KX15" i="12"/>
  <c r="EB20" i="23"/>
  <c r="VA3" i="12"/>
  <c r="J13" i="12"/>
  <c r="J14" i="12"/>
  <c r="EA20" i="23"/>
  <c r="VB3" i="12"/>
  <c r="K13" i="12"/>
  <c r="K14" i="12"/>
  <c r="DZ20" i="23"/>
  <c r="VC3" i="12"/>
  <c r="L13" i="12"/>
  <c r="L14" i="12"/>
  <c r="DY20" i="23"/>
  <c r="H1326" i="13"/>
  <c r="AGZ15" i="12"/>
  <c r="VD3" i="12"/>
  <c r="M13" i="12"/>
  <c r="M14" i="12"/>
  <c r="H1319" i="13"/>
  <c r="AHK15" i="12"/>
  <c r="AHN15" i="12"/>
  <c r="AHQ15" i="12"/>
  <c r="AHT15" i="12"/>
  <c r="AHW15" i="12"/>
  <c r="AHZ15" i="12"/>
  <c r="AIC15" i="12"/>
  <c r="AIF15" i="12"/>
  <c r="AII15" i="12"/>
  <c r="AIL15" i="12"/>
  <c r="AIO15" i="12"/>
  <c r="AIR15" i="12"/>
  <c r="AIU15" i="12"/>
  <c r="AIX15" i="12"/>
  <c r="AJA15" i="12"/>
  <c r="AJD15" i="12"/>
  <c r="AJG15" i="12"/>
  <c r="AJJ15" i="12"/>
  <c r="AJM15" i="12"/>
  <c r="AJP15" i="12"/>
  <c r="AJS15" i="12"/>
  <c r="AJV15" i="12"/>
  <c r="AJY15" i="12"/>
  <c r="AKB15" i="12"/>
  <c r="AKE15" i="12"/>
  <c r="AKH15" i="12"/>
  <c r="AKK15" i="12"/>
  <c r="AKN15" i="12"/>
  <c r="AKQ15" i="12"/>
  <c r="AKT15" i="12"/>
  <c r="AKW15" i="12"/>
  <c r="AKZ15" i="12"/>
  <c r="ALC15" i="12"/>
  <c r="ALF15" i="12"/>
  <c r="ALI15" i="12"/>
  <c r="ALL15" i="12"/>
  <c r="ALO15" i="12"/>
  <c r="ALR15" i="12"/>
  <c r="ALU15" i="12"/>
  <c r="ALX15" i="12"/>
  <c r="AMA15" i="12"/>
  <c r="AMD15" i="12"/>
  <c r="AMG15" i="12"/>
  <c r="AMJ15" i="12"/>
  <c r="AMM15" i="12"/>
  <c r="AHA15" i="12"/>
  <c r="AHD15" i="12"/>
  <c r="N13" i="12"/>
  <c r="N14" i="12"/>
  <c r="DX20" i="23"/>
  <c r="AHI15" i="12"/>
  <c r="AHL15" i="12"/>
  <c r="AHO15" i="12"/>
  <c r="AHR15" i="12"/>
  <c r="AHU15" i="12"/>
  <c r="AHX15" i="12"/>
  <c r="AIA15" i="12"/>
  <c r="AID15" i="12"/>
  <c r="AIG15" i="12"/>
  <c r="AIJ15" i="12"/>
  <c r="AIM15" i="12"/>
  <c r="AIP15" i="12"/>
  <c r="AIS15" i="12"/>
  <c r="AIV15" i="12"/>
  <c r="AIY15" i="12"/>
  <c r="AJB15" i="12"/>
  <c r="AJE15" i="12"/>
  <c r="AJH15" i="12"/>
  <c r="AJK15" i="12"/>
  <c r="AJN15" i="12"/>
  <c r="AJQ15" i="12"/>
  <c r="AJT15" i="12"/>
  <c r="AJW15" i="12"/>
  <c r="AJZ15" i="12"/>
  <c r="AKC15" i="12"/>
  <c r="AKF15" i="12"/>
  <c r="AKI15" i="12"/>
  <c r="AKL15" i="12"/>
  <c r="AKO15" i="12"/>
  <c r="AKR15" i="12"/>
  <c r="AKU15" i="12"/>
  <c r="AKX15" i="12"/>
  <c r="ALA15" i="12"/>
  <c r="ALD15" i="12"/>
  <c r="ALG15" i="12"/>
  <c r="ALJ15" i="12"/>
  <c r="ALM15" i="12"/>
  <c r="ALP15" i="12"/>
  <c r="ALS15" i="12"/>
  <c r="ALV15" i="12"/>
  <c r="ALY15" i="12"/>
  <c r="AMB15" i="12"/>
  <c r="AME15" i="12"/>
  <c r="AMH15" i="12"/>
  <c r="AMK15" i="12"/>
  <c r="AMN15" i="12"/>
  <c r="O13" i="12"/>
  <c r="O14" i="12"/>
  <c r="H1318" i="13"/>
  <c r="H1317" i="13"/>
  <c r="P13" i="12"/>
  <c r="P14" i="12"/>
  <c r="DW20" i="23"/>
  <c r="H1316" i="13"/>
  <c r="Q13" i="12"/>
  <c r="Q14" i="12"/>
  <c r="H1315" i="13"/>
  <c r="H1314" i="13"/>
  <c r="R13" i="12"/>
  <c r="R14" i="12"/>
  <c r="DV20" i="23"/>
  <c r="BCT16" i="12"/>
  <c r="S13" i="12"/>
  <c r="S14" i="12"/>
  <c r="H1313" i="13"/>
  <c r="DU20" i="23"/>
  <c r="BCU16" i="12"/>
  <c r="T13" i="12"/>
  <c r="T14" i="12"/>
  <c r="H1312" i="13"/>
  <c r="BCV16" i="12"/>
  <c r="U13" i="12"/>
  <c r="U14" i="12"/>
  <c r="DT20" i="23"/>
  <c r="BCW16" i="12"/>
  <c r="V13" i="12"/>
  <c r="V14" i="12"/>
  <c r="DS20" i="23"/>
  <c r="DR20" i="23"/>
  <c r="H1311" i="13"/>
  <c r="BCY16" i="12"/>
  <c r="BCX16" i="12"/>
  <c r="W13" i="12"/>
  <c r="W14" i="12"/>
  <c r="DQ20" i="23"/>
  <c r="H1310" i="13"/>
  <c r="X13" i="12"/>
  <c r="X14" i="12"/>
  <c r="DP20" i="23"/>
  <c r="BCZ16" i="12"/>
  <c r="Y13" i="12"/>
  <c r="Y14" i="12"/>
  <c r="DO20" i="23"/>
  <c r="BDA16" i="12"/>
  <c r="Z13" i="12"/>
  <c r="Z14" i="12"/>
  <c r="DN20" i="23"/>
  <c r="BDB16" i="12"/>
  <c r="AA13" i="12"/>
  <c r="AA14" i="12"/>
  <c r="DM20" i="23"/>
  <c r="DL20" i="23"/>
  <c r="DK20" i="23"/>
  <c r="BDC16" i="12"/>
  <c r="AB13" i="12"/>
  <c r="AB14" i="12"/>
  <c r="BDD16" i="12"/>
  <c r="AC13" i="12"/>
  <c r="AC14" i="12"/>
  <c r="DJ14" i="23"/>
  <c r="DJ13" i="23"/>
  <c r="BDE16" i="12"/>
  <c r="AD13" i="12"/>
  <c r="AD14" i="12"/>
  <c r="DJ20" i="23"/>
  <c r="BDF16" i="12"/>
  <c r="AE13" i="12"/>
  <c r="AE14" i="12"/>
  <c r="DI20" i="23"/>
  <c r="BDG16" i="12"/>
  <c r="AF13" i="12"/>
  <c r="AF14" i="12"/>
  <c r="DH14" i="23"/>
  <c r="DH13" i="23"/>
  <c r="DG13" i="23"/>
  <c r="DG14" i="23"/>
  <c r="DH18" i="23"/>
  <c r="DH16" i="23"/>
  <c r="DG18" i="23"/>
  <c r="DG16" i="23"/>
  <c r="DF14" i="23"/>
  <c r="DF13" i="23"/>
  <c r="DE14" i="23"/>
  <c r="DE13" i="23"/>
  <c r="DF16" i="23"/>
  <c r="DF18" i="23"/>
  <c r="BDI16" i="12"/>
  <c r="BDH16" i="12"/>
  <c r="AG13" i="12"/>
  <c r="AG14" i="12"/>
  <c r="DH20" i="23"/>
  <c r="DG20" i="23"/>
  <c r="DF20" i="23"/>
  <c r="DE20" i="23"/>
  <c r="BDJ16" i="12"/>
  <c r="AH13" i="12"/>
  <c r="AH14" i="12"/>
  <c r="DC14" i="23"/>
  <c r="DD13" i="23"/>
  <c r="DD14" i="23"/>
  <c r="DB14" i="23"/>
  <c r="DB13" i="23"/>
  <c r="BDK16" i="12"/>
  <c r="AI13" i="12"/>
  <c r="AI14" i="12"/>
  <c r="DD20" i="23"/>
  <c r="BDL16" i="12"/>
  <c r="AJ13" i="12"/>
  <c r="AJ14" i="12"/>
  <c r="DC20" i="23"/>
  <c r="BDM16" i="12"/>
  <c r="AK13" i="12"/>
  <c r="AK14" i="12"/>
  <c r="DB20" i="23"/>
  <c r="BDN16" i="12"/>
  <c r="AL13" i="12"/>
  <c r="AL14" i="12"/>
  <c r="DA20" i="23"/>
  <c r="BDO16" i="12"/>
  <c r="AM13" i="12"/>
  <c r="AM14" i="12"/>
  <c r="CZ20" i="23"/>
  <c r="BDP16" i="12"/>
  <c r="AN13" i="12"/>
  <c r="AN14" i="12"/>
  <c r="CY20" i="23"/>
  <c r="BDQ16" i="12"/>
  <c r="AO13" i="12"/>
  <c r="AO14" i="12"/>
  <c r="CX20" i="23"/>
  <c r="BDR16" i="12"/>
  <c r="AP13" i="12"/>
  <c r="AP14" i="12"/>
  <c r="CU13" i="23"/>
  <c r="CW14" i="23"/>
  <c r="CW13" i="23"/>
  <c r="CU18" i="23"/>
  <c r="CV18" i="23"/>
  <c r="CU14" i="23"/>
  <c r="BDS16" i="12"/>
  <c r="AQ13" i="12"/>
  <c r="AQ14" i="12"/>
  <c r="CW18" i="23"/>
  <c r="CW16" i="23"/>
  <c r="BDT16" i="12"/>
  <c r="AR13" i="12"/>
  <c r="AR14" i="12"/>
  <c r="CW20" i="23"/>
  <c r="CV20" i="23"/>
  <c r="BDU16" i="12"/>
  <c r="AS13" i="12"/>
  <c r="AS14" i="12"/>
  <c r="CU20" i="23"/>
  <c r="BDV16" i="12"/>
  <c r="AT13" i="12"/>
  <c r="AT14" i="12"/>
  <c r="CT20" i="23"/>
  <c r="BDW16" i="12"/>
  <c r="AU13" i="12"/>
  <c r="AU14" i="12"/>
  <c r="CS13" i="23"/>
  <c r="CS14" i="23"/>
  <c r="CS18" i="23"/>
  <c r="CS16" i="23"/>
  <c r="BDX16" i="12"/>
  <c r="AV13" i="12"/>
  <c r="AV14" i="12"/>
  <c r="CS20" i="23"/>
  <c r="CR14" i="23"/>
  <c r="CR18" i="23"/>
  <c r="CR16" i="23"/>
  <c r="BDY16" i="12"/>
  <c r="CR20" i="23"/>
  <c r="AW13" i="12"/>
  <c r="AW14" i="12"/>
  <c r="BDZ16" i="12"/>
  <c r="AX13" i="12"/>
  <c r="AX14" i="12"/>
  <c r="CQ13" i="23"/>
  <c r="CQ14" i="23"/>
  <c r="CP14" i="23"/>
  <c r="CP18" i="23"/>
  <c r="CP20" i="23"/>
  <c r="CO14" i="23"/>
  <c r="CO13" i="23"/>
  <c r="CN14" i="23"/>
  <c r="CN13" i="23"/>
  <c r="CM14" i="23"/>
  <c r="CM13" i="23"/>
  <c r="CL13" i="23"/>
  <c r="CL14" i="23"/>
  <c r="CQ18" i="23"/>
  <c r="CQ16" i="23"/>
  <c r="BEA16" i="12"/>
  <c r="AY13" i="12"/>
  <c r="AY14" i="12"/>
  <c r="CQ20" i="23"/>
  <c r="H1309" i="13"/>
  <c r="BEB16" i="12"/>
  <c r="AZ13" i="12"/>
  <c r="AZ14" i="12"/>
  <c r="H1308" i="13"/>
  <c r="BEC16" i="12"/>
  <c r="BA13" i="12"/>
  <c r="BA14" i="12"/>
  <c r="CO20" i="23"/>
  <c r="H1307" i="13"/>
  <c r="H1306" i="13"/>
  <c r="BED16" i="12"/>
  <c r="BB13" i="12"/>
  <c r="BB14" i="12"/>
  <c r="CN20" i="23"/>
  <c r="BEE16" i="12"/>
  <c r="BC13" i="12"/>
  <c r="BC14" i="12"/>
  <c r="CM20" i="23"/>
  <c r="BEF16" i="12"/>
  <c r="BD13" i="12"/>
  <c r="BD14" i="12"/>
  <c r="CL20" i="23"/>
  <c r="BEG16" i="12"/>
  <c r="BE13" i="12"/>
  <c r="BE14" i="12"/>
  <c r="CK13" i="23"/>
  <c r="CK14" i="23"/>
  <c r="CJ14" i="23"/>
  <c r="CJ13" i="23"/>
  <c r="CJ16" i="23"/>
  <c r="CJ18" i="23"/>
  <c r="CI13" i="23"/>
  <c r="CI14" i="23"/>
  <c r="CI18" i="23"/>
  <c r="CI16" i="23"/>
  <c r="CK18" i="23"/>
  <c r="CK16" i="23"/>
  <c r="H1305" i="13"/>
  <c r="BEH16" i="12"/>
  <c r="BF13" i="12"/>
  <c r="BF14" i="12"/>
  <c r="CK20" i="23"/>
  <c r="CJ20" i="23"/>
  <c r="CI20" i="23"/>
  <c r="H1304" i="13"/>
  <c r="BEI16" i="12"/>
  <c r="BG13" i="12"/>
  <c r="BG14" i="12"/>
  <c r="CH14" i="23"/>
  <c r="CG14" i="23"/>
  <c r="CG13" i="23"/>
  <c r="CE13" i="23"/>
  <c r="CE14" i="23"/>
  <c r="CD14" i="23"/>
  <c r="CD13" i="23"/>
  <c r="H1303" i="13"/>
  <c r="BEJ16" i="12"/>
  <c r="BH13" i="12"/>
  <c r="BH14" i="12"/>
  <c r="CH20" i="23"/>
  <c r="H1302" i="13"/>
  <c r="BEL16" i="12"/>
  <c r="BEK16" i="12"/>
  <c r="BI13" i="12"/>
  <c r="BI14" i="12"/>
  <c r="CG20" i="23"/>
  <c r="BJ13" i="12"/>
  <c r="BJ14" i="12"/>
  <c r="CF20" i="23"/>
  <c r="BEM16" i="12"/>
  <c r="BK13" i="12"/>
  <c r="BK14" i="12"/>
  <c r="CD20" i="23"/>
  <c r="CE20" i="23"/>
  <c r="BEN16" i="12"/>
  <c r="BL13" i="12"/>
  <c r="BL14" i="12"/>
  <c r="CC13" i="23"/>
  <c r="CC14" i="23"/>
  <c r="CC18" i="23"/>
  <c r="CC16" i="23"/>
  <c r="BEP16" i="12"/>
  <c r="BEO16" i="12"/>
  <c r="BM13" i="12"/>
  <c r="BM14" i="12"/>
  <c r="CC20" i="23"/>
  <c r="CA13" i="23"/>
  <c r="CB14" i="23"/>
  <c r="CB13" i="23"/>
  <c r="CB18" i="23"/>
  <c r="CB16" i="23"/>
  <c r="BEQ16" i="12"/>
  <c r="BN13" i="12"/>
  <c r="BN14" i="12"/>
  <c r="CB20" i="23"/>
  <c r="CA20" i="23"/>
  <c r="BER16" i="12"/>
  <c r="BO13" i="12"/>
  <c r="BO14" i="12"/>
  <c r="BZ20" i="23"/>
  <c r="BES16" i="12"/>
  <c r="BP13" i="12"/>
  <c r="BP14" i="12"/>
  <c r="BY14" i="23"/>
  <c r="BX14" i="23"/>
  <c r="BX13" i="23"/>
  <c r="BY18" i="23"/>
  <c r="BY20" i="23"/>
  <c r="BX20" i="23"/>
  <c r="H1301" i="13"/>
  <c r="BET16" i="12"/>
  <c r="BQ13" i="12"/>
  <c r="BQ14" i="12"/>
  <c r="H1300" i="13"/>
  <c r="BEU16" i="12"/>
  <c r="BR13" i="12"/>
  <c r="BR14" i="12"/>
  <c r="BW20" i="23"/>
  <c r="H1299" i="13"/>
  <c r="H1298" i="13"/>
  <c r="BEV16" i="12"/>
  <c r="BS13" i="12"/>
  <c r="BS14" i="12"/>
  <c r="BV20" i="23"/>
  <c r="H1297" i="13"/>
  <c r="H1296" i="13"/>
  <c r="BEW16" i="12"/>
  <c r="BT13" i="12"/>
  <c r="BT14" i="12"/>
  <c r="BR14" i="23"/>
  <c r="BQ14" i="23"/>
  <c r="BQ13" i="23"/>
  <c r="BP14" i="23"/>
  <c r="BP13" i="23"/>
  <c r="BO13" i="23"/>
  <c r="BO14" i="23"/>
  <c r="BT20" i="23"/>
  <c r="BU18" i="23"/>
  <c r="BU16" i="23"/>
  <c r="BEX16" i="12"/>
  <c r="BU13" i="12"/>
  <c r="BU14" i="12"/>
  <c r="BU20" i="23"/>
  <c r="H1295" i="13"/>
  <c r="H1294" i="13"/>
  <c r="BEY16" i="12"/>
  <c r="BV13" i="12"/>
  <c r="BV14" i="12"/>
  <c r="H1293" i="13"/>
  <c r="H1292" i="13"/>
  <c r="BEZ16" i="12"/>
  <c r="BW13" i="12"/>
  <c r="BW14" i="12"/>
  <c r="BS20" i="23"/>
  <c r="BFA16" i="12"/>
  <c r="BX13" i="12"/>
  <c r="BX14" i="12"/>
  <c r="BR20" i="23"/>
  <c r="BFB16" i="12"/>
  <c r="BY13" i="12"/>
  <c r="BY14" i="12"/>
  <c r="H1291" i="13"/>
  <c r="H1290" i="13"/>
  <c r="BFC16" i="12"/>
  <c r="BZ13" i="12"/>
  <c r="BZ14" i="12"/>
  <c r="BQ20" i="23"/>
  <c r="H1289" i="13"/>
  <c r="H1288" i="13"/>
  <c r="BFD16" i="12"/>
  <c r="CA13" i="12"/>
  <c r="CA14" i="12"/>
  <c r="BP20" i="23"/>
  <c r="H1287" i="13"/>
  <c r="H1286" i="13"/>
  <c r="BFE16" i="12"/>
  <c r="CB13" i="12"/>
  <c r="CB14" i="12"/>
  <c r="BO20" i="23"/>
  <c r="H1285" i="13"/>
  <c r="H1284" i="13"/>
  <c r="BFF16" i="12"/>
  <c r="CC13" i="12"/>
  <c r="CC14" i="12"/>
  <c r="H1283" i="13"/>
  <c r="BFG16" i="12"/>
  <c r="CD13" i="12"/>
  <c r="CD14" i="12"/>
  <c r="H1282" i="13"/>
  <c r="BN13" i="23"/>
  <c r="BN14" i="23"/>
  <c r="BN20" i="23"/>
  <c r="BM14" i="23"/>
  <c r="BM13" i="23"/>
  <c r="BL13" i="23"/>
  <c r="BFH16" i="12"/>
  <c r="CE13" i="12"/>
  <c r="CE14" i="12"/>
  <c r="BM20" i="23"/>
  <c r="H1281" i="13"/>
  <c r="H1280" i="13"/>
  <c r="BFI16" i="12"/>
  <c r="CF13" i="12"/>
  <c r="CF14" i="12"/>
  <c r="BL20" i="23"/>
  <c r="H1279" i="13"/>
  <c r="H1278" i="13"/>
  <c r="BFJ16" i="12"/>
  <c r="CG13" i="12"/>
  <c r="CG14" i="12"/>
  <c r="BK13" i="23"/>
  <c r="BK14" i="23"/>
  <c r="BK16" i="23"/>
  <c r="BK20" i="23"/>
  <c r="H1276" i="13"/>
  <c r="H1277" i="13"/>
  <c r="BFK16" i="12"/>
  <c r="CH13" i="12"/>
  <c r="CH14" i="12"/>
  <c r="BJ14" i="23"/>
  <c r="BJ13" i="23"/>
  <c r="BJ16" i="23"/>
  <c r="BJ18" i="23"/>
  <c r="BFL16" i="12"/>
  <c r="CI13" i="12"/>
  <c r="CI14" i="12"/>
  <c r="BJ20" i="23"/>
  <c r="H1274" i="13"/>
  <c r="H1275" i="13"/>
  <c r="BFM16" i="12"/>
  <c r="CJ13" i="12"/>
  <c r="CJ14" i="12"/>
  <c r="BI13" i="23"/>
  <c r="BI14" i="23"/>
  <c r="BI18" i="23"/>
  <c r="BI16" i="23"/>
  <c r="H1272" i="13"/>
  <c r="H1273" i="13"/>
  <c r="BFN16" i="12"/>
  <c r="CK13" i="12"/>
  <c r="CK14" i="12"/>
  <c r="BI20" i="23"/>
  <c r="BH14" i="23"/>
  <c r="BH13" i="23"/>
  <c r="BH18" i="23"/>
  <c r="BH16" i="23"/>
  <c r="H1271" i="13"/>
  <c r="BFO16" i="12"/>
  <c r="CL13" i="12"/>
  <c r="CL14" i="12"/>
  <c r="BH20" i="23"/>
  <c r="I11" i="25"/>
  <c r="I10" i="25"/>
  <c r="H11" i="25"/>
  <c r="H10" i="25"/>
  <c r="G10" i="25"/>
  <c r="G11" i="25"/>
  <c r="F11" i="25"/>
  <c r="F10" i="25"/>
  <c r="I6" i="25"/>
  <c r="I5" i="25"/>
  <c r="H5" i="25"/>
  <c r="H7" i="25"/>
  <c r="G5" i="25"/>
  <c r="G7" i="25"/>
  <c r="E5" i="25"/>
  <c r="E7" i="25"/>
  <c r="J11" i="25"/>
  <c r="J10" i="25"/>
  <c r="J6" i="25"/>
  <c r="J5" i="25"/>
  <c r="BA20" i="23"/>
  <c r="F7" i="25"/>
  <c r="D7" i="25"/>
  <c r="E12" i="25"/>
  <c r="D12" i="25"/>
  <c r="BG14" i="23"/>
  <c r="BG13" i="23"/>
  <c r="AX13" i="23"/>
  <c r="AX14" i="23"/>
  <c r="AY14" i="23"/>
  <c r="AY13" i="23"/>
  <c r="AZ13" i="23"/>
  <c r="BA13" i="23"/>
  <c r="BC13" i="23"/>
  <c r="BC14" i="23"/>
  <c r="BD14" i="23"/>
  <c r="BE14" i="23"/>
  <c r="BF13" i="23"/>
  <c r="BF14" i="23"/>
  <c r="BFP16" i="12"/>
  <c r="H12" i="25"/>
  <c r="K11" i="25"/>
  <c r="J7" i="25"/>
  <c r="F12" i="25"/>
  <c r="K5" i="25"/>
  <c r="I12" i="25"/>
  <c r="CM13" i="12"/>
  <c r="CM14" i="12"/>
  <c r="G12" i="25"/>
  <c r="K10" i="25"/>
  <c r="I7" i="25"/>
  <c r="J12" i="25"/>
  <c r="K6" i="25"/>
  <c r="H1270" i="13"/>
  <c r="AR13" i="23"/>
  <c r="AR14" i="23"/>
  <c r="AT13" i="23"/>
  <c r="BD13" i="23"/>
  <c r="AW14" i="23"/>
  <c r="AW13" i="23"/>
  <c r="AV14" i="23"/>
  <c r="AU14" i="23"/>
  <c r="AU13" i="23"/>
  <c r="AT14" i="23"/>
  <c r="BG20" i="23"/>
  <c r="BFQ16" i="12"/>
  <c r="K12" i="25"/>
  <c r="K7" i="25"/>
  <c r="CN13" i="12"/>
  <c r="CN14" i="12"/>
  <c r="BFR16" i="12"/>
  <c r="CO13" i="12"/>
  <c r="CO14" i="12"/>
  <c r="BF20" i="23"/>
  <c r="H1269" i="13"/>
  <c r="CP13" i="12"/>
  <c r="CP14" i="12"/>
  <c r="BE20" i="23"/>
  <c r="H1268" i="13"/>
  <c r="CQ13" i="12"/>
  <c r="CQ14" i="12"/>
  <c r="BD20" i="23"/>
  <c r="H1267" i="13"/>
  <c r="CR13" i="12"/>
  <c r="CR14" i="12"/>
  <c r="BC20" i="23"/>
  <c r="H1266" i="13"/>
  <c r="H1265" i="13"/>
  <c r="CS13" i="12"/>
  <c r="CS14" i="12"/>
  <c r="BB20" i="23"/>
  <c r="H1264" i="13"/>
  <c r="CT13" i="12"/>
  <c r="CT14" i="12"/>
  <c r="H1263" i="13"/>
  <c r="CU13" i="12"/>
  <c r="CU14" i="12"/>
  <c r="AZ20" i="23"/>
  <c r="H1262" i="13"/>
  <c r="CV13" i="12"/>
  <c r="CV14" i="12"/>
  <c r="AY20" i="23"/>
  <c r="AX20" i="23"/>
  <c r="AW20" i="23"/>
  <c r="H1261" i="13"/>
  <c r="CW13" i="12"/>
  <c r="CW14" i="12"/>
  <c r="H1260" i="13"/>
  <c r="H1259" i="13"/>
  <c r="CX13" i="12"/>
  <c r="CX14" i="12"/>
  <c r="H1257" i="13"/>
  <c r="H1258" i="13"/>
  <c r="CY13" i="12"/>
  <c r="CY14" i="12"/>
  <c r="AV20" i="23"/>
  <c r="H1256" i="13"/>
  <c r="CZ13" i="12"/>
  <c r="CZ14" i="12"/>
  <c r="AU20" i="23"/>
  <c r="H1255" i="13"/>
  <c r="DA13" i="12"/>
  <c r="DA14" i="12"/>
  <c r="AQ20" i="23"/>
  <c r="AR20" i="23"/>
  <c r="AS20" i="23"/>
  <c r="AT20" i="23"/>
  <c r="DB13" i="12"/>
  <c r="DB14" i="12"/>
  <c r="H1253" i="13"/>
  <c r="H1254" i="13"/>
  <c r="DC13" i="12"/>
  <c r="DC14" i="12"/>
  <c r="H1252" i="13"/>
  <c r="H1251" i="13"/>
  <c r="DD13" i="12"/>
  <c r="DD14" i="12"/>
  <c r="H1250" i="13"/>
  <c r="H1249" i="13"/>
  <c r="DE13" i="12"/>
  <c r="DE14" i="12"/>
  <c r="H1247" i="13"/>
  <c r="H1248" i="13"/>
  <c r="AP20" i="23"/>
  <c r="DF13" i="12"/>
  <c r="DF14" i="12"/>
  <c r="AO20" i="23"/>
  <c r="AN20" i="23"/>
  <c r="AM20" i="23"/>
  <c r="H1245" i="13"/>
  <c r="H1246" i="13"/>
  <c r="DG13" i="12"/>
  <c r="DG14" i="12"/>
  <c r="H1243" i="13"/>
  <c r="H1244" i="13"/>
  <c r="DH13" i="12"/>
  <c r="DH14" i="12"/>
  <c r="H1241" i="13"/>
  <c r="H1242" i="13"/>
  <c r="DI13" i="12"/>
  <c r="DI14" i="12"/>
  <c r="H1239" i="13"/>
  <c r="H1240" i="13"/>
  <c r="AL20" i="23"/>
  <c r="DJ13" i="12"/>
  <c r="DJ14" i="12"/>
  <c r="AJ20" i="23"/>
  <c r="AK20" i="23"/>
  <c r="AI20" i="23"/>
  <c r="H1238" i="13"/>
  <c r="H1237" i="13"/>
  <c r="DK13" i="12"/>
  <c r="DK14" i="12"/>
  <c r="H1236" i="13"/>
  <c r="DL13" i="12"/>
  <c r="DL14" i="12"/>
  <c r="H1234" i="13"/>
  <c r="H1235" i="13"/>
  <c r="DM13" i="12"/>
  <c r="DM14" i="12"/>
  <c r="AH20" i="23"/>
  <c r="H1232" i="13"/>
  <c r="H1233" i="13"/>
  <c r="DN13" i="12"/>
  <c r="DN14" i="12"/>
  <c r="H1228" i="13"/>
  <c r="H1229" i="13"/>
  <c r="H1230" i="13"/>
  <c r="H1231" i="13"/>
  <c r="AF20" i="23"/>
  <c r="AG20" i="23"/>
  <c r="DO13" i="12"/>
  <c r="DO14" i="12"/>
  <c r="MG34" i="24"/>
  <c r="MW17" i="24"/>
  <c r="MW16" i="24"/>
  <c r="MT18" i="24"/>
  <c r="MT16" i="24"/>
  <c r="ND4" i="24"/>
  <c r="ND5" i="24"/>
  <c r="ND6" i="24"/>
  <c r="ND2" i="24"/>
  <c r="LV13" i="24"/>
  <c r="LV14" i="24"/>
  <c r="LV15" i="24"/>
  <c r="LV11" i="24"/>
  <c r="MU20" i="24"/>
  <c r="DP13" i="12"/>
  <c r="DP14" i="12"/>
  <c r="AC20" i="23"/>
  <c r="AD20" i="23"/>
  <c r="AE20" i="23"/>
  <c r="DQ13" i="12"/>
  <c r="DQ14" i="12"/>
  <c r="H1227" i="13"/>
  <c r="H1226" i="13"/>
  <c r="DR13" i="12"/>
  <c r="DR14" i="12"/>
  <c r="H1225" i="13"/>
  <c r="DS13" i="12"/>
  <c r="DS14" i="12"/>
  <c r="H1224" i="13"/>
  <c r="DT13" i="12"/>
  <c r="DT14" i="12"/>
  <c r="H1222" i="13"/>
  <c r="H1223" i="13"/>
  <c r="AB20" i="23"/>
  <c r="DU13" i="12"/>
  <c r="DU14" i="12"/>
  <c r="Z20" i="23"/>
  <c r="H1221" i="13"/>
  <c r="H1220" i="13"/>
  <c r="AA20" i="23"/>
  <c r="DV13" i="12"/>
  <c r="DV14" i="12"/>
  <c r="H1219" i="13"/>
  <c r="DW13" i="12"/>
  <c r="DW14" i="12"/>
  <c r="W20" i="23"/>
  <c r="X20" i="23"/>
  <c r="Y20" i="23"/>
  <c r="H1217" i="13"/>
  <c r="H1218" i="13"/>
  <c r="DX13" i="12"/>
  <c r="DX14" i="12"/>
  <c r="H1215" i="13"/>
  <c r="H1216" i="13"/>
  <c r="DY13" i="12"/>
  <c r="DY14" i="12"/>
  <c r="H1214" i="13"/>
  <c r="H1213" i="13"/>
  <c r="DZ13" i="12"/>
  <c r="DZ14" i="12"/>
  <c r="V20" i="23"/>
  <c r="H1212" i="13"/>
  <c r="H1211" i="13"/>
  <c r="EA13" i="12"/>
  <c r="EA14" i="12"/>
  <c r="H1208" i="13"/>
  <c r="H1209" i="13"/>
  <c r="H1210" i="13"/>
  <c r="U20" i="23"/>
  <c r="EB13" i="12"/>
  <c r="EB14" i="12"/>
  <c r="H1207" i="13"/>
  <c r="T20" i="23"/>
  <c r="EC13" i="12"/>
  <c r="EC14" i="12"/>
  <c r="H1205" i="13"/>
  <c r="H1206" i="13"/>
  <c r="S20" i="23"/>
  <c r="ED13" i="12"/>
  <c r="ED14" i="12"/>
  <c r="R20" i="23"/>
  <c r="H1203" i="13"/>
  <c r="H1204" i="13"/>
  <c r="EE13" i="12"/>
  <c r="EE14" i="12"/>
  <c r="J5" i="23"/>
  <c r="F2" i="23"/>
  <c r="F6" i="23"/>
  <c r="F5" i="23"/>
  <c r="M16" i="23"/>
  <c r="O16" i="23"/>
  <c r="P16" i="23"/>
  <c r="Q16" i="23"/>
  <c r="Q20" i="23"/>
  <c r="H1201" i="13"/>
  <c r="H1202" i="13"/>
  <c r="EF13" i="12"/>
  <c r="EF14" i="12"/>
  <c r="H1200" i="13"/>
  <c r="H1199" i="13"/>
  <c r="EG13" i="12"/>
  <c r="EG14" i="12"/>
  <c r="H1198" i="13"/>
  <c r="H1197" i="13"/>
  <c r="EH13" i="12"/>
  <c r="EH14" i="12"/>
  <c r="H1196" i="13"/>
  <c r="EI13" i="12"/>
  <c r="EI14" i="12"/>
  <c r="H1195" i="13"/>
  <c r="H1194" i="13"/>
  <c r="EJ13" i="12"/>
  <c r="EJ14" i="12"/>
  <c r="H1193" i="13"/>
  <c r="EK13" i="12"/>
  <c r="EK14" i="12"/>
  <c r="H3" i="23"/>
  <c r="F14" i="23"/>
  <c r="J20" i="23"/>
  <c r="H20" i="23"/>
  <c r="C20" i="23"/>
  <c r="D20" i="23"/>
  <c r="E20" i="23"/>
  <c r="G20" i="23"/>
  <c r="K20" i="23"/>
  <c r="L20" i="23"/>
  <c r="M20" i="23"/>
  <c r="N20" i="23"/>
  <c r="O20" i="23"/>
  <c r="P20" i="23"/>
  <c r="B20" i="23"/>
  <c r="F18" i="23"/>
  <c r="F20" i="23"/>
  <c r="EL13" i="12"/>
  <c r="EL14" i="12"/>
  <c r="I16" i="23"/>
  <c r="I20" i="23"/>
  <c r="B15" i="23"/>
  <c r="C15" i="23"/>
  <c r="D15" i="23"/>
  <c r="E15" i="23"/>
  <c r="F15" i="23"/>
  <c r="G15" i="23"/>
  <c r="H15" i="23"/>
  <c r="I15" i="23"/>
  <c r="J15" i="23"/>
  <c r="K15" i="23"/>
  <c r="L15" i="23"/>
  <c r="M15" i="23"/>
  <c r="N15" i="23"/>
  <c r="O15" i="23"/>
  <c r="P15" i="23"/>
  <c r="Q15" i="23"/>
  <c r="R15" i="23"/>
  <c r="S15" i="23"/>
  <c r="T15" i="23"/>
  <c r="U15" i="23"/>
  <c r="V15" i="23"/>
  <c r="W15" i="23"/>
  <c r="X15" i="23"/>
  <c r="Y15" i="23"/>
  <c r="Z15" i="23"/>
  <c r="AA15" i="23"/>
  <c r="AB15" i="23"/>
  <c r="AC15" i="23"/>
  <c r="AD15" i="23"/>
  <c r="AE15" i="23"/>
  <c r="AF15" i="23"/>
  <c r="AG15" i="23"/>
  <c r="AH15" i="23"/>
  <c r="B21" i="23"/>
  <c r="C21" i="23"/>
  <c r="D21" i="23"/>
  <c r="E21" i="23"/>
  <c r="F21" i="23"/>
  <c r="G21" i="23"/>
  <c r="H21" i="23"/>
  <c r="H1189" i="13"/>
  <c r="H1190" i="13"/>
  <c r="H1191" i="13"/>
  <c r="H1192" i="13"/>
  <c r="H1188" i="13"/>
  <c r="H1185" i="13"/>
  <c r="H1186" i="13"/>
  <c r="H1187" i="13"/>
  <c r="EM13" i="12"/>
  <c r="EM14" i="12"/>
  <c r="I21" i="23"/>
  <c r="J21" i="23"/>
  <c r="K21" i="23"/>
  <c r="L21" i="23"/>
  <c r="M21" i="23"/>
  <c r="N21" i="23"/>
  <c r="O21" i="23"/>
  <c r="P21" i="23"/>
  <c r="Q21" i="23"/>
  <c r="R21" i="23"/>
  <c r="S21" i="23"/>
  <c r="T21" i="23"/>
  <c r="U21" i="23"/>
  <c r="V21" i="23"/>
  <c r="W21" i="23"/>
  <c r="X21" i="23"/>
  <c r="Y21" i="23"/>
  <c r="Z21" i="23"/>
  <c r="AA21" i="23"/>
  <c r="AB21" i="23"/>
  <c r="AC21" i="23"/>
  <c r="AD21" i="23"/>
  <c r="AE21" i="23"/>
  <c r="AF21" i="23"/>
  <c r="AG21" i="23"/>
  <c r="AH21" i="23"/>
  <c r="AI21" i="23"/>
  <c r="AJ21" i="23"/>
  <c r="AK21" i="23"/>
  <c r="AL21" i="23"/>
  <c r="AM21" i="23"/>
  <c r="AN21" i="23"/>
  <c r="AO21" i="23"/>
  <c r="AP21" i="23"/>
  <c r="AQ21" i="23"/>
  <c r="AR21" i="23"/>
  <c r="AS21" i="23"/>
  <c r="AT21" i="23"/>
  <c r="AU21" i="23"/>
  <c r="AV21" i="23"/>
  <c r="AW21" i="23"/>
  <c r="AX21" i="23"/>
  <c r="AY21" i="23"/>
  <c r="AZ21" i="23"/>
  <c r="BA21" i="23"/>
  <c r="BB21" i="23"/>
  <c r="BC21" i="23"/>
  <c r="BD21" i="23"/>
  <c r="BE21" i="23"/>
  <c r="BF21" i="23"/>
  <c r="BG21" i="23"/>
  <c r="BH21" i="23"/>
  <c r="BI21" i="23"/>
  <c r="BJ21" i="23"/>
  <c r="BK21" i="23"/>
  <c r="BL21" i="23"/>
  <c r="BM21" i="23"/>
  <c r="BN21" i="23"/>
  <c r="BO21" i="23"/>
  <c r="BP21" i="23"/>
  <c r="BQ21" i="23"/>
  <c r="BR21" i="23"/>
  <c r="BS21" i="23"/>
  <c r="BT21" i="23"/>
  <c r="BU21" i="23"/>
  <c r="BV21" i="23"/>
  <c r="BW21" i="23"/>
  <c r="BX21" i="23"/>
  <c r="BY21" i="23"/>
  <c r="BZ21" i="23"/>
  <c r="CA21" i="23"/>
  <c r="CB21" i="23"/>
  <c r="CC21" i="23"/>
  <c r="CD21" i="23"/>
  <c r="CE21" i="23"/>
  <c r="CF21" i="23"/>
  <c r="CG21" i="23"/>
  <c r="CH21" i="23"/>
  <c r="CI21" i="23"/>
  <c r="CJ21" i="23"/>
  <c r="CK21" i="23"/>
  <c r="CL21" i="23"/>
  <c r="CM21" i="23"/>
  <c r="CN21" i="23"/>
  <c r="CO21" i="23"/>
  <c r="CP21" i="23"/>
  <c r="CQ21" i="23"/>
  <c r="CR21" i="23"/>
  <c r="CS21" i="23"/>
  <c r="CT21" i="23"/>
  <c r="CU21" i="23"/>
  <c r="CV21" i="23"/>
  <c r="CW21" i="23"/>
  <c r="CX21" i="23"/>
  <c r="CY21" i="23"/>
  <c r="CZ21" i="23"/>
  <c r="DA21" i="23"/>
  <c r="DB21" i="23"/>
  <c r="DC21" i="23"/>
  <c r="DD21" i="23"/>
  <c r="DE21" i="23"/>
  <c r="DF21" i="23"/>
  <c r="DG21" i="23"/>
  <c r="DH21" i="23"/>
  <c r="DI21" i="23"/>
  <c r="DJ21" i="23"/>
  <c r="DK21" i="23"/>
  <c r="DL21" i="23"/>
  <c r="DM21" i="23"/>
  <c r="DN21" i="23"/>
  <c r="DO21" i="23"/>
  <c r="DP21" i="23"/>
  <c r="DQ21" i="23"/>
  <c r="DR21" i="23"/>
  <c r="DS21" i="23"/>
  <c r="DT21" i="23"/>
  <c r="DU21" i="23"/>
  <c r="DV21" i="23"/>
  <c r="DW21" i="23"/>
  <c r="DX21" i="23"/>
  <c r="DY21" i="23"/>
  <c r="DZ21" i="23"/>
  <c r="EA21" i="23"/>
  <c r="EB21" i="23"/>
  <c r="EC21" i="23"/>
  <c r="ED21" i="23"/>
  <c r="EE21" i="23"/>
  <c r="EF21" i="23"/>
  <c r="EG21" i="23"/>
  <c r="EH21" i="23"/>
  <c r="EI21" i="23"/>
  <c r="EJ21" i="23"/>
  <c r="EK21" i="23"/>
  <c r="EL21" i="23"/>
  <c r="EM21" i="23"/>
  <c r="EN21" i="23"/>
  <c r="EO21" i="23"/>
  <c r="EP21" i="23"/>
  <c r="EQ21" i="23"/>
  <c r="ER21" i="23"/>
  <c r="ES21" i="23"/>
  <c r="ET21" i="23"/>
  <c r="EU21" i="23"/>
  <c r="EV21" i="23"/>
  <c r="EW21" i="23"/>
  <c r="EX21" i="23"/>
  <c r="EY21" i="23"/>
  <c r="EZ21" i="23"/>
  <c r="FA21" i="23"/>
  <c r="FB21" i="23"/>
  <c r="FC21" i="23"/>
  <c r="FD21" i="23"/>
  <c r="FE21" i="23"/>
  <c r="FF21" i="23"/>
  <c r="FG21" i="23"/>
  <c r="FH21" i="23"/>
  <c r="FI21" i="23"/>
  <c r="FJ21" i="23"/>
  <c r="FK21" i="23"/>
  <c r="FL21" i="23"/>
  <c r="FM21" i="23"/>
  <c r="FN21" i="23"/>
  <c r="FO21" i="23"/>
  <c r="FP21" i="23"/>
  <c r="FQ21" i="23"/>
  <c r="FR21" i="23"/>
  <c r="FS21" i="23"/>
  <c r="FT21" i="23"/>
  <c r="FU21" i="23"/>
  <c r="FV21" i="23"/>
  <c r="FW21" i="23"/>
  <c r="FX21" i="23"/>
  <c r="FY21" i="23"/>
  <c r="FZ21" i="23"/>
  <c r="GA21" i="23"/>
  <c r="GB21" i="23"/>
  <c r="GC21" i="23"/>
  <c r="GD21" i="23"/>
  <c r="GE21" i="23"/>
  <c r="GF21" i="23"/>
  <c r="GG21" i="23"/>
  <c r="GH21" i="23"/>
  <c r="GI21" i="23"/>
  <c r="GJ21" i="23"/>
  <c r="GK21" i="23"/>
  <c r="GL21" i="23"/>
  <c r="GM21" i="23"/>
  <c r="GN21" i="23"/>
  <c r="GO21" i="23"/>
  <c r="GP21" i="23"/>
  <c r="GQ21" i="23"/>
  <c r="GR21" i="23"/>
  <c r="GS21" i="23"/>
  <c r="GT21" i="23"/>
  <c r="GU21" i="23"/>
  <c r="D22" i="23"/>
  <c r="C22" i="23"/>
  <c r="E22" i="23"/>
  <c r="B22" i="23"/>
  <c r="EN13" i="12"/>
  <c r="EN14" i="12"/>
  <c r="Q22" i="23"/>
  <c r="R22" i="23"/>
  <c r="S22" i="23"/>
  <c r="F22" i="23"/>
  <c r="EO13" i="12"/>
  <c r="EO14" i="12"/>
  <c r="G22" i="23"/>
  <c r="EP13" i="12"/>
  <c r="EP14" i="12"/>
  <c r="H22" i="23"/>
  <c r="EQ13" i="12"/>
  <c r="EQ14" i="12"/>
  <c r="I22" i="23"/>
  <c r="ER13" i="12"/>
  <c r="ER14" i="12"/>
  <c r="J22" i="23"/>
  <c r="ES13" i="12"/>
  <c r="ES14" i="12"/>
  <c r="K22" i="23"/>
  <c r="ET13" i="12"/>
  <c r="ET14" i="12"/>
  <c r="L22" i="23"/>
  <c r="EU13" i="12"/>
  <c r="EU14" i="12"/>
  <c r="M22" i="23"/>
  <c r="EV13" i="12"/>
  <c r="EV14" i="12"/>
  <c r="N22" i="23"/>
  <c r="EW13" i="12"/>
  <c r="EW14" i="12"/>
  <c r="P22" i="23"/>
  <c r="O22" i="23"/>
  <c r="EX13" i="12"/>
  <c r="EX14" i="12"/>
  <c r="H1184" i="13"/>
  <c r="EY13" i="12"/>
  <c r="EY14" i="12"/>
  <c r="H1183" i="13"/>
  <c r="EZ13" i="12"/>
  <c r="EZ14" i="12"/>
  <c r="H1182" i="13"/>
  <c r="H1181" i="13"/>
  <c r="FA13" i="12"/>
  <c r="FA14" i="12"/>
  <c r="H1180" i="13"/>
  <c r="H1179" i="13"/>
  <c r="FB13" i="12"/>
  <c r="FB14" i="12"/>
  <c r="H1177" i="13"/>
  <c r="H1178" i="13"/>
  <c r="FC13" i="12"/>
  <c r="FC14" i="12"/>
  <c r="H1175" i="13"/>
  <c r="H1176" i="13"/>
  <c r="FD13" i="12"/>
  <c r="FD14" i="12"/>
  <c r="H1173" i="13"/>
  <c r="H1174" i="13"/>
  <c r="FE13" i="12"/>
  <c r="FE14" i="12"/>
  <c r="H1171" i="13"/>
  <c r="H1172" i="13"/>
  <c r="FF13" i="12"/>
  <c r="FF14" i="12"/>
  <c r="H1170" i="13"/>
  <c r="FG13" i="12"/>
  <c r="FG14" i="12"/>
  <c r="H1169" i="13"/>
  <c r="FH13" i="12"/>
  <c r="FH14" i="12"/>
  <c r="H1168" i="13"/>
  <c r="H1167" i="13"/>
  <c r="FI13" i="12"/>
  <c r="FI14" i="12"/>
  <c r="H1166" i="13"/>
  <c r="H1165" i="13"/>
  <c r="FJ13" i="12"/>
  <c r="FJ14" i="12"/>
  <c r="H1163" i="13"/>
  <c r="H1164" i="13"/>
  <c r="FK13" i="12"/>
  <c r="FK14" i="12"/>
  <c r="H1161" i="13"/>
  <c r="H1162" i="13"/>
  <c r="FL13" i="12"/>
  <c r="FL14" i="12"/>
  <c r="H1159" i="13"/>
  <c r="H1160" i="13"/>
  <c r="FM13" i="12"/>
  <c r="FM14" i="12"/>
  <c r="H1158" i="13"/>
  <c r="H1157" i="13"/>
  <c r="FN13" i="12"/>
  <c r="FN14" i="12"/>
  <c r="H1156" i="13"/>
  <c r="H1155" i="13"/>
  <c r="FO13" i="12"/>
  <c r="FO14" i="12"/>
  <c r="H1153" i="13"/>
  <c r="H1154" i="13"/>
  <c r="FP13" i="12"/>
  <c r="FP14" i="12"/>
  <c r="H1150" i="13"/>
  <c r="H1151" i="13"/>
  <c r="H1152" i="13"/>
  <c r="FQ13" i="12"/>
  <c r="FQ14" i="12"/>
  <c r="H1149" i="13"/>
  <c r="FR13" i="12"/>
  <c r="FR14" i="12"/>
  <c r="H1147" i="13"/>
  <c r="H1148" i="13"/>
  <c r="FS13" i="12"/>
  <c r="FS14" i="12"/>
  <c r="H1146" i="13"/>
  <c r="H1145" i="13"/>
  <c r="FT13" i="12"/>
  <c r="FT14" i="12"/>
  <c r="H1144" i="13"/>
  <c r="H1143" i="13"/>
  <c r="FU13" i="12"/>
  <c r="FU14" i="12"/>
  <c r="H1142" i="13"/>
  <c r="H1141" i="13"/>
  <c r="FV13" i="12"/>
  <c r="FV14" i="12"/>
  <c r="H1139" i="13"/>
  <c r="H1140" i="13"/>
  <c r="FW13" i="12"/>
  <c r="FW14" i="12"/>
  <c r="H1138" i="13"/>
  <c r="FX13" i="12"/>
  <c r="FX14" i="12"/>
  <c r="H1136" i="13"/>
  <c r="H1137" i="13"/>
  <c r="FY13" i="12"/>
  <c r="FY14" i="12"/>
  <c r="H1132" i="13"/>
  <c r="H1133" i="13"/>
  <c r="H1134" i="13"/>
  <c r="H1135" i="13"/>
  <c r="FZ13" i="12"/>
  <c r="FZ14" i="12"/>
  <c r="H1131" i="13"/>
  <c r="H1130" i="13"/>
  <c r="GA13" i="12"/>
  <c r="GA14" i="12"/>
  <c r="H1129" i="13"/>
  <c r="H1128" i="13"/>
  <c r="GB13" i="12"/>
  <c r="GB14" i="12"/>
  <c r="H1127" i="13"/>
  <c r="H1126" i="13"/>
  <c r="GC13" i="12"/>
  <c r="GC14" i="12"/>
  <c r="H1125" i="13"/>
  <c r="GD13" i="12"/>
  <c r="GD14" i="12"/>
  <c r="H1123" i="13"/>
  <c r="H1124" i="13"/>
  <c r="GE13" i="12"/>
  <c r="GE14" i="12"/>
  <c r="H1121" i="13"/>
  <c r="H1122" i="13"/>
  <c r="GF13" i="12"/>
  <c r="GF14" i="12"/>
  <c r="H1120" i="13"/>
  <c r="H1119" i="13"/>
  <c r="H1118" i="13"/>
  <c r="GG13" i="12"/>
  <c r="GG14" i="12"/>
  <c r="H1116" i="13"/>
  <c r="H1117" i="13"/>
  <c r="GH13" i="12"/>
  <c r="GH14" i="12"/>
  <c r="H1114" i="13"/>
  <c r="H1115" i="13"/>
  <c r="GI13" i="12"/>
  <c r="GI14" i="12"/>
  <c r="H1112" i="13"/>
  <c r="H1113" i="13"/>
  <c r="GJ13" i="12"/>
  <c r="GJ14" i="12"/>
  <c r="H1111" i="13"/>
  <c r="H1110" i="13"/>
  <c r="H1109" i="13"/>
  <c r="H1108" i="13"/>
  <c r="GK13" i="12"/>
  <c r="GK14" i="12"/>
  <c r="H1107" i="13"/>
  <c r="H1106" i="13"/>
  <c r="H1105" i="13"/>
  <c r="GL13" i="12"/>
  <c r="GL14" i="12"/>
  <c r="H1104" i="13"/>
  <c r="H1103" i="13"/>
  <c r="H1102" i="13"/>
  <c r="H1101" i="13"/>
  <c r="GM13" i="12"/>
  <c r="GM14" i="12"/>
  <c r="H1100" i="13"/>
  <c r="H1099" i="13"/>
  <c r="H1098" i="13"/>
  <c r="H1097" i="13"/>
  <c r="H1096" i="13"/>
  <c r="GN13" i="12"/>
  <c r="GN14" i="12"/>
  <c r="H1095" i="13"/>
  <c r="GO13" i="12"/>
  <c r="GO14" i="12"/>
  <c r="H1091" i="13"/>
  <c r="H1092" i="13"/>
  <c r="H1093" i="13"/>
  <c r="H1094" i="13"/>
  <c r="GP13" i="12"/>
  <c r="GP14" i="12"/>
  <c r="H1086" i="13"/>
  <c r="H1087" i="13"/>
  <c r="H1088" i="13"/>
  <c r="H1089" i="13"/>
  <c r="H1090" i="13"/>
  <c r="GQ13" i="12"/>
  <c r="GQ14" i="12"/>
  <c r="IM5" i="22"/>
  <c r="IM6" i="22"/>
  <c r="IM7" i="22"/>
  <c r="C4" i="22"/>
  <c r="D4" i="22"/>
  <c r="E4" i="22"/>
  <c r="F4" i="22"/>
  <c r="G4" i="22"/>
  <c r="H4" i="22"/>
  <c r="I4" i="22"/>
  <c r="J4" i="22"/>
  <c r="K4" i="22"/>
  <c r="L4" i="22"/>
  <c r="M4" i="22"/>
  <c r="N4" i="22"/>
  <c r="O4" i="22"/>
  <c r="P4" i="22"/>
  <c r="Q4" i="22"/>
  <c r="R4" i="22"/>
  <c r="S4" i="22"/>
  <c r="T4" i="22"/>
  <c r="U4" i="22"/>
  <c r="V4" i="22"/>
  <c r="W4" i="22"/>
  <c r="X4" i="22"/>
  <c r="Y4" i="22"/>
  <c r="Z4" i="22"/>
  <c r="AA4" i="22"/>
  <c r="AB4" i="22"/>
  <c r="AC4" i="22"/>
  <c r="AD4" i="22"/>
  <c r="AE4" i="22"/>
  <c r="AF4" i="22"/>
  <c r="AG4" i="22"/>
  <c r="AH4" i="22"/>
  <c r="AI4" i="22"/>
  <c r="AJ4" i="22"/>
  <c r="AK4" i="22"/>
  <c r="AL4" i="22"/>
  <c r="AM4" i="22"/>
  <c r="AN4" i="22"/>
  <c r="AO4" i="22"/>
  <c r="AP4" i="22"/>
  <c r="AQ4" i="22"/>
  <c r="AR4" i="22"/>
  <c r="AS4" i="22"/>
  <c r="AT4" i="22"/>
  <c r="AU4" i="22"/>
  <c r="AV4" i="22"/>
  <c r="AW4" i="22"/>
  <c r="AX4" i="22"/>
  <c r="AY4" i="22"/>
  <c r="AZ4" i="22"/>
  <c r="BA4" i="22"/>
  <c r="BB4" i="22"/>
  <c r="BC4" i="22"/>
  <c r="BD4" i="22"/>
  <c r="BE4" i="22"/>
  <c r="BF4" i="22"/>
  <c r="BG4" i="22"/>
  <c r="BH4" i="22"/>
  <c r="BI4" i="22"/>
  <c r="BJ4" i="22"/>
  <c r="BK4" i="22"/>
  <c r="BL4" i="22"/>
  <c r="BM4" i="22"/>
  <c r="BN4" i="22"/>
  <c r="BO4" i="22"/>
  <c r="BP4" i="22"/>
  <c r="BQ4" i="22"/>
  <c r="BR4" i="22"/>
  <c r="BS4" i="22"/>
  <c r="BT4" i="22"/>
  <c r="BU4" i="22"/>
  <c r="BV4" i="22"/>
  <c r="BW4" i="22"/>
  <c r="BX4" i="22"/>
  <c r="BY4" i="22"/>
  <c r="BZ4" i="22"/>
  <c r="CA4" i="22"/>
  <c r="CB4" i="22"/>
  <c r="CC4" i="22"/>
  <c r="CD4" i="22"/>
  <c r="CE4" i="22"/>
  <c r="CF4" i="22"/>
  <c r="CG4" i="22"/>
  <c r="CH4" i="22"/>
  <c r="CI4" i="22"/>
  <c r="CJ4" i="22"/>
  <c r="CK4" i="22"/>
  <c r="CL4" i="22"/>
  <c r="CM4" i="22"/>
  <c r="CN4" i="22"/>
  <c r="CO4" i="22"/>
  <c r="CP4" i="22"/>
  <c r="CQ4" i="22"/>
  <c r="CR4" i="22"/>
  <c r="CS4" i="22"/>
  <c r="CT4" i="22"/>
  <c r="CU4" i="22"/>
  <c r="CV4" i="22"/>
  <c r="CW4" i="22"/>
  <c r="CX4" i="22"/>
  <c r="CY4" i="22"/>
  <c r="CZ4" i="22"/>
  <c r="DA4" i="22"/>
  <c r="DB4" i="22"/>
  <c r="DC4" i="22"/>
  <c r="DD4" i="22"/>
  <c r="DE4" i="22"/>
  <c r="DF4" i="22"/>
  <c r="DG4" i="22"/>
  <c r="DH4" i="22"/>
  <c r="DI4" i="22"/>
  <c r="DJ4" i="22"/>
  <c r="DK4" i="22"/>
  <c r="DL4" i="22"/>
  <c r="DM4" i="22"/>
  <c r="DN4" i="22"/>
  <c r="DO4" i="22"/>
  <c r="DP4" i="22"/>
  <c r="DQ4" i="22"/>
  <c r="DR4" i="22"/>
  <c r="DS4" i="22"/>
  <c r="DT4" i="22"/>
  <c r="DU4" i="22"/>
  <c r="DV4" i="22"/>
  <c r="DW4" i="22"/>
  <c r="DX4" i="22"/>
  <c r="DY4" i="22"/>
  <c r="DZ4" i="22"/>
  <c r="EA4" i="22"/>
  <c r="EB4" i="22"/>
  <c r="EC4" i="22"/>
  <c r="ED4" i="22"/>
  <c r="EE4" i="22"/>
  <c r="EF4" i="22"/>
  <c r="EG4" i="22"/>
  <c r="EH4" i="22"/>
  <c r="EI4" i="22"/>
  <c r="EJ4" i="22"/>
  <c r="EK4" i="22"/>
  <c r="EL4" i="22"/>
  <c r="EM4" i="22"/>
  <c r="EN4" i="22"/>
  <c r="EO4" i="22"/>
  <c r="EP4" i="22"/>
  <c r="EQ4" i="22"/>
  <c r="ER4" i="22"/>
  <c r="ES4" i="22"/>
  <c r="ET4" i="22"/>
  <c r="EU4" i="22"/>
  <c r="EV4" i="22"/>
  <c r="EW4" i="22"/>
  <c r="EX4" i="22"/>
  <c r="EY4" i="22"/>
  <c r="EZ4" i="22"/>
  <c r="FA4" i="22"/>
  <c r="FB4" i="22"/>
  <c r="FC4" i="22"/>
  <c r="FD4" i="22"/>
  <c r="FE4" i="22"/>
  <c r="FF4" i="22"/>
  <c r="FG4" i="22"/>
  <c r="FH4" i="22"/>
  <c r="FI4" i="22"/>
  <c r="FJ4" i="22"/>
  <c r="FK4" i="22"/>
  <c r="FL4" i="22"/>
  <c r="FM4" i="22"/>
  <c r="FN4" i="22"/>
  <c r="FO4" i="22"/>
  <c r="FP4" i="22"/>
  <c r="FQ4" i="22"/>
  <c r="FR4" i="22"/>
  <c r="FS4" i="22"/>
  <c r="FT4" i="22"/>
  <c r="FU4" i="22"/>
  <c r="FV4" i="22"/>
  <c r="FW4" i="22"/>
  <c r="FX4" i="22"/>
  <c r="FY4" i="22"/>
  <c r="FZ4" i="22"/>
  <c r="GA4" i="22"/>
  <c r="GB4" i="22"/>
  <c r="GC4" i="22"/>
  <c r="GD4" i="22"/>
  <c r="GE4" i="22"/>
  <c r="GF4" i="22"/>
  <c r="GG4" i="22"/>
  <c r="GH4" i="22"/>
  <c r="GI4" i="22"/>
  <c r="GJ4" i="22"/>
  <c r="GK4" i="22"/>
  <c r="GL4" i="22"/>
  <c r="GM4" i="22"/>
  <c r="GN4" i="22"/>
  <c r="GO4" i="22"/>
  <c r="GP4" i="22"/>
  <c r="GQ4" i="22"/>
  <c r="GR4" i="22"/>
  <c r="GS4" i="22"/>
  <c r="GT4" i="22"/>
  <c r="GU4" i="22"/>
  <c r="GV4" i="22"/>
  <c r="GW4" i="22"/>
  <c r="GX4" i="22"/>
  <c r="GY4" i="22"/>
  <c r="GZ4" i="22"/>
  <c r="HA4" i="22"/>
  <c r="HB4" i="22"/>
  <c r="HC4" i="22"/>
  <c r="HD4" i="22"/>
  <c r="HE4" i="22"/>
  <c r="HF4" i="22"/>
  <c r="HG4" i="22"/>
  <c r="HH4" i="22"/>
  <c r="HI4" i="22"/>
  <c r="HJ4" i="22"/>
  <c r="HK4" i="22"/>
  <c r="HL4" i="22"/>
  <c r="HM4" i="22"/>
  <c r="HN4" i="22"/>
  <c r="HO4" i="22"/>
  <c r="HP4" i="22"/>
  <c r="HQ4" i="22"/>
  <c r="HR4" i="22"/>
  <c r="HS4" i="22"/>
  <c r="HT4" i="22"/>
  <c r="HU4" i="22"/>
  <c r="HV4" i="22"/>
  <c r="HW4" i="22"/>
  <c r="HX4" i="22"/>
  <c r="HY4" i="22"/>
  <c r="HZ4" i="22"/>
  <c r="IA4" i="22"/>
  <c r="IB4" i="22"/>
  <c r="IC4" i="22"/>
  <c r="ID4" i="22"/>
  <c r="IE4" i="22"/>
  <c r="IF4" i="22"/>
  <c r="IG4" i="22"/>
  <c r="IH4" i="22"/>
  <c r="II4" i="22"/>
  <c r="IJ4" i="22"/>
  <c r="IK4" i="22"/>
  <c r="IL4" i="22"/>
  <c r="B3" i="21"/>
  <c r="C3" i="21"/>
  <c r="D3" i="21"/>
  <c r="E3" i="21"/>
  <c r="F3" i="21"/>
  <c r="G3" i="21"/>
  <c r="H3" i="21"/>
  <c r="I3" i="21"/>
  <c r="J3" i="21"/>
  <c r="K3" i="21"/>
  <c r="L3" i="21"/>
  <c r="M3" i="21"/>
  <c r="N3" i="21"/>
  <c r="O3" i="21"/>
  <c r="P3" i="21"/>
  <c r="Q3" i="21"/>
  <c r="R3" i="21"/>
  <c r="S3" i="21"/>
  <c r="T3" i="21"/>
  <c r="U3" i="21"/>
  <c r="V3" i="21"/>
  <c r="W3" i="21"/>
  <c r="X3" i="21"/>
  <c r="Y3" i="21"/>
  <c r="Z3" i="21"/>
  <c r="AA3" i="21"/>
  <c r="AB3" i="21"/>
  <c r="AC3" i="21"/>
  <c r="AD3" i="21"/>
  <c r="AE3" i="21"/>
  <c r="AF3" i="21"/>
  <c r="B4" i="21"/>
  <c r="C4" i="21"/>
  <c r="D4" i="21"/>
  <c r="E4" i="21"/>
  <c r="F4" i="21"/>
  <c r="G4" i="21"/>
  <c r="H4" i="21"/>
  <c r="I4" i="21"/>
  <c r="J4" i="21"/>
  <c r="K4" i="21"/>
  <c r="L4" i="21"/>
  <c r="M4" i="21"/>
  <c r="N4" i="21"/>
  <c r="O4" i="21"/>
  <c r="P4" i="21"/>
  <c r="Q4" i="21"/>
  <c r="R4" i="21"/>
  <c r="S4" i="21"/>
  <c r="T4" i="21"/>
  <c r="U4" i="21"/>
  <c r="V4" i="21"/>
  <c r="W4" i="21"/>
  <c r="X4" i="21"/>
  <c r="Y4" i="21"/>
  <c r="Z4" i="21"/>
  <c r="AA4" i="21"/>
  <c r="AB4" i="21"/>
  <c r="AC4" i="21"/>
  <c r="AD4" i="21"/>
  <c r="AE4" i="21"/>
  <c r="AF4" i="21"/>
  <c r="B6" i="21"/>
  <c r="C6" i="21"/>
  <c r="D6" i="21"/>
  <c r="E6" i="21"/>
  <c r="F6" i="21"/>
  <c r="G6" i="21"/>
  <c r="H6" i="21"/>
  <c r="I6" i="21"/>
  <c r="J6" i="21"/>
  <c r="K6" i="21"/>
  <c r="L6" i="21"/>
  <c r="M6" i="21"/>
  <c r="N6" i="21"/>
  <c r="O6" i="21"/>
  <c r="P6" i="21"/>
  <c r="Q6" i="21"/>
  <c r="R6" i="21"/>
  <c r="S6" i="21"/>
  <c r="T6" i="21"/>
  <c r="U6" i="21"/>
  <c r="V6" i="21"/>
  <c r="W6" i="21"/>
  <c r="X6" i="21"/>
  <c r="Y6" i="21"/>
  <c r="Z6" i="21"/>
  <c r="AA6" i="21"/>
  <c r="AB6" i="21"/>
  <c r="AC6" i="21"/>
  <c r="AD6" i="21"/>
  <c r="AE6" i="21"/>
  <c r="AF6" i="21"/>
  <c r="B7" i="21"/>
  <c r="C7" i="21"/>
  <c r="D7" i="21"/>
  <c r="E7" i="21"/>
  <c r="F7" i="21"/>
  <c r="G7" i="21"/>
  <c r="H7" i="21"/>
  <c r="I7" i="21"/>
  <c r="J7" i="21"/>
  <c r="K7" i="21"/>
  <c r="L7" i="21"/>
  <c r="M7" i="21"/>
  <c r="N7" i="21"/>
  <c r="O7" i="21"/>
  <c r="P7" i="21"/>
  <c r="Q7" i="21"/>
  <c r="R7" i="21"/>
  <c r="S7" i="21"/>
  <c r="T7" i="21"/>
  <c r="U7" i="21"/>
  <c r="V7" i="21"/>
  <c r="W7" i="21"/>
  <c r="X7" i="21"/>
  <c r="Y7" i="21"/>
  <c r="Z7" i="21"/>
  <c r="AA7" i="21"/>
  <c r="AB7" i="21"/>
  <c r="AC7" i="21"/>
  <c r="AD7" i="21"/>
  <c r="AE7" i="21"/>
  <c r="AF7" i="21"/>
  <c r="B8" i="21"/>
  <c r="C8" i="21"/>
  <c r="D8" i="21"/>
  <c r="E8" i="21"/>
  <c r="F8" i="21"/>
  <c r="G8" i="21"/>
  <c r="H8" i="21"/>
  <c r="I8" i="21"/>
  <c r="J8" i="21"/>
  <c r="K8" i="21"/>
  <c r="L8" i="21"/>
  <c r="M8" i="21"/>
  <c r="N8" i="21"/>
  <c r="O8" i="21"/>
  <c r="P8" i="21"/>
  <c r="Q8" i="21"/>
  <c r="R8" i="21"/>
  <c r="S8" i="21"/>
  <c r="T8" i="21"/>
  <c r="U8" i="21"/>
  <c r="V8" i="21"/>
  <c r="W8" i="21"/>
  <c r="X8" i="21"/>
  <c r="Y8" i="21"/>
  <c r="Z8" i="21"/>
  <c r="AA8" i="21"/>
  <c r="AB8" i="21"/>
  <c r="AC8" i="21"/>
  <c r="AD8" i="21"/>
  <c r="AE8" i="21"/>
  <c r="AF8" i="21"/>
  <c r="GR13" i="12"/>
  <c r="GR14" i="12"/>
  <c r="AG3" i="21"/>
  <c r="H1081" i="13"/>
  <c r="H1082" i="13"/>
  <c r="H1083" i="13"/>
  <c r="H1084" i="13"/>
  <c r="H1085" i="13"/>
  <c r="GS13" i="12"/>
  <c r="GS14" i="12"/>
  <c r="H1080" i="13"/>
  <c r="H1079" i="13"/>
  <c r="H1078" i="13"/>
  <c r="H1077" i="13"/>
  <c r="H1076" i="13"/>
  <c r="GT13" i="12"/>
  <c r="GT14" i="12"/>
  <c r="H1075" i="13"/>
  <c r="H1074" i="13"/>
  <c r="H1073" i="13"/>
  <c r="H1072" i="13"/>
  <c r="GU13" i="12"/>
  <c r="GU14" i="12"/>
  <c r="H1071" i="13"/>
  <c r="H1070" i="13"/>
  <c r="H1069" i="13"/>
  <c r="H1068" i="13"/>
  <c r="H1067" i="13"/>
  <c r="AF5" i="21"/>
  <c r="GV13" i="12"/>
  <c r="GV14" i="12"/>
  <c r="H1066" i="13"/>
  <c r="H1065" i="13"/>
  <c r="H1064" i="13"/>
  <c r="H1063" i="13"/>
  <c r="H1062" i="13"/>
  <c r="H1061" i="13"/>
  <c r="H1060" i="13"/>
  <c r="H1059" i="13"/>
  <c r="H1058" i="13"/>
  <c r="AE5" i="21"/>
  <c r="AD5" i="21"/>
  <c r="GW13" i="12"/>
  <c r="GW14" i="12"/>
  <c r="H1057" i="13"/>
  <c r="H1056" i="13"/>
  <c r="H1055" i="13"/>
  <c r="H1054" i="13"/>
  <c r="H1053" i="13"/>
  <c r="AC5" i="21"/>
  <c r="GX13" i="12"/>
  <c r="GX14" i="12"/>
  <c r="H1049" i="13"/>
  <c r="H1050" i="13"/>
  <c r="H1051" i="13"/>
  <c r="H1052" i="13"/>
  <c r="AB5" i="21"/>
  <c r="GY13" i="12"/>
  <c r="GY14" i="12"/>
  <c r="H1039" i="13"/>
  <c r="H1040" i="13"/>
  <c r="H1041" i="13"/>
  <c r="H1042" i="13"/>
  <c r="H1043" i="13"/>
  <c r="H1044" i="13"/>
  <c r="H1045" i="13"/>
  <c r="H1046" i="13"/>
  <c r="H1047" i="13"/>
  <c r="H1048" i="13"/>
  <c r="Z5" i="21"/>
  <c r="AA5" i="21"/>
  <c r="GZ13" i="12"/>
  <c r="GZ14" i="12"/>
  <c r="Y5" i="21"/>
  <c r="H1034" i="13"/>
  <c r="H1035" i="13"/>
  <c r="H1036" i="13"/>
  <c r="H1037" i="13"/>
  <c r="H1038" i="13"/>
  <c r="HA13" i="12"/>
  <c r="HA14" i="12"/>
  <c r="H1028" i="13"/>
  <c r="H1029" i="13"/>
  <c r="H1030" i="13"/>
  <c r="H1031" i="13"/>
  <c r="H1032" i="13"/>
  <c r="H1033" i="13"/>
  <c r="X5" i="21"/>
  <c r="HB13" i="12"/>
  <c r="HB14" i="12"/>
  <c r="W5" i="21"/>
  <c r="HC13" i="12"/>
  <c r="HC14" i="12"/>
  <c r="V5" i="21"/>
  <c r="HD13" i="12"/>
  <c r="HD14" i="12"/>
  <c r="H1010" i="13"/>
  <c r="H1011" i="13"/>
  <c r="H1012" i="13"/>
  <c r="H1013" i="13"/>
  <c r="H1014" i="13"/>
  <c r="H1015" i="13"/>
  <c r="H1016" i="13"/>
  <c r="H1017" i="13"/>
  <c r="H1018" i="13"/>
  <c r="H1019" i="13"/>
  <c r="H1020" i="13"/>
  <c r="H1021" i="13"/>
  <c r="H1022" i="13"/>
  <c r="H1023" i="13"/>
  <c r="H1024" i="13"/>
  <c r="H1025" i="13"/>
  <c r="H1026" i="13"/>
  <c r="H1027" i="13"/>
  <c r="U5" i="21"/>
  <c r="HE13" i="12"/>
  <c r="HE14" i="12"/>
  <c r="T5" i="21"/>
  <c r="S5" i="21"/>
  <c r="HF13" i="12"/>
  <c r="HF14" i="12"/>
  <c r="R5" i="21"/>
  <c r="HG13" i="12"/>
  <c r="HG14" i="12"/>
  <c r="Q5" i="21"/>
  <c r="HH13" i="12"/>
  <c r="HH14" i="12"/>
  <c r="P5" i="21"/>
  <c r="HI13" i="12"/>
  <c r="HI14" i="12"/>
  <c r="H1005" i="13"/>
  <c r="H1006" i="13"/>
  <c r="H1007" i="13"/>
  <c r="H1008" i="13"/>
  <c r="H1009" i="13"/>
  <c r="H1001" i="13"/>
  <c r="H1002" i="13"/>
  <c r="H1003" i="13"/>
  <c r="H1004" i="13"/>
  <c r="H996" i="13"/>
  <c r="H997" i="13"/>
  <c r="H998" i="13"/>
  <c r="H999" i="13"/>
  <c r="H1000" i="13"/>
  <c r="H991" i="13"/>
  <c r="H992" i="13"/>
  <c r="H993" i="13"/>
  <c r="H994" i="13"/>
  <c r="H995" i="13"/>
  <c r="O5" i="21"/>
  <c r="HJ13" i="12"/>
  <c r="HJ14" i="12"/>
  <c r="N5" i="21"/>
  <c r="HK13" i="12"/>
  <c r="HK14" i="12"/>
  <c r="M5" i="21"/>
  <c r="HL13" i="12"/>
  <c r="HL14" i="12"/>
  <c r="L5" i="21"/>
  <c r="HM13" i="12"/>
  <c r="HM14" i="12"/>
  <c r="H986" i="13"/>
  <c r="H987" i="13"/>
  <c r="H988" i="13"/>
  <c r="H989" i="13"/>
  <c r="H990" i="13"/>
  <c r="K5" i="21"/>
  <c r="HN13" i="12"/>
  <c r="HN14" i="12"/>
  <c r="H981" i="13"/>
  <c r="H982" i="13"/>
  <c r="H983" i="13"/>
  <c r="H984" i="13"/>
  <c r="H985" i="13"/>
  <c r="J5" i="21"/>
  <c r="HO13" i="12"/>
  <c r="HO14" i="12"/>
  <c r="I5" i="21"/>
  <c r="H976" i="13"/>
  <c r="H977" i="13"/>
  <c r="H978" i="13"/>
  <c r="H979" i="13"/>
  <c r="H980" i="13"/>
  <c r="HP13" i="12"/>
  <c r="HP14" i="12"/>
  <c r="H5" i="21"/>
  <c r="H971" i="13"/>
  <c r="H972" i="13"/>
  <c r="H973" i="13"/>
  <c r="H974" i="13"/>
  <c r="H975" i="13"/>
  <c r="HQ13" i="12"/>
  <c r="HQ14" i="12"/>
  <c r="H966" i="13"/>
  <c r="H967" i="13"/>
  <c r="H968" i="13"/>
  <c r="H969" i="13"/>
  <c r="H970" i="13"/>
  <c r="H962" i="13"/>
  <c r="H963" i="13"/>
  <c r="H964" i="13"/>
  <c r="H965" i="13"/>
  <c r="G5" i="21"/>
  <c r="HR13" i="12"/>
  <c r="HR14" i="12"/>
  <c r="F5" i="21"/>
  <c r="HS13" i="12"/>
  <c r="HS14" i="12"/>
  <c r="E5" i="21"/>
  <c r="HT13" i="12"/>
  <c r="HT14" i="12"/>
  <c r="D5" i="21"/>
  <c r="H958" i="13"/>
  <c r="H959" i="13"/>
  <c r="H960" i="13"/>
  <c r="H961" i="13"/>
  <c r="HU13" i="12"/>
  <c r="HU14" i="12"/>
  <c r="C5" i="21"/>
  <c r="H955" i="13"/>
  <c r="H956" i="13"/>
  <c r="H957" i="13"/>
  <c r="HV13" i="12"/>
  <c r="HV14" i="12"/>
  <c r="B5" i="21"/>
  <c r="H952" i="13"/>
  <c r="H953" i="13"/>
  <c r="H954" i="13"/>
  <c r="HW13" i="12"/>
  <c r="HW14" i="12"/>
  <c r="H947" i="13"/>
  <c r="H948" i="13"/>
  <c r="H949" i="13"/>
  <c r="H950" i="13"/>
  <c r="H951" i="13"/>
  <c r="HX13" i="12"/>
  <c r="HX14" i="12"/>
  <c r="H943" i="13"/>
  <c r="H944" i="13"/>
  <c r="H945" i="13"/>
  <c r="H946" i="13"/>
  <c r="HY13" i="12"/>
  <c r="HY14" i="12"/>
  <c r="H942" i="13"/>
  <c r="H941" i="13"/>
  <c r="H940" i="13"/>
  <c r="H939" i="13"/>
  <c r="H938" i="13"/>
  <c r="HZ13" i="12"/>
  <c r="HZ14" i="12"/>
  <c r="H937" i="13"/>
  <c r="H936" i="13"/>
  <c r="H935" i="13"/>
  <c r="H934" i="13"/>
  <c r="H933" i="13"/>
  <c r="IA13" i="12"/>
  <c r="IA14" i="12"/>
  <c r="H928" i="13"/>
  <c r="H929" i="13"/>
  <c r="H930" i="13"/>
  <c r="H931" i="13"/>
  <c r="H932" i="13"/>
  <c r="IB13" i="12"/>
  <c r="IB14" i="12"/>
  <c r="H923" i="13"/>
  <c r="H924" i="13"/>
  <c r="H925" i="13"/>
  <c r="H926" i="13"/>
  <c r="H927" i="13"/>
  <c r="IC13" i="12"/>
  <c r="IC14" i="12"/>
  <c r="H918" i="13"/>
  <c r="H919" i="13"/>
  <c r="H920" i="13"/>
  <c r="H921" i="13"/>
  <c r="H922" i="13"/>
  <c r="ID13" i="12"/>
  <c r="ID14" i="12"/>
  <c r="H913" i="13"/>
  <c r="H914" i="13"/>
  <c r="H915" i="13"/>
  <c r="H916" i="13"/>
  <c r="H917" i="13"/>
  <c r="IE13" i="12"/>
  <c r="IE14" i="12"/>
  <c r="H905" i="13"/>
  <c r="H906" i="13"/>
  <c r="H907" i="13"/>
  <c r="H908" i="13"/>
  <c r="H909" i="13"/>
  <c r="H910" i="13"/>
  <c r="H911" i="13"/>
  <c r="H912" i="13"/>
  <c r="IF13" i="12"/>
  <c r="IF14" i="12"/>
  <c r="H903" i="13"/>
  <c r="H904" i="13"/>
  <c r="IG13" i="12"/>
  <c r="IG14" i="12"/>
  <c r="H898" i="13"/>
  <c r="H899" i="13"/>
  <c r="H900" i="13"/>
  <c r="H901" i="13"/>
  <c r="H902" i="13"/>
  <c r="IH13" i="12"/>
  <c r="IH14" i="12"/>
  <c r="H894" i="13"/>
  <c r="H895" i="13"/>
  <c r="H896" i="13"/>
  <c r="H897" i="13"/>
  <c r="II13" i="12"/>
  <c r="II14" i="12"/>
  <c r="H890" i="13"/>
  <c r="H891" i="13"/>
  <c r="H892" i="13"/>
  <c r="H893" i="13"/>
  <c r="IJ13" i="12"/>
  <c r="IJ14" i="12"/>
  <c r="H885" i="13"/>
  <c r="H886" i="13"/>
  <c r="H887" i="13"/>
  <c r="H888" i="13"/>
  <c r="H889" i="13"/>
  <c r="IK13" i="12"/>
  <c r="IK14" i="12"/>
  <c r="H884" i="13"/>
  <c r="H883" i="13"/>
  <c r="H882" i="13"/>
  <c r="H881" i="13"/>
  <c r="H880" i="13"/>
  <c r="H879" i="13"/>
  <c r="IL13" i="12"/>
  <c r="IL14" i="12"/>
  <c r="H878" i="13"/>
  <c r="H877" i="13"/>
  <c r="H876" i="13"/>
  <c r="H875" i="13"/>
  <c r="H874" i="13"/>
  <c r="H873" i="13"/>
  <c r="H872" i="13"/>
  <c r="H871" i="13"/>
  <c r="H870" i="13"/>
  <c r="H869" i="13"/>
  <c r="IM13" i="12"/>
  <c r="IM14" i="12"/>
  <c r="H864" i="13"/>
  <c r="H865" i="13"/>
  <c r="H866" i="13"/>
  <c r="H867" i="13"/>
  <c r="H868" i="13"/>
  <c r="IN13" i="12"/>
  <c r="IN14" i="12"/>
  <c r="H859" i="13"/>
  <c r="H860" i="13"/>
  <c r="H861" i="13"/>
  <c r="H862" i="13"/>
  <c r="H863" i="13"/>
  <c r="IO13" i="12"/>
  <c r="IO14" i="12"/>
  <c r="AF7" i="20"/>
  <c r="AE7" i="20"/>
  <c r="AD7" i="20"/>
  <c r="AC7" i="20"/>
  <c r="AB7" i="20"/>
  <c r="AA7" i="20"/>
  <c r="Z7" i="20"/>
  <c r="Y7" i="20"/>
  <c r="X7" i="20"/>
  <c r="W7" i="20"/>
  <c r="V7" i="20"/>
  <c r="U7" i="20"/>
  <c r="T7" i="20"/>
  <c r="S7" i="20"/>
  <c r="R7" i="20"/>
  <c r="Q7" i="20"/>
  <c r="P7" i="20"/>
  <c r="O7" i="20"/>
  <c r="N7" i="20"/>
  <c r="M7" i="20"/>
  <c r="L7" i="20"/>
  <c r="K7" i="20"/>
  <c r="J7" i="20"/>
  <c r="I7" i="20"/>
  <c r="H7" i="20"/>
  <c r="G7" i="20"/>
  <c r="F7" i="20"/>
  <c r="E7" i="20"/>
  <c r="D7" i="20"/>
  <c r="C7" i="20"/>
  <c r="IP13" i="12"/>
  <c r="IP14" i="12"/>
  <c r="H858" i="13"/>
  <c r="H857" i="13"/>
  <c r="H856" i="13"/>
  <c r="H855" i="13"/>
  <c r="H854" i="13"/>
  <c r="IQ13" i="12"/>
  <c r="IQ14" i="12"/>
  <c r="H853" i="13"/>
  <c r="H852" i="13"/>
  <c r="H851" i="13"/>
  <c r="H850" i="13"/>
  <c r="H849" i="13"/>
  <c r="IR13" i="12"/>
  <c r="IR14" i="12"/>
  <c r="H848" i="13"/>
  <c r="H847" i="13"/>
  <c r="H846" i="13"/>
  <c r="H845" i="13"/>
  <c r="H844" i="13"/>
  <c r="IS13" i="12"/>
  <c r="IS14" i="12"/>
  <c r="H843" i="13"/>
  <c r="H842" i="13"/>
  <c r="H841" i="13"/>
  <c r="H840" i="13"/>
  <c r="H839" i="13"/>
  <c r="IT13" i="12"/>
  <c r="IT14" i="12"/>
  <c r="H838" i="13"/>
  <c r="H837" i="13"/>
  <c r="H836" i="13"/>
  <c r="H835" i="13"/>
  <c r="H834" i="13"/>
  <c r="IU13" i="12"/>
  <c r="IU14" i="12"/>
  <c r="H833" i="13"/>
  <c r="H832" i="13"/>
  <c r="H831" i="13"/>
  <c r="H830" i="13"/>
  <c r="H829" i="13"/>
  <c r="IV13" i="12"/>
  <c r="IV14" i="12"/>
  <c r="H828" i="13"/>
  <c r="H827" i="13"/>
  <c r="H826" i="13"/>
  <c r="H825" i="13"/>
  <c r="H824" i="13"/>
  <c r="H823" i="13"/>
  <c r="H822" i="13"/>
  <c r="H821" i="13"/>
  <c r="IW13" i="12"/>
  <c r="IW14" i="12"/>
  <c r="H816" i="13"/>
  <c r="H817" i="13"/>
  <c r="H818" i="13"/>
  <c r="H819" i="13"/>
  <c r="H820" i="13"/>
  <c r="IX13" i="12"/>
  <c r="IX14" i="12"/>
  <c r="H815" i="13"/>
  <c r="H814" i="13"/>
  <c r="H813" i="13"/>
  <c r="H812" i="13"/>
  <c r="H811" i="13"/>
  <c r="IY13" i="12"/>
  <c r="IY14" i="12"/>
  <c r="H810" i="13"/>
  <c r="H809" i="13"/>
  <c r="H808" i="13"/>
  <c r="H807" i="13"/>
  <c r="H806" i="13"/>
  <c r="IZ13" i="12"/>
  <c r="IZ14" i="12"/>
  <c r="H801" i="13"/>
  <c r="H802" i="13"/>
  <c r="H803" i="13"/>
  <c r="H804" i="13"/>
  <c r="H805" i="13"/>
  <c r="JA13" i="12"/>
  <c r="JA14" i="12"/>
  <c r="H796" i="13"/>
  <c r="H797" i="13"/>
  <c r="H798" i="13"/>
  <c r="H799" i="13"/>
  <c r="H800" i="13"/>
  <c r="JB13" i="12"/>
  <c r="JB14" i="12"/>
  <c r="H791" i="13"/>
  <c r="H792" i="13"/>
  <c r="H793" i="13"/>
  <c r="H794" i="13"/>
  <c r="H795" i="13"/>
  <c r="JC13" i="12"/>
  <c r="JC14" i="12"/>
  <c r="H786" i="13"/>
  <c r="H787" i="13"/>
  <c r="H788" i="13"/>
  <c r="H789" i="13"/>
  <c r="H790" i="13"/>
  <c r="JD13" i="12"/>
  <c r="JD14" i="12"/>
  <c r="H781" i="13"/>
  <c r="H782" i="13"/>
  <c r="H783" i="13"/>
  <c r="H784" i="13"/>
  <c r="H785" i="13"/>
  <c r="H780" i="13"/>
  <c r="H779" i="13"/>
  <c r="H778" i="13"/>
  <c r="H777" i="13"/>
  <c r="H776" i="13"/>
  <c r="H775" i="13"/>
  <c r="H774" i="13"/>
  <c r="H773" i="13"/>
  <c r="JE13" i="12"/>
  <c r="JE14" i="12"/>
  <c r="H770" i="13"/>
  <c r="H771" i="13"/>
  <c r="H772" i="13"/>
  <c r="JF13" i="12"/>
  <c r="JF14" i="12"/>
  <c r="H765" i="13"/>
  <c r="H766" i="13"/>
  <c r="H767" i="13"/>
  <c r="H768" i="13"/>
  <c r="H769" i="13"/>
  <c r="JF16" i="12"/>
  <c r="JG13" i="12"/>
  <c r="JG14" i="12"/>
  <c r="H760" i="13"/>
  <c r="H761" i="13"/>
  <c r="H762" i="13"/>
  <c r="H763" i="13"/>
  <c r="JG16" i="12"/>
  <c r="JH13" i="12"/>
  <c r="JH14" i="12"/>
  <c r="H756" i="13"/>
  <c r="H757" i="13"/>
  <c r="H758" i="13"/>
  <c r="H759" i="13"/>
  <c r="JI13" i="12"/>
  <c r="JI14" i="12"/>
  <c r="JH16" i="12"/>
  <c r="H755" i="13"/>
  <c r="H754" i="13"/>
  <c r="H753" i="13"/>
  <c r="H752" i="13"/>
  <c r="H751" i="13"/>
  <c r="JI16" i="12"/>
  <c r="JJ13" i="12"/>
  <c r="JJ14" i="12"/>
  <c r="H750" i="13"/>
  <c r="H749" i="13"/>
  <c r="H748" i="13"/>
  <c r="H747" i="13"/>
  <c r="H746" i="13"/>
  <c r="JK13" i="12"/>
  <c r="JK14" i="12"/>
  <c r="JJ16" i="12"/>
  <c r="H741" i="13"/>
  <c r="H742" i="13"/>
  <c r="H743" i="13"/>
  <c r="H744" i="13"/>
  <c r="H745" i="13"/>
  <c r="JL13" i="12"/>
  <c r="JL14" i="12"/>
  <c r="JK16" i="12"/>
  <c r="H736" i="13"/>
  <c r="H737" i="13"/>
  <c r="H738" i="13"/>
  <c r="H739" i="13"/>
  <c r="H740" i="13"/>
  <c r="JM13" i="12"/>
  <c r="JM14" i="12"/>
  <c r="JL16" i="12"/>
  <c r="H731" i="13"/>
  <c r="H732" i="13"/>
  <c r="H733" i="13"/>
  <c r="H734" i="13"/>
  <c r="H735" i="13"/>
  <c r="JN13" i="12"/>
  <c r="JN14" i="12"/>
  <c r="JM16" i="12"/>
  <c r="H725" i="13"/>
  <c r="H726" i="13"/>
  <c r="H727" i="13"/>
  <c r="H728" i="13"/>
  <c r="H729" i="13"/>
  <c r="H730" i="13"/>
  <c r="JO13" i="12"/>
  <c r="JO14" i="12"/>
  <c r="JN16" i="12"/>
  <c r="H717" i="13"/>
  <c r="H718" i="13"/>
  <c r="H719" i="13"/>
  <c r="H720" i="13"/>
  <c r="H721" i="13"/>
  <c r="H722" i="13"/>
  <c r="H723" i="13"/>
  <c r="H724" i="13"/>
  <c r="JP13" i="12"/>
  <c r="JP14" i="12"/>
  <c r="JO16" i="12"/>
  <c r="H716" i="13"/>
  <c r="H715" i="13"/>
  <c r="H714" i="13"/>
  <c r="H713" i="13"/>
  <c r="H712" i="13"/>
  <c r="JQ13" i="12"/>
  <c r="JQ14" i="12"/>
  <c r="JP16" i="12"/>
  <c r="H711" i="13"/>
  <c r="H710" i="13"/>
  <c r="H709" i="13"/>
  <c r="H708" i="13"/>
  <c r="JR13" i="12"/>
  <c r="JR14" i="12"/>
  <c r="JQ16" i="12"/>
  <c r="H704" i="13"/>
  <c r="H705" i="13"/>
  <c r="H706" i="13"/>
  <c r="H707" i="13"/>
  <c r="JS13" i="12"/>
  <c r="JS14" i="12"/>
  <c r="JR16" i="12"/>
  <c r="H700" i="13"/>
  <c r="H701" i="13"/>
  <c r="H702" i="13"/>
  <c r="H703" i="13"/>
  <c r="JT13" i="12"/>
  <c r="JT14" i="12"/>
  <c r="JS16" i="12"/>
  <c r="H696" i="13"/>
  <c r="H697" i="13"/>
  <c r="H698" i="13"/>
  <c r="H699" i="13"/>
  <c r="JU13" i="12"/>
  <c r="JU14" i="12"/>
  <c r="JT16" i="12"/>
  <c r="H695" i="13"/>
  <c r="H694" i="13"/>
  <c r="H693" i="13"/>
  <c r="H692" i="13"/>
  <c r="H691" i="13"/>
  <c r="H690" i="13"/>
  <c r="JV13" i="12"/>
  <c r="JV14" i="12"/>
  <c r="JU16" i="12"/>
  <c r="H689" i="13"/>
  <c r="H688" i="13"/>
  <c r="JW13" i="12"/>
  <c r="JW14" i="12"/>
  <c r="JV16" i="12"/>
  <c r="H683" i="13"/>
  <c r="H684" i="13"/>
  <c r="H685" i="13"/>
  <c r="H686" i="13"/>
  <c r="H687" i="13"/>
  <c r="JX13" i="12"/>
  <c r="JX14" i="12"/>
  <c r="JW16" i="12"/>
  <c r="H677" i="13"/>
  <c r="H678" i="13"/>
  <c r="H679" i="13"/>
  <c r="H680" i="13"/>
  <c r="H681" i="13"/>
  <c r="H682" i="13"/>
  <c r="JX16" i="12"/>
  <c r="JY13" i="12"/>
  <c r="JY14" i="12"/>
  <c r="H672" i="13"/>
  <c r="H673" i="13"/>
  <c r="H674" i="13"/>
  <c r="H675" i="13"/>
  <c r="H676" i="13"/>
  <c r="JZ13" i="12"/>
  <c r="JZ14" i="12"/>
  <c r="JY16" i="12"/>
  <c r="KA13" i="12"/>
  <c r="KA14" i="12"/>
  <c r="JZ16" i="12"/>
  <c r="H667" i="13"/>
  <c r="H668" i="13"/>
  <c r="H669" i="13"/>
  <c r="H670" i="13"/>
  <c r="H671" i="13"/>
  <c r="KA16" i="12"/>
  <c r="KB13" i="12"/>
  <c r="KB14" i="12"/>
  <c r="H657" i="13"/>
  <c r="H658" i="13"/>
  <c r="H659" i="13"/>
  <c r="H660" i="13"/>
  <c r="H661" i="13"/>
  <c r="H662" i="13"/>
  <c r="H663" i="13"/>
  <c r="H664" i="13"/>
  <c r="H665" i="13"/>
  <c r="H666" i="13"/>
  <c r="KB16" i="12"/>
  <c r="KC13" i="12"/>
  <c r="KC14" i="12"/>
  <c r="H656" i="13"/>
  <c r="H655" i="13"/>
  <c r="H654" i="13"/>
  <c r="H653" i="13"/>
  <c r="KC16" i="12"/>
  <c r="KD13" i="12"/>
  <c r="KD14" i="12"/>
  <c r="H649" i="13"/>
  <c r="H650" i="13"/>
  <c r="H651" i="13"/>
  <c r="H652" i="13"/>
  <c r="KE13" i="12"/>
  <c r="KE14" i="12"/>
  <c r="KD16" i="12"/>
  <c r="H645" i="13"/>
  <c r="H646" i="13"/>
  <c r="H647" i="13"/>
  <c r="H648" i="13"/>
  <c r="KE16" i="12"/>
  <c r="KF13" i="12"/>
  <c r="KF14" i="12"/>
  <c r="H642" i="13"/>
  <c r="H643" i="13"/>
  <c r="H644" i="13"/>
  <c r="KG13" i="12"/>
  <c r="KG14" i="12"/>
  <c r="KF16" i="12"/>
  <c r="H638" i="13"/>
  <c r="H639" i="13"/>
  <c r="H640" i="13"/>
  <c r="H641" i="13"/>
  <c r="KH13" i="12"/>
  <c r="KH14" i="12"/>
  <c r="KG16" i="12"/>
  <c r="H624" i="13"/>
  <c r="H625" i="13"/>
  <c r="H626" i="13"/>
  <c r="H627" i="13"/>
  <c r="H628" i="13"/>
  <c r="H629" i="13"/>
  <c r="H630" i="13"/>
  <c r="H631" i="13"/>
  <c r="H632" i="13"/>
  <c r="H633" i="13"/>
  <c r="H634" i="13"/>
  <c r="H635" i="13"/>
  <c r="H636" i="13"/>
  <c r="H637" i="13"/>
  <c r="KH16" i="12"/>
  <c r="KI13" i="12"/>
  <c r="KI14" i="12"/>
  <c r="H614" i="13"/>
  <c r="H615" i="13"/>
  <c r="H616" i="13"/>
  <c r="H617" i="13"/>
  <c r="H618" i="13"/>
  <c r="H619" i="13"/>
  <c r="H620" i="13"/>
  <c r="H621" i="13"/>
  <c r="H622" i="13"/>
  <c r="H623" i="13"/>
  <c r="KJ13" i="12"/>
  <c r="KJ14" i="12"/>
  <c r="KI16" i="12"/>
  <c r="H610" i="13"/>
  <c r="H611" i="13"/>
  <c r="H612" i="13"/>
  <c r="H613" i="13"/>
  <c r="KJ16" i="12"/>
  <c r="KK13" i="12"/>
  <c r="KK14" i="12"/>
  <c r="H606" i="13"/>
  <c r="H607" i="13"/>
  <c r="H608" i="13"/>
  <c r="H609" i="13"/>
  <c r="KL13" i="12"/>
  <c r="KL14" i="12"/>
  <c r="KK16" i="12"/>
  <c r="H593" i="13"/>
  <c r="H594" i="13"/>
  <c r="H595" i="13"/>
  <c r="H596" i="13"/>
  <c r="H597" i="13"/>
  <c r="H598" i="13"/>
  <c r="H599" i="13"/>
  <c r="H600" i="13"/>
  <c r="H601" i="13"/>
  <c r="H602" i="13"/>
  <c r="H604" i="13"/>
  <c r="H605" i="13"/>
  <c r="KL16" i="12"/>
  <c r="KM13" i="12"/>
  <c r="KM14" i="12"/>
  <c r="H589" i="13"/>
  <c r="H590" i="13"/>
  <c r="H591" i="13"/>
  <c r="H592" i="13"/>
  <c r="KM16" i="12"/>
  <c r="KN13" i="12"/>
  <c r="KN14" i="12"/>
  <c r="H521" i="13"/>
  <c r="H522" i="13"/>
  <c r="H523" i="13"/>
  <c r="H524" i="13"/>
  <c r="H525" i="13"/>
  <c r="H526" i="13"/>
  <c r="H527" i="13"/>
  <c r="H528" i="13"/>
  <c r="H529" i="13"/>
  <c r="H530" i="13"/>
  <c r="H531" i="13"/>
  <c r="H532" i="13"/>
  <c r="H533" i="13"/>
  <c r="H534" i="13"/>
  <c r="H535" i="13"/>
  <c r="H536" i="13"/>
  <c r="H537" i="13"/>
  <c r="H538" i="13"/>
  <c r="H539" i="13"/>
  <c r="H540" i="13"/>
  <c r="H541" i="13"/>
  <c r="H542" i="13"/>
  <c r="H543" i="13"/>
  <c r="H544" i="13"/>
  <c r="H545" i="13"/>
  <c r="H546" i="13"/>
  <c r="H547" i="13"/>
  <c r="H548" i="13"/>
  <c r="H549" i="13"/>
  <c r="H550" i="13"/>
  <c r="H551" i="13"/>
  <c r="H552" i="13"/>
  <c r="H553" i="13"/>
  <c r="H554" i="13"/>
  <c r="H555" i="13"/>
  <c r="H556" i="13"/>
  <c r="H557" i="13"/>
  <c r="H558" i="13"/>
  <c r="H559" i="13"/>
  <c r="H560" i="13"/>
  <c r="H561" i="13"/>
  <c r="H562" i="13"/>
  <c r="H563" i="13"/>
  <c r="H564" i="13"/>
  <c r="H565" i="13"/>
  <c r="H566" i="13"/>
  <c r="H567" i="13"/>
  <c r="H568" i="13"/>
  <c r="H569" i="13"/>
  <c r="H570" i="13"/>
  <c r="H571" i="13"/>
  <c r="H572" i="13"/>
  <c r="H573" i="13"/>
  <c r="H574" i="13"/>
  <c r="H575" i="13"/>
  <c r="H576" i="13"/>
  <c r="H577" i="13"/>
  <c r="H578" i="13"/>
  <c r="H579" i="13"/>
  <c r="H580" i="13"/>
  <c r="H581" i="13"/>
  <c r="H582" i="13"/>
  <c r="H583" i="13"/>
  <c r="H584" i="13"/>
  <c r="H585" i="13"/>
  <c r="H586" i="13"/>
  <c r="H587" i="13"/>
  <c r="H588" i="13"/>
  <c r="KO13" i="12"/>
  <c r="KO14" i="12"/>
  <c r="KN16" i="12"/>
  <c r="H516" i="13"/>
  <c r="H517" i="13"/>
  <c r="H518" i="13"/>
  <c r="H519" i="13"/>
  <c r="H520" i="13"/>
  <c r="KO16" i="12"/>
  <c r="KP13" i="12"/>
  <c r="KP14" i="12"/>
  <c r="H511" i="13"/>
  <c r="H512" i="13"/>
  <c r="H513" i="13"/>
  <c r="H514" i="13"/>
  <c r="H515" i="13"/>
  <c r="H506" i="13"/>
  <c r="H507" i="13"/>
  <c r="H508" i="13"/>
  <c r="H509" i="13"/>
  <c r="H510" i="13"/>
  <c r="H502" i="13"/>
  <c r="H503" i="13"/>
  <c r="H504" i="13"/>
  <c r="H505" i="13"/>
  <c r="H497" i="13"/>
  <c r="H498" i="13"/>
  <c r="H499" i="13"/>
  <c r="H500" i="13"/>
  <c r="H501" i="13"/>
  <c r="KP16" i="12"/>
  <c r="KQ13" i="12"/>
  <c r="KQ14" i="12"/>
  <c r="H492" i="13"/>
  <c r="H493" i="13"/>
  <c r="H494" i="13"/>
  <c r="H495" i="13"/>
  <c r="H496" i="13"/>
  <c r="KR13" i="12"/>
  <c r="KR14" i="12"/>
  <c r="KQ16" i="12"/>
  <c r="H487" i="13"/>
  <c r="H488" i="13"/>
  <c r="H489" i="13"/>
  <c r="H490" i="13"/>
  <c r="H491" i="13"/>
  <c r="H485" i="13"/>
  <c r="H486" i="13"/>
  <c r="H482" i="13"/>
  <c r="H483" i="13"/>
  <c r="H484" i="13"/>
  <c r="KS13" i="12"/>
  <c r="KS14" i="12"/>
  <c r="KR16" i="12"/>
  <c r="I7" i="18"/>
  <c r="KS16" i="12"/>
  <c r="KT13" i="12"/>
  <c r="KT14" i="12"/>
  <c r="H477" i="13"/>
  <c r="H478" i="13"/>
  <c r="H479" i="13"/>
  <c r="H480" i="13"/>
  <c r="H481" i="13"/>
  <c r="H472" i="13"/>
  <c r="H473" i="13"/>
  <c r="H474" i="13"/>
  <c r="H475" i="13"/>
  <c r="H476" i="13"/>
  <c r="H467" i="13"/>
  <c r="H468" i="13"/>
  <c r="H469" i="13"/>
  <c r="H470" i="13"/>
  <c r="H471" i="13"/>
  <c r="KT16" i="12"/>
  <c r="KU13" i="12"/>
  <c r="KU14" i="12"/>
  <c r="C4" i="17"/>
  <c r="C5" i="17"/>
  <c r="D4" i="17"/>
  <c r="D5" i="17"/>
  <c r="E4" i="17"/>
  <c r="E5" i="17"/>
  <c r="F4" i="17"/>
  <c r="F5" i="17"/>
  <c r="G4" i="17"/>
  <c r="G5" i="17"/>
  <c r="H4" i="17"/>
  <c r="H5" i="17"/>
  <c r="I4" i="17"/>
  <c r="I5" i="17"/>
  <c r="J4" i="17"/>
  <c r="K4" i="17"/>
  <c r="K5" i="17"/>
  <c r="L4" i="17"/>
  <c r="L5" i="17"/>
  <c r="M4" i="17"/>
  <c r="M5" i="17"/>
  <c r="N4" i="17"/>
  <c r="N5" i="17"/>
  <c r="O4" i="17"/>
  <c r="O5" i="17"/>
  <c r="P4" i="17"/>
  <c r="P5" i="17"/>
  <c r="Q4" i="17"/>
  <c r="Q5" i="17"/>
  <c r="R4" i="17"/>
  <c r="R5" i="17"/>
  <c r="S4" i="17"/>
  <c r="S5" i="17"/>
  <c r="T4" i="17"/>
  <c r="T5" i="17"/>
  <c r="U4" i="17"/>
  <c r="U5" i="17"/>
  <c r="V4" i="17"/>
  <c r="V5" i="17"/>
  <c r="W4" i="17"/>
  <c r="W5" i="17"/>
  <c r="X4" i="17"/>
  <c r="X5" i="17"/>
  <c r="Y4" i="17"/>
  <c r="Y5" i="17"/>
  <c r="Z4" i="17"/>
  <c r="Z5" i="17"/>
  <c r="AA4" i="17"/>
  <c r="AA5" i="17"/>
  <c r="AB4" i="17"/>
  <c r="AB5" i="17"/>
  <c r="AC4" i="17"/>
  <c r="AC5" i="17"/>
  <c r="AD4" i="17"/>
  <c r="AD5" i="17"/>
  <c r="AE4" i="17"/>
  <c r="AE5" i="17"/>
  <c r="AF4" i="17"/>
  <c r="AF5" i="17"/>
  <c r="B4" i="17"/>
  <c r="B5" i="17"/>
  <c r="J5" i="17"/>
  <c r="KV13" i="12"/>
  <c r="KV14" i="12"/>
  <c r="KU16" i="12"/>
  <c r="AG5" i="17"/>
  <c r="KV16" i="12"/>
  <c r="KW13" i="12"/>
  <c r="KW14" i="12"/>
  <c r="H466" i="13"/>
  <c r="H465" i="13"/>
  <c r="H464" i="13"/>
  <c r="H463" i="13"/>
  <c r="KX13" i="12"/>
  <c r="KX14" i="12"/>
  <c r="KW16" i="12"/>
  <c r="H462" i="13"/>
  <c r="H461" i="13"/>
  <c r="H460" i="13"/>
  <c r="H459" i="13"/>
  <c r="H458" i="13"/>
  <c r="H457" i="13"/>
  <c r="H456" i="13"/>
  <c r="H455" i="13"/>
  <c r="H454" i="13"/>
  <c r="H453" i="13"/>
  <c r="H452" i="13"/>
  <c r="KY13" i="12"/>
  <c r="KY14" i="12"/>
  <c r="KX16" i="12"/>
  <c r="H451" i="13"/>
  <c r="H450" i="13"/>
  <c r="H449" i="13"/>
  <c r="H448" i="13"/>
  <c r="KZ13" i="12"/>
  <c r="KZ14" i="12"/>
  <c r="KY16" i="12"/>
  <c r="H447" i="13"/>
  <c r="H446" i="13"/>
  <c r="H445" i="13"/>
  <c r="H444" i="13"/>
  <c r="H443" i="13"/>
  <c r="KZ16" i="12"/>
  <c r="LA13" i="12"/>
  <c r="LA14" i="12"/>
  <c r="H442" i="13"/>
  <c r="H441" i="13"/>
  <c r="H440" i="13"/>
  <c r="H439" i="13"/>
  <c r="H438" i="13"/>
  <c r="H437" i="13"/>
  <c r="H436" i="13"/>
  <c r="LA16" i="12"/>
  <c r="LB13" i="12"/>
  <c r="LB14" i="12"/>
  <c r="H435" i="13"/>
  <c r="H434" i="13"/>
  <c r="H433" i="13"/>
  <c r="LB16" i="12"/>
  <c r="LC13" i="12"/>
  <c r="LC14" i="12"/>
  <c r="H432" i="13"/>
  <c r="H431" i="13"/>
  <c r="H430" i="13"/>
  <c r="H429" i="13"/>
  <c r="H428" i="13"/>
  <c r="LC16" i="12"/>
  <c r="LD13" i="12"/>
  <c r="LD14" i="12"/>
  <c r="H427" i="13"/>
  <c r="H426" i="13"/>
  <c r="H425" i="13"/>
  <c r="H424" i="13"/>
  <c r="H423" i="13"/>
  <c r="LD16" i="12"/>
  <c r="LE13" i="12"/>
  <c r="LE14" i="12"/>
  <c r="H422" i="13"/>
  <c r="H421" i="13"/>
  <c r="H420" i="13"/>
  <c r="H419" i="13"/>
  <c r="H418" i="13"/>
  <c r="LE16" i="12"/>
  <c r="LF13" i="12"/>
  <c r="LF14" i="12"/>
  <c r="H417" i="13"/>
  <c r="LF16" i="12"/>
  <c r="LG13" i="12"/>
  <c r="LG14" i="12"/>
  <c r="H416" i="13"/>
  <c r="H415" i="13"/>
  <c r="H414" i="13"/>
  <c r="LG16" i="12"/>
  <c r="LH13" i="12"/>
  <c r="LH14" i="12"/>
  <c r="H413" i="13"/>
  <c r="H412" i="13"/>
  <c r="H411" i="13"/>
  <c r="H410" i="13"/>
  <c r="H409" i="13"/>
  <c r="H408" i="13"/>
  <c r="LH16" i="12"/>
  <c r="LI13" i="12"/>
  <c r="LI14" i="12"/>
  <c r="H407" i="13"/>
  <c r="H406" i="13"/>
  <c r="H405" i="13"/>
  <c r="H404" i="13"/>
  <c r="H403" i="13"/>
  <c r="LJ13" i="12"/>
  <c r="LJ14" i="12"/>
  <c r="LI16" i="12"/>
  <c r="H402" i="13"/>
  <c r="H401" i="13"/>
  <c r="H400" i="13"/>
  <c r="H399" i="13"/>
  <c r="H398" i="13"/>
  <c r="H397" i="13"/>
  <c r="H396" i="13"/>
  <c r="LJ16" i="12"/>
  <c r="LK13" i="12"/>
  <c r="LK14" i="12"/>
  <c r="H395" i="13"/>
  <c r="H394" i="13"/>
  <c r="H393" i="13"/>
  <c r="LL13" i="12"/>
  <c r="LL14" i="12"/>
  <c r="LK16" i="12"/>
  <c r="H392" i="13"/>
  <c r="H391" i="13"/>
  <c r="H390" i="13"/>
  <c r="H389" i="13"/>
  <c r="H388" i="13"/>
  <c r="LM13" i="12"/>
  <c r="LM14" i="12"/>
  <c r="LL16" i="12"/>
  <c r="H383" i="13"/>
  <c r="H384" i="13"/>
  <c r="H385" i="13"/>
  <c r="H386" i="13"/>
  <c r="H387" i="13"/>
  <c r="LM16" i="12"/>
  <c r="LN13" i="12"/>
  <c r="LN14" i="12"/>
  <c r="H382" i="13"/>
  <c r="H381" i="13"/>
  <c r="H380" i="13"/>
  <c r="H379" i="13"/>
  <c r="H378" i="13"/>
  <c r="LN16" i="12"/>
  <c r="LO13" i="12"/>
  <c r="LO14" i="12"/>
  <c r="H377" i="13"/>
  <c r="H376" i="13"/>
  <c r="H375" i="13"/>
  <c r="H374" i="13"/>
  <c r="H373" i="13"/>
  <c r="H372" i="13"/>
  <c r="LP13" i="12"/>
  <c r="LP14" i="12"/>
  <c r="LO16" i="12"/>
  <c r="H371" i="13"/>
  <c r="H370" i="13"/>
  <c r="H369" i="13"/>
  <c r="H368" i="13"/>
  <c r="LQ13" i="12"/>
  <c r="LQ14" i="12"/>
  <c r="LP16" i="12"/>
  <c r="H367" i="13"/>
  <c r="H366" i="13"/>
  <c r="H365" i="13"/>
  <c r="H364" i="13"/>
  <c r="H363" i="13"/>
  <c r="LR13" i="12"/>
  <c r="LR14" i="12"/>
  <c r="LQ16" i="12"/>
  <c r="H358" i="13"/>
  <c r="H359" i="13"/>
  <c r="H360" i="13"/>
  <c r="H361" i="13"/>
  <c r="H362" i="13"/>
  <c r="LS13" i="12"/>
  <c r="LS14" i="12"/>
  <c r="LR16" i="12"/>
  <c r="H357" i="13"/>
  <c r="H356" i="13"/>
  <c r="H355" i="13"/>
  <c r="H354" i="13"/>
  <c r="H353" i="13"/>
  <c r="H352" i="13"/>
  <c r="H351" i="13"/>
  <c r="H350" i="13"/>
  <c r="H349" i="13"/>
  <c r="H348" i="13"/>
  <c r="LS16" i="12"/>
  <c r="LT13" i="12"/>
  <c r="LT14" i="12"/>
  <c r="H343" i="13"/>
  <c r="H344" i="13"/>
  <c r="H345" i="13"/>
  <c r="H346" i="13"/>
  <c r="H347" i="13"/>
  <c r="LU13" i="12"/>
  <c r="LU14" i="12"/>
  <c r="LT16" i="12"/>
  <c r="H342" i="13"/>
  <c r="H341" i="13"/>
  <c r="H340" i="13"/>
  <c r="H339" i="13"/>
  <c r="LV13" i="12"/>
  <c r="LV14" i="12"/>
  <c r="LU16" i="12"/>
  <c r="H338" i="13"/>
  <c r="H337" i="13"/>
  <c r="H336" i="13"/>
  <c r="H335" i="13"/>
  <c r="H334" i="13"/>
  <c r="LW13" i="12"/>
  <c r="LW14" i="12"/>
  <c r="LV16" i="12"/>
  <c r="H333" i="13"/>
  <c r="H332" i="13"/>
  <c r="H331" i="13"/>
  <c r="H330" i="13"/>
  <c r="H329" i="13"/>
  <c r="LX13" i="12"/>
  <c r="LX14" i="12"/>
  <c r="LW16" i="12"/>
  <c r="H324" i="13"/>
  <c r="H325" i="13"/>
  <c r="H326" i="13"/>
  <c r="H327" i="13"/>
  <c r="H328" i="13"/>
  <c r="LY13" i="12"/>
  <c r="LY14" i="12"/>
  <c r="LX16" i="12"/>
  <c r="H323" i="13"/>
  <c r="H322" i="13"/>
  <c r="LY16" i="12"/>
  <c r="LZ13" i="12"/>
  <c r="LZ14" i="12"/>
  <c r="H321" i="13"/>
  <c r="H320" i="13"/>
  <c r="H319" i="13"/>
  <c r="H318" i="13"/>
  <c r="H317" i="13"/>
  <c r="H316" i="13"/>
  <c r="H315" i="13"/>
  <c r="H314" i="13"/>
  <c r="H313" i="13"/>
  <c r="H312" i="13"/>
  <c r="LZ16" i="12"/>
  <c r="MA13" i="12"/>
  <c r="MA14" i="12"/>
  <c r="H311" i="13"/>
  <c r="H310" i="13"/>
  <c r="H309" i="13"/>
  <c r="MA16" i="12"/>
  <c r="MB13" i="12"/>
  <c r="MB14" i="12"/>
  <c r="H308" i="13"/>
  <c r="H307" i="13"/>
  <c r="H306" i="13"/>
  <c r="MB16" i="12"/>
  <c r="MC13" i="12"/>
  <c r="MC14" i="12"/>
  <c r="H305" i="13"/>
  <c r="H304" i="13"/>
  <c r="H303" i="13"/>
  <c r="H302" i="13"/>
  <c r="H301" i="13"/>
  <c r="MC16" i="12"/>
  <c r="MD13" i="12"/>
  <c r="MD14" i="12"/>
  <c r="H300" i="13"/>
  <c r="H299" i="13"/>
  <c r="H298" i="13"/>
  <c r="H297" i="13"/>
  <c r="MD16" i="12"/>
  <c r="ME13" i="12"/>
  <c r="ME14" i="12"/>
  <c r="H292" i="13"/>
  <c r="H293" i="13"/>
  <c r="H294" i="13"/>
  <c r="H295" i="13"/>
  <c r="H296" i="13"/>
  <c r="ME16" i="12"/>
  <c r="MF13" i="12"/>
  <c r="MF14" i="12"/>
  <c r="H288" i="13"/>
  <c r="H289" i="13"/>
  <c r="H290" i="13"/>
  <c r="H291" i="13"/>
  <c r="MF16" i="12"/>
  <c r="MG13" i="12"/>
  <c r="MG14" i="12"/>
  <c r="H284" i="13"/>
  <c r="H285" i="13"/>
  <c r="H286" i="13"/>
  <c r="H287" i="13"/>
  <c r="MH13" i="12"/>
  <c r="MH14" i="12"/>
  <c r="MG16" i="12"/>
  <c r="H275" i="13"/>
  <c r="H276" i="13"/>
  <c r="H277" i="13"/>
  <c r="H278" i="13"/>
  <c r="H279" i="13"/>
  <c r="H280" i="13"/>
  <c r="H281" i="13"/>
  <c r="H282" i="13"/>
  <c r="H283" i="13"/>
  <c r="MH16" i="12"/>
  <c r="MI13" i="12"/>
  <c r="MI14" i="12"/>
  <c r="H274" i="13"/>
  <c r="H273" i="13"/>
  <c r="H272" i="13"/>
  <c r="H271" i="13"/>
  <c r="H270" i="13"/>
  <c r="MI16" i="12"/>
  <c r="MJ13" i="12"/>
  <c r="MJ14" i="12"/>
  <c r="H265" i="13"/>
  <c r="H266" i="13"/>
  <c r="H267" i="13"/>
  <c r="H268" i="13"/>
  <c r="H269" i="13"/>
  <c r="MK13" i="12"/>
  <c r="MK14" i="12"/>
  <c r="MJ16" i="12"/>
  <c r="H264" i="13"/>
  <c r="H263" i="13"/>
  <c r="H262" i="13"/>
  <c r="H261" i="13"/>
  <c r="H260" i="13"/>
  <c r="H258" i="13"/>
  <c r="H259" i="13"/>
  <c r="H257" i="13"/>
  <c r="H256" i="13"/>
  <c r="MK16" i="12"/>
  <c r="ML13" i="12"/>
  <c r="ML14" i="12"/>
  <c r="H252" i="13"/>
  <c r="H253" i="13"/>
  <c r="H254" i="13"/>
  <c r="H255" i="13"/>
  <c r="H246" i="13"/>
  <c r="H247" i="13"/>
  <c r="H248" i="13"/>
  <c r="H249" i="13"/>
  <c r="H250" i="13"/>
  <c r="H251" i="13"/>
  <c r="H23" i="13"/>
  <c r="H24" i="13"/>
  <c r="H25" i="13"/>
  <c r="H26" i="13"/>
  <c r="H27" i="13"/>
  <c r="H28" i="13"/>
  <c r="H29" i="13"/>
  <c r="H30" i="13"/>
  <c r="H31" i="13"/>
  <c r="H32" i="13"/>
  <c r="H33" i="13"/>
  <c r="H34" i="13"/>
  <c r="H35" i="13"/>
  <c r="H36" i="13"/>
  <c r="H37" i="13"/>
  <c r="H38" i="13"/>
  <c r="H39" i="13"/>
  <c r="H40" i="13"/>
  <c r="H41" i="13"/>
  <c r="H42" i="13"/>
  <c r="H43" i="13"/>
  <c r="H44" i="13"/>
  <c r="H45" i="13"/>
  <c r="H46" i="13"/>
  <c r="H47" i="13"/>
  <c r="H48" i="13"/>
  <c r="H49" i="13"/>
  <c r="H50" i="13"/>
  <c r="H51" i="13"/>
  <c r="H52" i="13"/>
  <c r="H53" i="13"/>
  <c r="H54" i="13"/>
  <c r="H55" i="13"/>
  <c r="H56" i="13"/>
  <c r="H57" i="13"/>
  <c r="H58" i="13"/>
  <c r="H59" i="13"/>
  <c r="H60" i="13"/>
  <c r="H61" i="13"/>
  <c r="H62" i="13"/>
  <c r="H63" i="13"/>
  <c r="H64" i="13"/>
  <c r="H65" i="13"/>
  <c r="H66" i="13"/>
  <c r="H67" i="13"/>
  <c r="H68" i="13"/>
  <c r="H69" i="13"/>
  <c r="H70" i="13"/>
  <c r="H71" i="13"/>
  <c r="H72" i="13"/>
  <c r="H73" i="13"/>
  <c r="H74" i="13"/>
  <c r="H75" i="13"/>
  <c r="H76" i="13"/>
  <c r="H77" i="13"/>
  <c r="H78" i="13"/>
  <c r="H79" i="13"/>
  <c r="H80" i="13"/>
  <c r="H81" i="13"/>
  <c r="H82" i="13"/>
  <c r="H83" i="13"/>
  <c r="H84" i="13"/>
  <c r="H85" i="13"/>
  <c r="H86" i="13"/>
  <c r="H87" i="13"/>
  <c r="H88" i="13"/>
  <c r="H89" i="13"/>
  <c r="H90" i="13"/>
  <c r="H91" i="13"/>
  <c r="H92" i="13"/>
  <c r="H93" i="13"/>
  <c r="H94" i="13"/>
  <c r="H95" i="13"/>
  <c r="H96" i="13"/>
  <c r="H97" i="13"/>
  <c r="H98" i="13"/>
  <c r="H99" i="13"/>
  <c r="H100" i="13"/>
  <c r="H101" i="13"/>
  <c r="H102" i="13"/>
  <c r="H103" i="13"/>
  <c r="H104" i="13"/>
  <c r="H105" i="13"/>
  <c r="H106" i="13"/>
  <c r="H107" i="13"/>
  <c r="H108" i="13"/>
  <c r="H109" i="13"/>
  <c r="H110" i="13"/>
  <c r="H111" i="13"/>
  <c r="H112" i="13"/>
  <c r="H113" i="13"/>
  <c r="H114" i="13"/>
  <c r="H115" i="13"/>
  <c r="H116" i="13"/>
  <c r="H117" i="13"/>
  <c r="H118" i="13"/>
  <c r="H119" i="13"/>
  <c r="H120" i="13"/>
  <c r="H121" i="13"/>
  <c r="H122" i="13"/>
  <c r="H123" i="13"/>
  <c r="H124" i="13"/>
  <c r="H125" i="13"/>
  <c r="H126" i="13"/>
  <c r="H127" i="13"/>
  <c r="H128" i="13"/>
  <c r="H129" i="13"/>
  <c r="H130" i="13"/>
  <c r="H131" i="13"/>
  <c r="H132" i="13"/>
  <c r="H133" i="13"/>
  <c r="H134" i="13"/>
  <c r="H135" i="13"/>
  <c r="H136" i="13"/>
  <c r="H137" i="13"/>
  <c r="H138" i="13"/>
  <c r="H139" i="13"/>
  <c r="H140" i="13"/>
  <c r="H141" i="13"/>
  <c r="H142" i="13"/>
  <c r="H143" i="13"/>
  <c r="H144" i="13"/>
  <c r="H145" i="13"/>
  <c r="H146" i="13"/>
  <c r="H147" i="13"/>
  <c r="H148" i="13"/>
  <c r="H149" i="13"/>
  <c r="H150" i="13"/>
  <c r="H151" i="13"/>
  <c r="H152" i="13"/>
  <c r="H153" i="13"/>
  <c r="H154" i="13"/>
  <c r="H155" i="13"/>
  <c r="H156" i="13"/>
  <c r="H157" i="13"/>
  <c r="H158" i="13"/>
  <c r="H159" i="13"/>
  <c r="H160" i="13"/>
  <c r="H161" i="13"/>
  <c r="H162" i="13"/>
  <c r="H163" i="13"/>
  <c r="H164" i="13"/>
  <c r="H165" i="13"/>
  <c r="H166" i="13"/>
  <c r="H167" i="13"/>
  <c r="H168" i="13"/>
  <c r="H169" i="13"/>
  <c r="H170" i="13"/>
  <c r="H171" i="13"/>
  <c r="H172" i="13"/>
  <c r="H173" i="13"/>
  <c r="H174" i="13"/>
  <c r="H175" i="13"/>
  <c r="H176" i="13"/>
  <c r="H177" i="13"/>
  <c r="H178" i="13"/>
  <c r="H179" i="13"/>
  <c r="H180" i="13"/>
  <c r="H181" i="13"/>
  <c r="H182" i="13"/>
  <c r="H183" i="13"/>
  <c r="H184" i="13"/>
  <c r="H185" i="13"/>
  <c r="H186" i="13"/>
  <c r="H187" i="13"/>
  <c r="H188" i="13"/>
  <c r="H189" i="13"/>
  <c r="H190" i="13"/>
  <c r="H191" i="13"/>
  <c r="H192" i="13"/>
  <c r="H193" i="13"/>
  <c r="H194" i="13"/>
  <c r="H195" i="13"/>
  <c r="H196" i="13"/>
  <c r="H197" i="13"/>
  <c r="H198" i="13"/>
  <c r="H199" i="13"/>
  <c r="H200" i="13"/>
  <c r="H201" i="13"/>
  <c r="H202" i="13"/>
  <c r="H203" i="13"/>
  <c r="H204" i="13"/>
  <c r="H205" i="13"/>
  <c r="H206" i="13"/>
  <c r="H207" i="13"/>
  <c r="H208" i="13"/>
  <c r="H209" i="13"/>
  <c r="H210" i="13"/>
  <c r="H211" i="13"/>
  <c r="H212" i="13"/>
  <c r="H213" i="13"/>
  <c r="H214" i="13"/>
  <c r="H215" i="13"/>
  <c r="H216" i="13"/>
  <c r="H217" i="13"/>
  <c r="H218" i="13"/>
  <c r="H219" i="13"/>
  <c r="H220" i="13"/>
  <c r="H221" i="13"/>
  <c r="H222" i="13"/>
  <c r="H223" i="13"/>
  <c r="H224" i="13"/>
  <c r="H225" i="13"/>
  <c r="H226" i="13"/>
  <c r="H227" i="13"/>
  <c r="H228" i="13"/>
  <c r="H229" i="13"/>
  <c r="H230" i="13"/>
  <c r="H231" i="13"/>
  <c r="H232" i="13"/>
  <c r="H233" i="13"/>
  <c r="H234" i="13"/>
  <c r="H235" i="13"/>
  <c r="H236" i="13"/>
  <c r="H237" i="13"/>
  <c r="H238" i="13"/>
  <c r="H239" i="13"/>
  <c r="H240" i="13"/>
  <c r="H241" i="13"/>
  <c r="H242" i="13"/>
  <c r="H243" i="13"/>
  <c r="H244" i="13"/>
  <c r="H245" i="13"/>
  <c r="H22" i="13"/>
  <c r="H21" i="13"/>
  <c r="H20" i="13"/>
  <c r="H19" i="13"/>
  <c r="H18" i="13"/>
  <c r="H17" i="13"/>
  <c r="MM13" i="12"/>
  <c r="MM14" i="12"/>
  <c r="ML16" i="12"/>
  <c r="B5" i="13"/>
  <c r="B6" i="13"/>
  <c r="B7" i="13"/>
  <c r="B8" i="13"/>
  <c r="B9" i="13"/>
  <c r="B10" i="13"/>
  <c r="B11" i="13"/>
  <c r="B12" i="13"/>
  <c r="B13" i="13"/>
  <c r="B14" i="13"/>
  <c r="B15" i="13"/>
  <c r="B16" i="13"/>
  <c r="B17" i="13"/>
  <c r="B18" i="13"/>
  <c r="B19" i="13"/>
  <c r="B20" i="13"/>
  <c r="B21" i="13"/>
  <c r="B22" i="13"/>
  <c r="MM16" i="12"/>
  <c r="MN13" i="12"/>
  <c r="MN14" i="12"/>
  <c r="B23" i="13"/>
  <c r="B24" i="13"/>
  <c r="B25" i="13"/>
  <c r="B26" i="13"/>
  <c r="B27" i="13"/>
  <c r="B28" i="13"/>
  <c r="B29" i="13"/>
  <c r="B30" i="13"/>
  <c r="B31" i="13"/>
  <c r="B32" i="13"/>
  <c r="B33" i="13"/>
  <c r="B34" i="13"/>
  <c r="B35" i="13"/>
  <c r="B36" i="13"/>
  <c r="B37" i="13"/>
  <c r="B38" i="13"/>
  <c r="B39" i="13"/>
  <c r="B40" i="13"/>
  <c r="B41" i="13"/>
  <c r="B42" i="13"/>
  <c r="B43" i="13"/>
  <c r="B44" i="13"/>
  <c r="B45" i="13"/>
  <c r="B46" i="13"/>
  <c r="B47" i="13"/>
  <c r="B48" i="13"/>
  <c r="B49" i="13"/>
  <c r="B50" i="13"/>
  <c r="B51" i="13"/>
  <c r="B52" i="13"/>
  <c r="B53" i="13"/>
  <c r="B54" i="13"/>
  <c r="B55" i="13"/>
  <c r="B56" i="13"/>
  <c r="B57" i="13"/>
  <c r="B58" i="13"/>
  <c r="B59" i="13"/>
  <c r="B60" i="13"/>
  <c r="B61" i="13"/>
  <c r="B62" i="13"/>
  <c r="B63" i="13"/>
  <c r="B64" i="13"/>
  <c r="B65" i="13"/>
  <c r="B66" i="13"/>
  <c r="B67" i="13"/>
  <c r="B68" i="13"/>
  <c r="B69" i="13"/>
  <c r="B70" i="13"/>
  <c r="B71" i="13"/>
  <c r="B72" i="13"/>
  <c r="B73" i="13"/>
  <c r="B74" i="13"/>
  <c r="B75" i="13"/>
  <c r="B76" i="13"/>
  <c r="B77" i="13"/>
  <c r="B78" i="13"/>
  <c r="B79" i="13"/>
  <c r="B80" i="13"/>
  <c r="B81" i="13"/>
  <c r="B82" i="13"/>
  <c r="B83" i="13"/>
  <c r="B84" i="13"/>
  <c r="B85" i="13"/>
  <c r="B86" i="13"/>
  <c r="B87" i="13"/>
  <c r="B88" i="13"/>
  <c r="B89" i="13"/>
  <c r="B90" i="13"/>
  <c r="B91" i="13"/>
  <c r="B92" i="13"/>
  <c r="B93" i="13"/>
  <c r="B94" i="13"/>
  <c r="B95" i="13"/>
  <c r="B96" i="13"/>
  <c r="B97" i="13"/>
  <c r="B98" i="13"/>
  <c r="B99" i="13"/>
  <c r="B100" i="13"/>
  <c r="B101" i="13"/>
  <c r="B102" i="13"/>
  <c r="B103" i="13"/>
  <c r="B104" i="13"/>
  <c r="B105" i="13"/>
  <c r="B106" i="13"/>
  <c r="B107" i="13"/>
  <c r="B108" i="13"/>
  <c r="B109" i="13"/>
  <c r="B110" i="13"/>
  <c r="B111" i="13"/>
  <c r="B112" i="13"/>
  <c r="B113" i="13"/>
  <c r="B114" i="13"/>
  <c r="B115" i="13"/>
  <c r="B116" i="13"/>
  <c r="B117" i="13"/>
  <c r="B118" i="13"/>
  <c r="B119" i="13"/>
  <c r="B120" i="13"/>
  <c r="B121" i="13"/>
  <c r="B122" i="13"/>
  <c r="B123" i="13"/>
  <c r="B124" i="13"/>
  <c r="B125" i="13"/>
  <c r="B126" i="13"/>
  <c r="B127" i="13"/>
  <c r="B128" i="13"/>
  <c r="B129" i="13"/>
  <c r="B130" i="13"/>
  <c r="B131" i="13"/>
  <c r="B132" i="13"/>
  <c r="B133" i="13"/>
  <c r="B134" i="13"/>
  <c r="B135" i="13"/>
  <c r="B136" i="13"/>
  <c r="B137" i="13"/>
  <c r="B138" i="13"/>
  <c r="B139" i="13"/>
  <c r="B140" i="13"/>
  <c r="B141" i="13"/>
  <c r="B142" i="13"/>
  <c r="B143" i="13"/>
  <c r="B144" i="13"/>
  <c r="B145" i="13"/>
  <c r="B146" i="13"/>
  <c r="B147" i="13"/>
  <c r="B148" i="13"/>
  <c r="B149" i="13"/>
  <c r="B150" i="13"/>
  <c r="B151" i="13"/>
  <c r="B152" i="13"/>
  <c r="B153" i="13"/>
  <c r="B154" i="13"/>
  <c r="B155" i="13"/>
  <c r="B156" i="13"/>
  <c r="B157" i="13"/>
  <c r="B158" i="13"/>
  <c r="B159" i="13"/>
  <c r="B160" i="13"/>
  <c r="B161" i="13"/>
  <c r="B162" i="13"/>
  <c r="B163" i="13"/>
  <c r="B164" i="13"/>
  <c r="B165" i="13"/>
  <c r="B166" i="13"/>
  <c r="B167" i="13"/>
  <c r="B168" i="13"/>
  <c r="B169" i="13"/>
  <c r="B170" i="13"/>
  <c r="B171" i="13"/>
  <c r="B172" i="13"/>
  <c r="B173" i="13"/>
  <c r="B174" i="13"/>
  <c r="B175" i="13"/>
  <c r="B176" i="13"/>
  <c r="B177" i="13"/>
  <c r="B178" i="13"/>
  <c r="B179" i="13"/>
  <c r="B180" i="13"/>
  <c r="B181" i="13"/>
  <c r="B182" i="13"/>
  <c r="B183" i="13"/>
  <c r="B184" i="13"/>
  <c r="B185" i="13"/>
  <c r="B186" i="13"/>
  <c r="B187" i="13"/>
  <c r="B188" i="13"/>
  <c r="B189" i="13"/>
  <c r="B190" i="13"/>
  <c r="B191" i="13"/>
  <c r="B192" i="13"/>
  <c r="B193" i="13"/>
  <c r="B194" i="13"/>
  <c r="B195" i="13"/>
  <c r="B196" i="13"/>
  <c r="B197" i="13"/>
  <c r="B198" i="13"/>
  <c r="B199" i="13"/>
  <c r="B200" i="13"/>
  <c r="B201" i="13"/>
  <c r="B202" i="13"/>
  <c r="B203" i="13"/>
  <c r="B204" i="13"/>
  <c r="B205" i="13"/>
  <c r="B206" i="13"/>
  <c r="B207" i="13"/>
  <c r="B208" i="13"/>
  <c r="B209" i="13"/>
  <c r="B210" i="13"/>
  <c r="B211" i="13"/>
  <c r="B212" i="13"/>
  <c r="B213" i="13"/>
  <c r="B214" i="13"/>
  <c r="B215" i="13"/>
  <c r="B216" i="13"/>
  <c r="B217" i="13"/>
  <c r="B218" i="13"/>
  <c r="B219" i="13"/>
  <c r="B220" i="13"/>
  <c r="B221" i="13"/>
  <c r="B222" i="13"/>
  <c r="B223" i="13"/>
  <c r="B224" i="13"/>
  <c r="B225" i="13"/>
  <c r="B226" i="13"/>
  <c r="B227" i="13"/>
  <c r="B228" i="13"/>
  <c r="B229" i="13"/>
  <c r="B230" i="13"/>
  <c r="B231" i="13"/>
  <c r="B232" i="13"/>
  <c r="B233" i="13"/>
  <c r="B234" i="13"/>
  <c r="B235" i="13"/>
  <c r="B236" i="13"/>
  <c r="B237" i="13"/>
  <c r="B238" i="13"/>
  <c r="B239" i="13"/>
  <c r="B240" i="13"/>
  <c r="B241" i="13"/>
  <c r="B242" i="13"/>
  <c r="B243" i="13"/>
  <c r="B244" i="13"/>
  <c r="B245" i="13"/>
  <c r="B246" i="13"/>
  <c r="B247" i="13"/>
  <c r="B248" i="13"/>
  <c r="B249" i="13"/>
  <c r="B250" i="13"/>
  <c r="B251" i="13"/>
  <c r="B252" i="13"/>
  <c r="B253" i="13"/>
  <c r="B254" i="13"/>
  <c r="B255" i="13"/>
  <c r="B256" i="13"/>
  <c r="B257" i="13"/>
  <c r="B258" i="13"/>
  <c r="B259" i="13"/>
  <c r="B260" i="13"/>
  <c r="B261" i="13"/>
  <c r="B262" i="13"/>
  <c r="B263" i="13"/>
  <c r="B264" i="13"/>
  <c r="B265" i="13"/>
  <c r="B266" i="13"/>
  <c r="B267" i="13"/>
  <c r="B268" i="13"/>
  <c r="B269" i="13"/>
  <c r="B270" i="13"/>
  <c r="B271" i="13"/>
  <c r="B272" i="13"/>
  <c r="B273" i="13"/>
  <c r="B274" i="13"/>
  <c r="B275" i="13"/>
  <c r="B276" i="13"/>
  <c r="B277" i="13"/>
  <c r="B278" i="13"/>
  <c r="B279" i="13"/>
  <c r="B280" i="13"/>
  <c r="B281" i="13"/>
  <c r="B282" i="13"/>
  <c r="B283" i="13"/>
  <c r="B284" i="13"/>
  <c r="B285" i="13"/>
  <c r="B286" i="13"/>
  <c r="B287" i="13"/>
  <c r="B288" i="13"/>
  <c r="B289" i="13"/>
  <c r="B290" i="13"/>
  <c r="B291" i="13"/>
  <c r="B292" i="13"/>
  <c r="B293" i="13"/>
  <c r="B294" i="13"/>
  <c r="B295" i="13"/>
  <c r="B296" i="13"/>
  <c r="B297" i="13"/>
  <c r="B298" i="13"/>
  <c r="B299" i="13"/>
  <c r="B300" i="13"/>
  <c r="B301" i="13"/>
  <c r="B302" i="13"/>
  <c r="B303" i="13"/>
  <c r="B304" i="13"/>
  <c r="B305" i="13"/>
  <c r="B306" i="13"/>
  <c r="B307" i="13"/>
  <c r="B308" i="13"/>
  <c r="B309" i="13"/>
  <c r="B310" i="13"/>
  <c r="B311" i="13"/>
  <c r="B312" i="13"/>
  <c r="B313" i="13"/>
  <c r="B314" i="13"/>
  <c r="B315" i="13"/>
  <c r="B316" i="13"/>
  <c r="B317" i="13"/>
  <c r="B318" i="13"/>
  <c r="B319" i="13"/>
  <c r="B320" i="13"/>
  <c r="B321" i="13"/>
  <c r="B322" i="13"/>
  <c r="B323" i="13"/>
  <c r="B324" i="13"/>
  <c r="B325" i="13"/>
  <c r="B326" i="13"/>
  <c r="B327" i="13"/>
  <c r="B328" i="13"/>
  <c r="B329" i="13"/>
  <c r="B330" i="13"/>
  <c r="B331" i="13"/>
  <c r="B332" i="13"/>
  <c r="B333" i="13"/>
  <c r="B334" i="13"/>
  <c r="B335" i="13"/>
  <c r="B336" i="13"/>
  <c r="B337" i="13"/>
  <c r="B338" i="13"/>
  <c r="B339" i="13"/>
  <c r="B340" i="13"/>
  <c r="B341" i="13"/>
  <c r="B342" i="13"/>
  <c r="B343" i="13"/>
  <c r="B344" i="13"/>
  <c r="B345" i="13"/>
  <c r="B346" i="13"/>
  <c r="B347" i="13"/>
  <c r="B348" i="13"/>
  <c r="B349" i="13"/>
  <c r="B350" i="13"/>
  <c r="B351" i="13"/>
  <c r="B352" i="13"/>
  <c r="B353" i="13"/>
  <c r="B354" i="13"/>
  <c r="B355" i="13"/>
  <c r="B356" i="13"/>
  <c r="B357" i="13"/>
  <c r="B358" i="13"/>
  <c r="B359" i="13"/>
  <c r="B360" i="13"/>
  <c r="B361" i="13"/>
  <c r="B362" i="13"/>
  <c r="B363" i="13"/>
  <c r="B364" i="13"/>
  <c r="B365" i="13"/>
  <c r="B366" i="13"/>
  <c r="B367" i="13"/>
  <c r="B368" i="13"/>
  <c r="B369" i="13"/>
  <c r="B370" i="13"/>
  <c r="B371" i="13"/>
  <c r="B372" i="13"/>
  <c r="B373" i="13"/>
  <c r="B374" i="13"/>
  <c r="B375" i="13"/>
  <c r="B376" i="13"/>
  <c r="B377" i="13"/>
  <c r="B378" i="13"/>
  <c r="B379" i="13"/>
  <c r="B380" i="13"/>
  <c r="B381" i="13"/>
  <c r="B382" i="13"/>
  <c r="B383" i="13"/>
  <c r="B384" i="13"/>
  <c r="B385" i="13"/>
  <c r="B386" i="13"/>
  <c r="B387" i="13"/>
  <c r="B388" i="13"/>
  <c r="B389" i="13"/>
  <c r="B390" i="13"/>
  <c r="B391" i="13"/>
  <c r="B392" i="13"/>
  <c r="B393" i="13"/>
  <c r="B394" i="13"/>
  <c r="B395" i="13"/>
  <c r="B396" i="13"/>
  <c r="B397" i="13"/>
  <c r="B398" i="13"/>
  <c r="B399" i="13"/>
  <c r="B400" i="13"/>
  <c r="B401" i="13"/>
  <c r="B402" i="13"/>
  <c r="B403" i="13"/>
  <c r="B404" i="13"/>
  <c r="B405" i="13"/>
  <c r="B406" i="13"/>
  <c r="B407" i="13"/>
  <c r="B408" i="13"/>
  <c r="B409" i="13"/>
  <c r="B410" i="13"/>
  <c r="B411" i="13"/>
  <c r="B412" i="13"/>
  <c r="B413" i="13"/>
  <c r="B414" i="13"/>
  <c r="B415" i="13"/>
  <c r="B416" i="13"/>
  <c r="B417" i="13"/>
  <c r="B418" i="13"/>
  <c r="B419" i="13"/>
  <c r="B420" i="13"/>
  <c r="B421" i="13"/>
  <c r="B422" i="13"/>
  <c r="B423" i="13"/>
  <c r="B424" i="13"/>
  <c r="B425" i="13"/>
  <c r="B426" i="13"/>
  <c r="B427" i="13"/>
  <c r="B428" i="13"/>
  <c r="B429" i="13"/>
  <c r="B430" i="13"/>
  <c r="B431" i="13"/>
  <c r="B432" i="13"/>
  <c r="B433" i="13"/>
  <c r="B434" i="13"/>
  <c r="B435" i="13"/>
  <c r="B436" i="13"/>
  <c r="B437" i="13"/>
  <c r="B438" i="13"/>
  <c r="B439" i="13"/>
  <c r="B440" i="13"/>
  <c r="B441" i="13"/>
  <c r="B442" i="13"/>
  <c r="B443" i="13"/>
  <c r="B444" i="13"/>
  <c r="B445" i="13"/>
  <c r="B446" i="13"/>
  <c r="B447" i="13"/>
  <c r="B448" i="13"/>
  <c r="B449" i="13"/>
  <c r="B450" i="13"/>
  <c r="B451" i="13"/>
  <c r="B452" i="13"/>
  <c r="B453" i="13"/>
  <c r="B454" i="13"/>
  <c r="B455" i="13"/>
  <c r="B456" i="13"/>
  <c r="B457" i="13"/>
  <c r="B458" i="13"/>
  <c r="B459" i="13"/>
  <c r="B460" i="13"/>
  <c r="B461" i="13"/>
  <c r="B462" i="13"/>
  <c r="B463" i="13"/>
  <c r="B464" i="13"/>
  <c r="B465" i="13"/>
  <c r="B466" i="13"/>
  <c r="B467" i="13"/>
  <c r="B468" i="13"/>
  <c r="B469" i="13"/>
  <c r="B470" i="13"/>
  <c r="B471" i="13"/>
  <c r="B472" i="13"/>
  <c r="B473" i="13"/>
  <c r="B474" i="13"/>
  <c r="B475" i="13"/>
  <c r="B476" i="13"/>
  <c r="B477" i="13"/>
  <c r="B478" i="13"/>
  <c r="B479" i="13"/>
  <c r="B480" i="13"/>
  <c r="B481" i="13"/>
  <c r="B482" i="13"/>
  <c r="B483" i="13"/>
  <c r="B484" i="13"/>
  <c r="B485" i="13"/>
  <c r="B486" i="13"/>
  <c r="B487" i="13"/>
  <c r="B488" i="13"/>
  <c r="B489" i="13"/>
  <c r="B490" i="13"/>
  <c r="B491" i="13"/>
  <c r="B492" i="13"/>
  <c r="B493" i="13"/>
  <c r="B494" i="13"/>
  <c r="B495" i="13"/>
  <c r="B496" i="13"/>
  <c r="B497" i="13"/>
  <c r="B498" i="13"/>
  <c r="B499" i="13"/>
  <c r="B500" i="13"/>
  <c r="B501" i="13"/>
  <c r="B502" i="13"/>
  <c r="B503" i="13"/>
  <c r="B504" i="13"/>
  <c r="B505" i="13"/>
  <c r="B506" i="13"/>
  <c r="B507" i="13"/>
  <c r="B508" i="13"/>
  <c r="B509" i="13"/>
  <c r="B510" i="13"/>
  <c r="B511" i="13"/>
  <c r="B512" i="13"/>
  <c r="B513" i="13"/>
  <c r="B514" i="13"/>
  <c r="B515" i="13"/>
  <c r="B516" i="13"/>
  <c r="B517" i="13"/>
  <c r="B518" i="13"/>
  <c r="B519" i="13"/>
  <c r="B520" i="13"/>
  <c r="MN16" i="12"/>
  <c r="MO13" i="12"/>
  <c r="MO14" i="12"/>
  <c r="MP13" i="12"/>
  <c r="MP14" i="12"/>
  <c r="MO16" i="12"/>
  <c r="D35" i="16"/>
  <c r="C18" i="16"/>
  <c r="MQ13" i="12"/>
  <c r="MQ14" i="12"/>
  <c r="MP16" i="12"/>
  <c r="F18" i="16"/>
  <c r="I7" i="16"/>
  <c r="I8" i="16"/>
  <c r="I9" i="16"/>
  <c r="I10" i="16"/>
  <c r="I11" i="16"/>
  <c r="I12" i="16"/>
  <c r="I13" i="16"/>
  <c r="I14" i="16"/>
  <c r="I15" i="16"/>
  <c r="I16" i="16"/>
  <c r="I17" i="16"/>
  <c r="I6" i="16"/>
  <c r="L18" i="16"/>
  <c r="N20" i="16"/>
  <c r="MQ16" i="12"/>
  <c r="MR13" i="12"/>
  <c r="MR14" i="12"/>
  <c r="I18" i="16"/>
  <c r="H20" i="16"/>
  <c r="MR16" i="12"/>
  <c r="MS13" i="12"/>
  <c r="MS14" i="12"/>
  <c r="MS16" i="12"/>
  <c r="MT13" i="12"/>
  <c r="MT14" i="12"/>
  <c r="MT16" i="12"/>
  <c r="MU13" i="12"/>
  <c r="MU14" i="12"/>
  <c r="MV13" i="12"/>
  <c r="MV14" i="12"/>
  <c r="MU16" i="12"/>
  <c r="MV16" i="12"/>
  <c r="MW13" i="12"/>
  <c r="MW14" i="12"/>
  <c r="I16" i="14"/>
  <c r="H16" i="14"/>
  <c r="MW16" i="12"/>
  <c r="MX13" i="12"/>
  <c r="MX14" i="12"/>
  <c r="E17" i="14"/>
  <c r="MY13" i="12"/>
  <c r="MY14" i="12"/>
  <c r="MX16" i="12"/>
  <c r="H2" i="15"/>
  <c r="MY16" i="12"/>
  <c r="MZ13" i="12"/>
  <c r="MZ14" i="12"/>
  <c r="I2" i="15"/>
  <c r="MZ16" i="12"/>
  <c r="NA13" i="12"/>
  <c r="NA14" i="12"/>
  <c r="J2" i="15"/>
  <c r="NB13" i="12"/>
  <c r="NB14" i="12"/>
  <c r="NA16" i="12"/>
  <c r="K2" i="15"/>
  <c r="NB16" i="12"/>
  <c r="NC13" i="12"/>
  <c r="NC14" i="12"/>
  <c r="L2" i="15"/>
  <c r="NC16" i="12"/>
  <c r="ND13" i="12"/>
  <c r="ND14" i="12"/>
  <c r="M2" i="15"/>
  <c r="NE13" i="12"/>
  <c r="NE14" i="12"/>
  <c r="ND16" i="12"/>
  <c r="N2" i="15"/>
  <c r="NF13" i="12"/>
  <c r="NF14" i="12"/>
  <c r="NE16" i="12"/>
  <c r="O2" i="15"/>
  <c r="NG13" i="12"/>
  <c r="NG14" i="12"/>
  <c r="NF16" i="12"/>
  <c r="P2" i="15"/>
  <c r="NH13" i="12"/>
  <c r="NH14" i="12"/>
  <c r="NG16" i="12"/>
  <c r="Q2" i="15"/>
  <c r="NH16" i="12"/>
  <c r="NI13" i="12"/>
  <c r="NI14" i="12"/>
  <c r="R2" i="15"/>
  <c r="NJ13" i="12"/>
  <c r="NJ14" i="12"/>
  <c r="NI16" i="12"/>
  <c r="S2" i="15"/>
  <c r="NJ16" i="12"/>
  <c r="NK13" i="12"/>
  <c r="NK14" i="12"/>
  <c r="T2" i="15"/>
  <c r="NK16" i="12"/>
  <c r="NL13" i="12"/>
  <c r="NL14" i="12"/>
  <c r="U2" i="15"/>
  <c r="NM13" i="12"/>
  <c r="NM14" i="12"/>
  <c r="NL16" i="12"/>
  <c r="V2" i="15"/>
  <c r="NM16" i="12"/>
  <c r="NN13" i="12"/>
  <c r="NN14" i="12"/>
  <c r="NN16" i="12"/>
  <c r="NO13" i="12"/>
  <c r="NO14" i="12"/>
  <c r="NP13" i="12"/>
  <c r="NP14" i="12"/>
  <c r="NO16" i="12"/>
  <c r="NQ13" i="12"/>
  <c r="NQ14" i="12"/>
  <c r="NP16" i="12"/>
  <c r="NQ16" i="12"/>
  <c r="NR13" i="12"/>
  <c r="NR14" i="12"/>
  <c r="NS13" i="12"/>
  <c r="NS14" i="12"/>
  <c r="NR16" i="12"/>
  <c r="NT13" i="12"/>
  <c r="NT14" i="12"/>
  <c r="NS16" i="12"/>
  <c r="NT16" i="12"/>
  <c r="NU13" i="12"/>
  <c r="NU14" i="12"/>
  <c r="NU16" i="12"/>
  <c r="NV13" i="12"/>
  <c r="NV14" i="12"/>
  <c r="NW13" i="12"/>
  <c r="NW14" i="12"/>
  <c r="NV16" i="12"/>
  <c r="NW16" i="12"/>
  <c r="NX13" i="12"/>
  <c r="NX14" i="12"/>
  <c r="NY13" i="12"/>
  <c r="NY14" i="12"/>
  <c r="NX16" i="12"/>
  <c r="NZ13" i="12"/>
  <c r="NZ14" i="12"/>
  <c r="NY16" i="12"/>
  <c r="NZ16" i="12"/>
  <c r="OA13" i="12"/>
  <c r="OA14" i="12"/>
  <c r="OA16" i="12"/>
  <c r="OB13" i="12"/>
  <c r="OB14" i="12"/>
  <c r="OB16" i="12"/>
  <c r="OC13" i="12"/>
  <c r="OC14" i="12"/>
  <c r="OC16" i="12"/>
  <c r="OD13" i="12"/>
  <c r="OD14" i="12"/>
  <c r="OD16" i="12"/>
  <c r="OE13" i="12"/>
  <c r="OE14" i="12"/>
  <c r="OE16" i="12"/>
  <c r="OF13" i="12"/>
  <c r="OF14" i="12"/>
  <c r="OF16" i="12"/>
  <c r="OG13" i="12"/>
  <c r="OG14" i="12"/>
  <c r="OG16" i="12"/>
  <c r="OH13" i="12"/>
  <c r="OH14" i="12"/>
  <c r="OH16" i="12"/>
  <c r="OI13" i="12"/>
  <c r="OI14" i="12"/>
  <c r="OI16" i="12"/>
  <c r="OJ13" i="12"/>
  <c r="OJ14" i="12"/>
  <c r="OK13" i="12"/>
  <c r="OK14" i="12"/>
  <c r="OJ16" i="12"/>
  <c r="OK16" i="12"/>
  <c r="OL13" i="12"/>
  <c r="OL14" i="12"/>
  <c r="OL16" i="12"/>
  <c r="OM13" i="12"/>
  <c r="OM14" i="12"/>
  <c r="OM16" i="12"/>
  <c r="ON13" i="12"/>
  <c r="ON14" i="12"/>
  <c r="ON16" i="12"/>
  <c r="OO13" i="12"/>
  <c r="OO14" i="12"/>
  <c r="OO16" i="12"/>
  <c r="OP13" i="12"/>
  <c r="OP14" i="12"/>
  <c r="OP16" i="12"/>
  <c r="OQ13" i="12"/>
  <c r="OQ14" i="12"/>
  <c r="OQ16" i="12"/>
  <c r="OR13" i="12"/>
  <c r="OR14" i="12"/>
  <c r="OR16" i="12"/>
  <c r="OS13" i="12"/>
  <c r="OS14" i="12"/>
  <c r="OT13" i="12"/>
  <c r="OT14" i="12"/>
  <c r="OS16" i="12"/>
  <c r="OT16" i="12"/>
  <c r="OU13" i="12"/>
  <c r="OU14" i="12"/>
  <c r="OU16" i="12"/>
  <c r="OV13" i="12"/>
  <c r="OV14" i="12"/>
  <c r="OW13" i="12"/>
  <c r="OW14" i="12"/>
  <c r="OV16" i="12"/>
  <c r="OW16" i="12"/>
  <c r="OX13" i="12"/>
  <c r="OX14" i="12"/>
  <c r="OX16" i="12"/>
  <c r="OY13" i="12"/>
  <c r="OY14" i="12"/>
  <c r="OY16" i="12"/>
  <c r="OZ13" i="12"/>
  <c r="OZ14" i="12"/>
  <c r="OZ16" i="12"/>
  <c r="PA13" i="12"/>
  <c r="PA14" i="12"/>
  <c r="PA16" i="12"/>
  <c r="PB13" i="12"/>
  <c r="PB14" i="12"/>
  <c r="PB16" i="12"/>
  <c r="PC13" i="12"/>
  <c r="PC14" i="12"/>
  <c r="PD13" i="12"/>
  <c r="PD14" i="12"/>
  <c r="PC16" i="12"/>
  <c r="PD16" i="12"/>
  <c r="PE13" i="12"/>
  <c r="PE14" i="12"/>
  <c r="PE16" i="12"/>
  <c r="PF13" i="12"/>
  <c r="PF14" i="12"/>
  <c r="PF16" i="12"/>
  <c r="PG13" i="12"/>
  <c r="PG14" i="12"/>
  <c r="PG16" i="12"/>
  <c r="PH13" i="12"/>
  <c r="PH14" i="12"/>
  <c r="PH16" i="12"/>
  <c r="PI13" i="12"/>
  <c r="PI14" i="12"/>
  <c r="PI16" i="12"/>
  <c r="PJ13" i="12"/>
  <c r="PJ14" i="12"/>
  <c r="PJ16" i="12"/>
  <c r="PK13" i="12"/>
  <c r="PK14" i="12"/>
  <c r="PK16" i="12"/>
  <c r="PL13" i="12"/>
  <c r="PL14" i="12"/>
  <c r="PL16" i="12"/>
  <c r="PM13" i="12"/>
  <c r="PM14" i="12"/>
  <c r="PM16" i="12"/>
  <c r="PN13" i="12"/>
  <c r="PN14" i="12"/>
  <c r="PN16" i="12"/>
  <c r="PO13" i="12"/>
  <c r="PO14" i="12"/>
  <c r="PO16" i="12"/>
  <c r="PP13" i="12"/>
  <c r="PP14" i="12"/>
  <c r="PP16" i="12"/>
  <c r="PQ13" i="12"/>
  <c r="PQ14" i="12"/>
  <c r="PQ16" i="12"/>
  <c r="PR13" i="12"/>
  <c r="PR14" i="12"/>
  <c r="PR16" i="12"/>
  <c r="PS13" i="12"/>
  <c r="PS14" i="12"/>
  <c r="PS16" i="12"/>
  <c r="PT13" i="12"/>
  <c r="PT14" i="12"/>
  <c r="PT16" i="12"/>
  <c r="PU13" i="12"/>
  <c r="PU14" i="12"/>
  <c r="PU16" i="12"/>
  <c r="PV13" i="12"/>
  <c r="PV14" i="12"/>
  <c r="PV16" i="12"/>
  <c r="PW13" i="12"/>
  <c r="PW14" i="12"/>
  <c r="PW16" i="12"/>
  <c r="PX13" i="12"/>
  <c r="PX14" i="12"/>
  <c r="PX16" i="12"/>
  <c r="PY13" i="12"/>
  <c r="PY14" i="12"/>
  <c r="PY16" i="12"/>
  <c r="PZ13" i="12"/>
  <c r="PZ14" i="12"/>
  <c r="PZ16" i="12"/>
  <c r="QA13" i="12"/>
  <c r="T3" i="12"/>
  <c r="QA14" i="12"/>
  <c r="QA16" i="12"/>
  <c r="QB13" i="12"/>
  <c r="QB14" i="12"/>
  <c r="QB16" i="12"/>
  <c r="QC13" i="12"/>
  <c r="QC14" i="12"/>
  <c r="QC16" i="12"/>
  <c r="QD13" i="12"/>
  <c r="QD14" i="12"/>
  <c r="QE13" i="12"/>
  <c r="QE14" i="12"/>
  <c r="QD16" i="12"/>
  <c r="QF13" i="12"/>
  <c r="QF14" i="12"/>
  <c r="QE16" i="12"/>
  <c r="QG13" i="12"/>
  <c r="QG14" i="12"/>
  <c r="QF16" i="12"/>
  <c r="QH13" i="12"/>
  <c r="QH14" i="12"/>
  <c r="QG16" i="12"/>
  <c r="QI13" i="12"/>
  <c r="QI14" i="12"/>
  <c r="QH16" i="12"/>
  <c r="QJ13" i="12"/>
  <c r="QJ14" i="12"/>
  <c r="QI16" i="12"/>
  <c r="QK13" i="12"/>
  <c r="QK14" i="12"/>
  <c r="QJ16" i="12"/>
  <c r="QL13" i="12"/>
  <c r="QL14" i="12"/>
  <c r="QK16" i="12"/>
  <c r="QM13" i="12"/>
  <c r="QM14" i="12"/>
  <c r="QL16" i="12"/>
  <c r="QN13" i="12"/>
  <c r="QN14" i="12"/>
  <c r="QM16" i="12"/>
  <c r="QO13" i="12"/>
  <c r="QO14" i="12"/>
  <c r="QN16" i="12"/>
  <c r="QP13" i="12"/>
  <c r="QP14" i="12"/>
  <c r="QO16" i="12"/>
  <c r="QQ13" i="12"/>
  <c r="QQ14" i="12"/>
  <c r="QP16" i="12"/>
  <c r="QR13" i="12"/>
  <c r="QR14" i="12"/>
  <c r="QQ16" i="12"/>
  <c r="QR16" i="12"/>
  <c r="QS13" i="12"/>
  <c r="QS14" i="12"/>
  <c r="QS16" i="12"/>
  <c r="QT13" i="12"/>
  <c r="QT14" i="12"/>
  <c r="QT16" i="12"/>
  <c r="QU13" i="12"/>
  <c r="QU14" i="12"/>
  <c r="QU16" i="12"/>
  <c r="QV13" i="12"/>
  <c r="QV14" i="12"/>
  <c r="QV16" i="12"/>
  <c r="QW13" i="12"/>
  <c r="QW14" i="12"/>
  <c r="QW16" i="12"/>
  <c r="QX13" i="12"/>
  <c r="QX14" i="12"/>
  <c r="QX16" i="12"/>
  <c r="QY13" i="12"/>
  <c r="QY14" i="12"/>
  <c r="QY16" i="12"/>
  <c r="QZ13" i="12"/>
  <c r="QZ14" i="12"/>
  <c r="QZ16" i="12"/>
  <c r="RA13" i="12"/>
  <c r="RA14" i="12"/>
  <c r="RA16" i="12"/>
  <c r="RB13" i="12"/>
  <c r="RB14" i="12"/>
  <c r="RB16" i="12"/>
  <c r="RC13" i="12"/>
  <c r="RC14" i="12"/>
  <c r="RC16" i="12"/>
  <c r="RD13" i="12"/>
  <c r="RD14" i="12"/>
  <c r="RD16" i="12"/>
  <c r="RE13" i="12"/>
  <c r="RE14" i="12"/>
  <c r="RE16" i="12"/>
  <c r="RF13" i="12"/>
  <c r="RF14" i="12"/>
  <c r="RF16" i="12"/>
  <c r="RG13" i="12"/>
  <c r="RG14" i="12"/>
  <c r="RG16" i="12"/>
  <c r="RH13" i="12"/>
  <c r="RH14" i="12"/>
  <c r="RH16" i="12"/>
  <c r="RI13" i="12"/>
  <c r="RI14" i="12"/>
  <c r="RI16" i="12"/>
  <c r="RJ13" i="12"/>
  <c r="RJ14" i="12"/>
  <c r="RJ16" i="12"/>
  <c r="RK13" i="12"/>
  <c r="RK14" i="12"/>
  <c r="RK16" i="12"/>
  <c r="RL13" i="12"/>
  <c r="RL14" i="12"/>
  <c r="RL16" i="12"/>
  <c r="RM13" i="12"/>
  <c r="RM14" i="12"/>
  <c r="RM16" i="12"/>
  <c r="RN13" i="12"/>
  <c r="RN14" i="12"/>
  <c r="RN16" i="12"/>
  <c r="RO13" i="12"/>
  <c r="RO14" i="12"/>
  <c r="RP13" i="12"/>
  <c r="RP14" i="12"/>
  <c r="RO16" i="12"/>
  <c r="RP16" i="12"/>
  <c r="RQ13" i="12"/>
  <c r="RQ14" i="12"/>
  <c r="RQ16" i="12"/>
  <c r="RR13" i="12"/>
  <c r="RR14" i="12"/>
  <c r="RR16" i="12"/>
  <c r="RS13" i="12"/>
  <c r="RS14" i="12"/>
  <c r="RS16" i="12"/>
  <c r="RT13" i="12"/>
  <c r="RT14" i="12"/>
  <c r="RT16" i="12"/>
  <c r="RU13" i="12"/>
  <c r="RU14" i="12"/>
  <c r="RU16" i="12"/>
  <c r="RV13" i="12"/>
  <c r="RV14" i="12"/>
  <c r="RV16" i="12"/>
  <c r="RW13" i="12"/>
  <c r="RW14" i="12"/>
  <c r="RX13" i="12"/>
  <c r="RX14" i="12"/>
  <c r="RW16" i="12"/>
  <c r="RX16" i="12"/>
  <c r="RY13" i="12"/>
  <c r="RY14" i="12"/>
  <c r="RY16" i="12"/>
  <c r="RZ13" i="12"/>
  <c r="RZ14" i="12"/>
  <c r="RZ16" i="12"/>
  <c r="SA13" i="12"/>
  <c r="SA14" i="12"/>
  <c r="SA16" i="12"/>
  <c r="SB13" i="12"/>
  <c r="SB14" i="12"/>
  <c r="SB16" i="12"/>
  <c r="SC13" i="12"/>
  <c r="SC14" i="12"/>
  <c r="SC16" i="12"/>
  <c r="SD13" i="12"/>
  <c r="SD14" i="12"/>
  <c r="SD16" i="12"/>
  <c r="SE13" i="12"/>
  <c r="SE14" i="12"/>
  <c r="SE16" i="12"/>
  <c r="SF13" i="12"/>
  <c r="SF14" i="12"/>
  <c r="SF16" i="12"/>
  <c r="SG13" i="12"/>
  <c r="SG14" i="12"/>
  <c r="SG16" i="12"/>
  <c r="SH13" i="12"/>
  <c r="SH14" i="12"/>
  <c r="SH16" i="12"/>
  <c r="SI13" i="12"/>
  <c r="SI14" i="12"/>
  <c r="SI16" i="12"/>
  <c r="SJ13" i="12"/>
  <c r="SJ14" i="12"/>
  <c r="SJ16" i="12"/>
  <c r="SK13" i="12"/>
  <c r="SK14" i="12"/>
  <c r="SK16" i="12"/>
  <c r="SL13" i="12"/>
  <c r="SL14" i="12"/>
  <c r="SL16" i="12"/>
  <c r="SM13" i="12"/>
  <c r="SM14" i="12"/>
  <c r="SM16" i="12"/>
  <c r="SN13" i="12"/>
  <c r="SN14" i="12"/>
  <c r="SN16" i="12"/>
  <c r="SO13" i="12"/>
  <c r="SO14" i="12"/>
  <c r="SO16" i="12"/>
  <c r="SP13" i="12"/>
  <c r="SP14" i="12"/>
  <c r="SQ13" i="12"/>
  <c r="SQ14" i="12"/>
  <c r="SP16" i="12"/>
  <c r="SQ16" i="12"/>
  <c r="SR13" i="12"/>
  <c r="SR14" i="12"/>
  <c r="SS13" i="12"/>
  <c r="SS14" i="12"/>
  <c r="SR16" i="12"/>
  <c r="SS16" i="12"/>
  <c r="ST13" i="12"/>
  <c r="ST14" i="12"/>
  <c r="ST16" i="12"/>
  <c r="SU13" i="12"/>
  <c r="SU14" i="12"/>
  <c r="SV13" i="12"/>
  <c r="SV14" i="12"/>
  <c r="SU16" i="12"/>
  <c r="SV16" i="12"/>
  <c r="SW13" i="12"/>
  <c r="SW14" i="12"/>
  <c r="SX13" i="12"/>
  <c r="SX14" i="12"/>
  <c r="SW16" i="12"/>
  <c r="SX16" i="12"/>
  <c r="SY13" i="12"/>
  <c r="SY14" i="12"/>
  <c r="SZ13" i="12"/>
  <c r="SZ14" i="12"/>
  <c r="SY16" i="12"/>
  <c r="SZ16" i="12"/>
  <c r="TA13" i="12"/>
  <c r="TA14" i="12"/>
  <c r="TA16" i="12"/>
  <c r="TB13" i="12"/>
  <c r="TB14" i="12"/>
  <c r="TC13" i="12"/>
  <c r="TC14" i="12"/>
  <c r="TB16" i="12"/>
  <c r="TC16" i="12"/>
  <c r="TD13" i="12"/>
  <c r="TD14" i="12"/>
  <c r="TD16" i="12"/>
  <c r="TE13" i="12"/>
  <c r="TE14" i="12"/>
  <c r="TE16" i="12"/>
  <c r="TF13" i="12"/>
  <c r="TF14" i="12"/>
  <c r="TF16" i="12"/>
  <c r="TG13" i="12"/>
  <c r="TG14" i="12"/>
  <c r="TG16" i="12"/>
  <c r="TH13" i="12"/>
  <c r="TH14" i="12"/>
  <c r="TH16" i="12"/>
  <c r="TI13" i="12"/>
  <c r="TI14" i="12"/>
  <c r="TI16" i="12"/>
  <c r="TJ13" i="12"/>
  <c r="TJ14" i="12"/>
  <c r="TJ16" i="12"/>
  <c r="TK13" i="12"/>
  <c r="TK14" i="12"/>
  <c r="TK16" i="12"/>
  <c r="TL13" i="12"/>
  <c r="TL14" i="12"/>
  <c r="TL16" i="12"/>
  <c r="TM13" i="12"/>
  <c r="TM14" i="12"/>
  <c r="TM16" i="12"/>
  <c r="TN13" i="12"/>
  <c r="TN14" i="12"/>
  <c r="TN16" i="12"/>
  <c r="TO13" i="12"/>
  <c r="TO16" i="12"/>
  <c r="TP13" i="12"/>
  <c r="TO14" i="12"/>
  <c r="TP14" i="12"/>
  <c r="TQ13" i="12"/>
  <c r="TP16" i="12"/>
  <c r="TQ14" i="12"/>
  <c r="TQ16" i="12"/>
  <c r="TR13" i="12"/>
  <c r="TR16" i="12"/>
  <c r="TR14" i="12"/>
  <c r="TS13" i="12"/>
  <c r="TS14" i="12"/>
  <c r="TS16" i="12"/>
  <c r="TT13" i="12"/>
  <c r="TT14" i="12"/>
  <c r="TT16" i="12"/>
  <c r="TU13" i="12"/>
  <c r="TU14" i="12"/>
  <c r="TU16" i="12"/>
  <c r="TV13" i="12"/>
  <c r="TV14" i="12"/>
  <c r="TV16" i="12"/>
  <c r="TW13" i="12"/>
  <c r="TW14" i="12"/>
  <c r="TW16" i="12"/>
  <c r="TX13" i="12"/>
  <c r="TX14" i="12"/>
  <c r="TX16" i="12"/>
  <c r="TY13" i="12"/>
  <c r="TY14" i="12"/>
  <c r="TY16" i="12"/>
  <c r="TZ13" i="12"/>
  <c r="TZ14" i="12"/>
  <c r="TZ16" i="12"/>
  <c r="UA13" i="12"/>
  <c r="UA14" i="12"/>
  <c r="UA16" i="12"/>
  <c r="UB13" i="12"/>
  <c r="UB14" i="12"/>
  <c r="UB16" i="12"/>
  <c r="UC13" i="12"/>
  <c r="UC14" i="12"/>
  <c r="UC16" i="12"/>
  <c r="UD13" i="12"/>
  <c r="UD16" i="12"/>
  <c r="UD14" i="12"/>
  <c r="UE13" i="12"/>
  <c r="UE14" i="12"/>
  <c r="UE16" i="12"/>
  <c r="UF13" i="12"/>
  <c r="UF16" i="12"/>
  <c r="UG13" i="12"/>
  <c r="UF14" i="12"/>
  <c r="UG14" i="12"/>
  <c r="UG16" i="12"/>
  <c r="UH13" i="12"/>
  <c r="B9" i="21"/>
  <c r="UH14" i="12"/>
  <c r="UH16" i="12"/>
  <c r="UI13" i="12"/>
  <c r="C9" i="21"/>
  <c r="UI14" i="12"/>
  <c r="UI16" i="12"/>
  <c r="UJ13" i="12"/>
  <c r="D9" i="21"/>
  <c r="UJ14" i="12"/>
  <c r="UJ16" i="12"/>
  <c r="UK13" i="12"/>
  <c r="E9" i="21"/>
  <c r="UK14" i="12"/>
  <c r="UK16" i="12"/>
  <c r="UL13" i="12"/>
  <c r="F9" i="21"/>
  <c r="UL14" i="12"/>
  <c r="UL16" i="12"/>
  <c r="UM13" i="12"/>
  <c r="G9" i="21"/>
  <c r="UM14" i="12"/>
  <c r="UM16" i="12"/>
  <c r="UN13" i="12"/>
  <c r="H9" i="21"/>
  <c r="UN14" i="12"/>
  <c r="UN16" i="12"/>
  <c r="UO13" i="12"/>
  <c r="I9" i="21"/>
  <c r="UO14" i="12"/>
  <c r="UO16" i="12"/>
  <c r="UP13" i="12"/>
  <c r="J9" i="21"/>
  <c r="UP16" i="12"/>
  <c r="UQ13" i="12"/>
  <c r="UP14" i="12"/>
  <c r="K9" i="21"/>
  <c r="UQ14" i="12"/>
  <c r="UQ16" i="12"/>
  <c r="UR13" i="12"/>
  <c r="L9" i="21"/>
  <c r="UR14" i="12"/>
  <c r="UR16" i="12"/>
  <c r="US13" i="12"/>
  <c r="M9" i="21"/>
  <c r="US14" i="12"/>
  <c r="US16" i="12"/>
  <c r="UT13" i="12"/>
  <c r="N9" i="21"/>
  <c r="UT14" i="12"/>
  <c r="UT16" i="12"/>
  <c r="UU13" i="12"/>
  <c r="O9" i="21"/>
  <c r="UU16" i="12"/>
  <c r="UV13" i="12"/>
  <c r="UU14" i="12"/>
  <c r="P9" i="21"/>
  <c r="UV14" i="12"/>
  <c r="UV16" i="12"/>
  <c r="UW13" i="12"/>
  <c r="Q9" i="21"/>
  <c r="UW14" i="12"/>
  <c r="UW16" i="12"/>
  <c r="UX13" i="12"/>
  <c r="R9" i="21"/>
  <c r="UX16" i="12"/>
  <c r="UY13" i="12"/>
  <c r="UX14" i="12"/>
  <c r="S9" i="21"/>
  <c r="UY14" i="12"/>
  <c r="UY16" i="12"/>
  <c r="UZ13" i="12"/>
  <c r="T9" i="21"/>
  <c r="UZ14" i="12"/>
  <c r="UZ16" i="12"/>
  <c r="VA13" i="12"/>
  <c r="U9" i="21"/>
  <c r="VA14" i="12"/>
  <c r="VA16" i="12"/>
  <c r="VB13" i="12"/>
  <c r="V9" i="21"/>
  <c r="VB16" i="12"/>
  <c r="VC13" i="12"/>
  <c r="VB14" i="12"/>
  <c r="W9" i="21"/>
  <c r="VC14" i="12"/>
  <c r="VC16" i="12"/>
  <c r="VD13" i="12"/>
  <c r="X9" i="21"/>
  <c r="VD14" i="12"/>
  <c r="VD16" i="12"/>
  <c r="VE13" i="12"/>
  <c r="Y9" i="21"/>
  <c r="VE16" i="12"/>
  <c r="VF13" i="12"/>
  <c r="VE14" i="12"/>
  <c r="Z9" i="21"/>
  <c r="VF14" i="12"/>
  <c r="VF16" i="12"/>
  <c r="VG13" i="12"/>
  <c r="AA9" i="21"/>
  <c r="VG16" i="12"/>
  <c r="VH13" i="12"/>
  <c r="VG14" i="12"/>
  <c r="AB9" i="21"/>
  <c r="VH14" i="12"/>
  <c r="VH16" i="12"/>
  <c r="VI13" i="12"/>
  <c r="AC9" i="21"/>
  <c r="VI14" i="12"/>
  <c r="VI16" i="12"/>
  <c r="VJ13" i="12"/>
  <c r="AD9" i="21"/>
  <c r="VJ16" i="12"/>
  <c r="VK13" i="12"/>
  <c r="VJ14" i="12"/>
  <c r="AE9" i="21"/>
  <c r="VK16" i="12"/>
  <c r="VK14" i="12"/>
  <c r="VL13" i="12"/>
  <c r="AF9" i="21"/>
  <c r="VL14" i="12"/>
  <c r="VL16" i="12"/>
  <c r="VM13" i="12"/>
  <c r="VM14" i="12"/>
  <c r="VM16" i="12"/>
  <c r="VN13" i="12"/>
  <c r="VN14" i="12"/>
  <c r="VN16" i="12"/>
  <c r="VO13" i="12"/>
  <c r="VO14" i="12"/>
  <c r="VO16" i="12"/>
  <c r="VP13" i="12"/>
  <c r="VP14" i="12"/>
  <c r="VP16" i="12"/>
  <c r="VQ13" i="12"/>
  <c r="VQ16" i="12"/>
  <c r="VR13" i="12"/>
  <c r="VQ14" i="12"/>
  <c r="VR14" i="12"/>
  <c r="VR16" i="12"/>
  <c r="VS13" i="12"/>
  <c r="VS14" i="12"/>
  <c r="VS16" i="12"/>
  <c r="VT13" i="12"/>
  <c r="VT14" i="12"/>
  <c r="VT16" i="12"/>
  <c r="VU13" i="12"/>
  <c r="VU14" i="12"/>
  <c r="VU16" i="12"/>
  <c r="VV13" i="12"/>
  <c r="VV14" i="12"/>
  <c r="VV16" i="12"/>
  <c r="VW13" i="12"/>
  <c r="VW14" i="12"/>
  <c r="VW16" i="12"/>
  <c r="VX13" i="12"/>
  <c r="VX14" i="12"/>
  <c r="VX16" i="12"/>
  <c r="VY13" i="12"/>
  <c r="VY14" i="12"/>
  <c r="VY16" i="12"/>
  <c r="VZ13" i="12"/>
  <c r="VZ14" i="12"/>
  <c r="VZ16" i="12"/>
  <c r="WA13" i="12"/>
  <c r="WA14" i="12"/>
  <c r="WA16" i="12"/>
  <c r="WB13" i="12"/>
  <c r="WB14" i="12"/>
  <c r="WB16" i="12"/>
  <c r="WC13" i="12"/>
  <c r="WC14" i="12"/>
  <c r="WC16" i="12"/>
  <c r="WD13" i="12"/>
  <c r="WD14" i="12"/>
  <c r="WD16" i="12"/>
  <c r="WE13" i="12"/>
  <c r="WE14" i="12"/>
  <c r="WE16" i="12"/>
  <c r="WF13" i="12"/>
  <c r="WF14" i="12"/>
  <c r="WF16" i="12"/>
  <c r="WG13" i="12"/>
  <c r="WG16" i="12"/>
  <c r="WH13" i="12"/>
  <c r="WG14" i="12"/>
  <c r="WH14" i="12"/>
  <c r="WH16" i="12"/>
  <c r="WI13" i="12"/>
  <c r="WI14" i="12"/>
  <c r="WI16" i="12"/>
  <c r="WJ13" i="12"/>
  <c r="WJ14" i="12"/>
  <c r="WJ16" i="12"/>
  <c r="WK13" i="12"/>
  <c r="WK14" i="12"/>
  <c r="WK16" i="12"/>
  <c r="WL13" i="12"/>
  <c r="WL14" i="12"/>
  <c r="WL16" i="12"/>
  <c r="WM13" i="12"/>
  <c r="WM14" i="12"/>
  <c r="WM16" i="12"/>
  <c r="WN13" i="12"/>
  <c r="WN14" i="12"/>
  <c r="WN16" i="12"/>
  <c r="WO13" i="12"/>
  <c r="WO14" i="12"/>
  <c r="WO16" i="12"/>
  <c r="WP13" i="12"/>
  <c r="WP14" i="12"/>
  <c r="WP16" i="12"/>
  <c r="WQ13" i="12"/>
  <c r="WQ16" i="12"/>
  <c r="WR13" i="12"/>
  <c r="WQ14" i="12"/>
  <c r="WR14" i="12"/>
  <c r="WR16" i="12"/>
  <c r="WS13" i="12"/>
  <c r="WS14" i="12"/>
  <c r="WS16" i="12"/>
  <c r="WT13" i="12"/>
  <c r="WT14" i="12"/>
  <c r="WT16" i="12"/>
  <c r="WU13" i="12"/>
  <c r="WU14" i="12"/>
  <c r="WU16" i="12"/>
  <c r="WV13" i="12"/>
  <c r="WV14" i="12"/>
  <c r="WV16" i="12"/>
  <c r="WW13" i="12"/>
  <c r="WW14" i="12"/>
  <c r="WW16" i="12"/>
  <c r="WX13" i="12"/>
  <c r="WX14" i="12"/>
  <c r="WX16" i="12"/>
  <c r="WY13" i="12"/>
  <c r="WY14" i="12"/>
  <c r="WY16" i="12"/>
  <c r="WZ13" i="12"/>
  <c r="WZ16" i="12"/>
  <c r="XA13" i="12"/>
  <c r="WZ14" i="12"/>
  <c r="XA14" i="12"/>
  <c r="XA16" i="12"/>
  <c r="XB13" i="12"/>
  <c r="XB14" i="12"/>
  <c r="XB16" i="12"/>
  <c r="XC13" i="12"/>
  <c r="XC14" i="12"/>
  <c r="XC16" i="12"/>
  <c r="XD13" i="12"/>
  <c r="XD14" i="12"/>
  <c r="XD16" i="12"/>
  <c r="XE13" i="12"/>
  <c r="XE14" i="12"/>
  <c r="XE16" i="12"/>
  <c r="XF13" i="12"/>
  <c r="XF14" i="12"/>
  <c r="XF16" i="12"/>
  <c r="XG13" i="12"/>
  <c r="XG14" i="12"/>
  <c r="XG16" i="12"/>
  <c r="XH13" i="12"/>
  <c r="XH14" i="12"/>
  <c r="XH16" i="12"/>
  <c r="XI13" i="12"/>
  <c r="XI16" i="12"/>
  <c r="XJ13" i="12"/>
  <c r="XI14" i="12"/>
  <c r="XJ14" i="12"/>
  <c r="XJ16" i="12"/>
  <c r="XK13" i="12"/>
  <c r="XK14" i="12"/>
  <c r="XK16" i="12"/>
  <c r="XL13" i="12"/>
  <c r="XM13" i="12"/>
  <c r="XL14" i="12"/>
  <c r="XL16" i="12"/>
  <c r="XM14" i="12"/>
  <c r="XM16" i="12"/>
  <c r="XN13" i="12"/>
  <c r="XN14" i="12"/>
  <c r="XN16" i="12"/>
  <c r="XO13" i="12"/>
  <c r="XO16" i="12"/>
  <c r="XP13" i="12"/>
  <c r="XO14" i="12"/>
  <c r="XP16" i="12"/>
  <c r="XQ13" i="12"/>
  <c r="XP14" i="12"/>
  <c r="XQ16" i="12"/>
  <c r="XQ14" i="12"/>
  <c r="XR13" i="12"/>
  <c r="XS13" i="12"/>
  <c r="XR14" i="12"/>
  <c r="XR16" i="12"/>
  <c r="XT13" i="12"/>
  <c r="XS14" i="12"/>
  <c r="XS16" i="12"/>
  <c r="XT16" i="12"/>
  <c r="XU13" i="12"/>
  <c r="XT14" i="12"/>
  <c r="XU16" i="12"/>
  <c r="XV13" i="12"/>
  <c r="XU14" i="12"/>
  <c r="XV16" i="12"/>
  <c r="XW13" i="12"/>
  <c r="XV14" i="12"/>
  <c r="XW16" i="12"/>
  <c r="XX13" i="12"/>
  <c r="XW14" i="12"/>
  <c r="XX16" i="12"/>
  <c r="XY13" i="12"/>
  <c r="XX14" i="12"/>
  <c r="XY16" i="12"/>
  <c r="XZ13" i="12"/>
  <c r="XY14" i="12"/>
  <c r="XZ16" i="12"/>
  <c r="YA13" i="12"/>
  <c r="XZ14" i="12"/>
  <c r="YA16" i="12"/>
  <c r="YB13" i="12"/>
  <c r="YA14" i="12"/>
  <c r="YB16" i="12"/>
  <c r="YC13" i="12"/>
  <c r="YB14" i="12"/>
  <c r="YC16" i="12"/>
  <c r="YD13" i="12"/>
  <c r="YC14" i="12"/>
  <c r="YD16" i="12"/>
  <c r="YD14" i="12"/>
  <c r="YE13" i="12"/>
  <c r="YE16" i="12"/>
  <c r="YF13" i="12"/>
  <c r="YE14" i="12"/>
  <c r="YF16" i="12"/>
  <c r="YG13" i="12"/>
  <c r="YF14" i="12"/>
  <c r="YG16" i="12"/>
  <c r="YH13" i="12"/>
  <c r="YG14" i="12"/>
  <c r="YH16" i="12"/>
  <c r="YI13" i="12"/>
  <c r="YH14" i="12"/>
  <c r="YI16" i="12"/>
  <c r="YJ13" i="12"/>
  <c r="YI14" i="12"/>
  <c r="YJ16" i="12"/>
  <c r="YK13" i="12"/>
  <c r="YJ14" i="12"/>
  <c r="YK16" i="12"/>
  <c r="YL13" i="12"/>
  <c r="YK14" i="12"/>
  <c r="YL16" i="12"/>
  <c r="YL14" i="12"/>
  <c r="YM13" i="12"/>
  <c r="YM16" i="12"/>
  <c r="YN13" i="12"/>
  <c r="YM14" i="12"/>
  <c r="YN16" i="12"/>
  <c r="YO13" i="12"/>
  <c r="YN14" i="12"/>
  <c r="YP13" i="12"/>
  <c r="YO16" i="12"/>
  <c r="YO14" i="12"/>
  <c r="YQ13" i="12"/>
  <c r="YP14" i="12"/>
  <c r="YP16" i="12"/>
  <c r="YQ16" i="12"/>
  <c r="YR13" i="12"/>
  <c r="YQ14" i="12"/>
  <c r="YR16" i="12"/>
  <c r="YS13" i="12"/>
  <c r="YR14" i="12"/>
  <c r="YS16" i="12"/>
  <c r="YT13" i="12"/>
  <c r="YS14" i="12"/>
  <c r="YU13" i="12"/>
  <c r="YT14" i="12"/>
  <c r="YT16" i="12"/>
  <c r="YV13" i="12"/>
  <c r="YU14" i="12"/>
  <c r="YU16" i="12"/>
  <c r="YW13" i="12"/>
  <c r="YV14" i="12"/>
  <c r="YV16" i="12"/>
  <c r="YW16" i="12"/>
  <c r="YX13" i="12"/>
  <c r="YW14" i="12"/>
  <c r="YY13" i="12"/>
  <c r="YX16" i="12"/>
  <c r="YX14" i="12"/>
  <c r="YZ13" i="12"/>
  <c r="YY14" i="12"/>
  <c r="YY16" i="12"/>
  <c r="ZA13" i="12"/>
  <c r="YZ14" i="12"/>
  <c r="YZ16" i="12"/>
  <c r="ZB13" i="12"/>
  <c r="ZA14" i="12"/>
  <c r="ZA16" i="12"/>
  <c r="ZC13" i="12"/>
  <c r="ZB14" i="12"/>
  <c r="ZB16" i="12"/>
  <c r="ZD13" i="12"/>
  <c r="ZC14" i="12"/>
  <c r="ZC16" i="12"/>
  <c r="ZE13" i="12"/>
  <c r="ZD14" i="12"/>
  <c r="ZD16" i="12"/>
  <c r="ZF13" i="12"/>
  <c r="ZE14" i="12"/>
  <c r="ZE16" i="12"/>
  <c r="ZG13" i="12"/>
  <c r="ZF14" i="12"/>
  <c r="ZF16" i="12"/>
  <c r="ZH13" i="12"/>
  <c r="ZG14" i="12"/>
  <c r="ZG16" i="12"/>
  <c r="ZI13" i="12"/>
  <c r="ZH14" i="12"/>
  <c r="ZH16" i="12"/>
  <c r="ZJ13" i="12"/>
  <c r="ZI14" i="12"/>
  <c r="ZI16" i="12"/>
  <c r="ZK13" i="12"/>
  <c r="ZJ14" i="12"/>
  <c r="ZJ16" i="12"/>
  <c r="ZL13" i="12"/>
  <c r="ZK14" i="12"/>
  <c r="ZK16" i="12"/>
  <c r="ZM13" i="12"/>
  <c r="ZL14" i="12"/>
  <c r="ZL16" i="12"/>
  <c r="ZN13" i="12"/>
  <c r="ZM14" i="12"/>
  <c r="ZM16" i="12"/>
  <c r="ZO13" i="12"/>
  <c r="ZN14" i="12"/>
  <c r="ZN16" i="12"/>
  <c r="ZP13" i="12"/>
  <c r="ZO16" i="12"/>
  <c r="ZO14" i="12"/>
  <c r="ZQ13" i="12"/>
  <c r="ZP14" i="12"/>
  <c r="ZP16" i="12"/>
  <c r="ZR13" i="12"/>
  <c r="ZQ14" i="12"/>
  <c r="ZQ16" i="12"/>
  <c r="ZS13" i="12"/>
  <c r="ZR14" i="12"/>
  <c r="ZR16" i="12"/>
  <c r="ZT13" i="12"/>
  <c r="ZS14" i="12"/>
  <c r="ZS16" i="12"/>
  <c r="ZU13" i="12"/>
  <c r="ZT14" i="12"/>
  <c r="ZT16" i="12"/>
  <c r="ZV13" i="12"/>
  <c r="ZU14" i="12"/>
  <c r="ZU16" i="12"/>
  <c r="ZW13" i="12"/>
  <c r="ZV16" i="12"/>
  <c r="ZV14" i="12"/>
  <c r="ZW16" i="12"/>
  <c r="ZX13" i="12"/>
  <c r="ZW14" i="12"/>
  <c r="ZX16" i="12"/>
  <c r="ZY13" i="12"/>
  <c r="ZX14" i="12"/>
  <c r="ZY16" i="12"/>
  <c r="ZZ13" i="12"/>
  <c r="ZY14" i="12"/>
  <c r="AAA13" i="12"/>
  <c r="ZZ16" i="12"/>
  <c r="ZZ14" i="12"/>
  <c r="AAB13" i="12"/>
  <c r="AAA14" i="12"/>
  <c r="AAA16" i="12"/>
  <c r="AAC13" i="12"/>
  <c r="AAB16" i="12"/>
  <c r="AAB14" i="12"/>
  <c r="AAC16" i="12"/>
  <c r="AAD13" i="12"/>
  <c r="AAC14" i="12"/>
  <c r="AAE13" i="12"/>
  <c r="AAD14" i="12"/>
  <c r="AAD16" i="12"/>
  <c r="AAF13" i="12"/>
  <c r="AAE14" i="12"/>
  <c r="AAE16" i="12"/>
  <c r="AAF16" i="12"/>
  <c r="AAG13" i="12"/>
  <c r="AAF14" i="12"/>
  <c r="AAH13" i="12"/>
  <c r="AAG14" i="12"/>
  <c r="AAG16" i="12"/>
  <c r="AAH16" i="12"/>
  <c r="AAI13" i="12"/>
  <c r="AAH14" i="12"/>
  <c r="AAJ13" i="12"/>
  <c r="AAI14" i="12"/>
  <c r="AAI16" i="12"/>
  <c r="AAK13" i="12"/>
  <c r="AAJ14" i="12"/>
  <c r="AAJ16" i="12"/>
  <c r="AAL13" i="12"/>
  <c r="AAK14" i="12"/>
  <c r="AAK16" i="12"/>
  <c r="AAM13" i="12"/>
  <c r="AAL14" i="12"/>
  <c r="AAL16" i="12"/>
  <c r="AAM14" i="12"/>
  <c r="AAM16" i="12"/>
  <c r="AAN13" i="12"/>
  <c r="AAN14" i="12"/>
  <c r="AAN16" i="12"/>
  <c r="AAO13" i="12"/>
  <c r="AAO14" i="12"/>
  <c r="AAO16" i="12"/>
  <c r="AAP13" i="12"/>
  <c r="AAP14" i="12"/>
  <c r="AAP16" i="12"/>
  <c r="AAQ13" i="12"/>
  <c r="AAQ14" i="12"/>
  <c r="AAQ16" i="12"/>
  <c r="AAR13" i="12"/>
  <c r="AAR16" i="12"/>
  <c r="AAS13" i="12"/>
  <c r="AAR14" i="12"/>
  <c r="AAS16" i="12"/>
  <c r="AAT13" i="12"/>
  <c r="AAS14" i="12"/>
  <c r="AAT14" i="12"/>
  <c r="AAT16" i="12"/>
  <c r="AAU13" i="12"/>
  <c r="AAU14" i="12"/>
  <c r="AAU16" i="12"/>
  <c r="AAV13" i="12"/>
  <c r="AAV14" i="12"/>
  <c r="AAV16" i="12"/>
  <c r="AAW13" i="12"/>
  <c r="AAW14" i="12"/>
  <c r="AAW16" i="12"/>
  <c r="AAX13" i="12"/>
  <c r="AAX14" i="12"/>
  <c r="AAX16" i="12"/>
  <c r="AAY13" i="12"/>
  <c r="AAY14" i="12"/>
  <c r="AAY16" i="12"/>
  <c r="AAZ13" i="12"/>
  <c r="AAZ14" i="12"/>
  <c r="AAZ16" i="12"/>
  <c r="ABA13" i="12"/>
  <c r="ABA14" i="12"/>
  <c r="ABA16" i="12"/>
  <c r="ABB13" i="12"/>
  <c r="ABB14" i="12"/>
  <c r="ABB16" i="12"/>
  <c r="ABC13" i="12"/>
  <c r="ABC14" i="12"/>
  <c r="ABC16" i="12"/>
  <c r="ABD13" i="12"/>
  <c r="ABD14" i="12"/>
  <c r="ABD16" i="12"/>
  <c r="ABE13" i="12"/>
  <c r="ABE16" i="12"/>
  <c r="ABF13" i="12"/>
  <c r="ABE14" i="12"/>
  <c r="ABF16" i="12"/>
  <c r="ABG13" i="12"/>
  <c r="ABF14" i="12"/>
  <c r="ABG16" i="12"/>
  <c r="ABH13" i="12"/>
  <c r="ABG14" i="12"/>
  <c r="ABH14" i="12"/>
  <c r="ABH16" i="12"/>
  <c r="ABI13" i="12"/>
  <c r="ABI14" i="12"/>
  <c r="ABI16" i="12"/>
  <c r="ABJ13" i="12"/>
  <c r="ABJ14" i="12"/>
  <c r="ABJ16" i="12"/>
  <c r="ABK13" i="12"/>
  <c r="ABK16" i="12"/>
  <c r="ABL13" i="12"/>
  <c r="ABK14" i="12"/>
  <c r="ABL16" i="12"/>
  <c r="ABM13" i="12"/>
  <c r="ABL14" i="12"/>
  <c r="ABM16" i="12"/>
  <c r="ABN13" i="12"/>
  <c r="ABM14" i="12"/>
  <c r="ABN14" i="12"/>
  <c r="ABN16" i="12"/>
  <c r="ABO13" i="12"/>
  <c r="ABO14" i="12"/>
  <c r="ABO16" i="12"/>
  <c r="ABP13" i="12"/>
  <c r="ABP14" i="12"/>
  <c r="ABP16" i="12"/>
  <c r="ABQ13" i="12"/>
  <c r="ABQ16" i="12"/>
  <c r="ABR13" i="12"/>
  <c r="ABQ14" i="12"/>
  <c r="ABS13" i="12"/>
  <c r="ABR14" i="12"/>
  <c r="ABR16" i="12"/>
  <c r="ABT13" i="12"/>
  <c r="ABS16" i="12"/>
  <c r="ABS14" i="12"/>
  <c r="ABU13" i="12"/>
  <c r="ABT14" i="12"/>
  <c r="ABT16" i="12"/>
  <c r="ABV13" i="12"/>
  <c r="ABU16" i="12"/>
  <c r="ABU14" i="12"/>
  <c r="ABW13" i="12"/>
  <c r="ABV16" i="12"/>
  <c r="ABV14" i="12"/>
  <c r="ABW14" i="12"/>
  <c r="ABW16" i="12"/>
  <c r="ABX13" i="12"/>
  <c r="ABY13" i="12"/>
  <c r="ABX14" i="12"/>
  <c r="ABX16" i="12"/>
  <c r="ABZ13" i="12"/>
  <c r="ABY16" i="12"/>
  <c r="ABY14" i="12"/>
  <c r="ACA13" i="12"/>
  <c r="ABZ14" i="12"/>
  <c r="ABZ16" i="12"/>
  <c r="ACB13" i="12"/>
  <c r="ACA14" i="12"/>
  <c r="ACA16" i="12"/>
  <c r="ACC13" i="12"/>
  <c r="ACB14" i="12"/>
  <c r="ACB16" i="12"/>
  <c r="ACD13" i="12"/>
  <c r="ACC14" i="12"/>
  <c r="ACC16" i="12"/>
  <c r="ACD14" i="12"/>
  <c r="ACD16" i="12"/>
  <c r="ACE13" i="12"/>
  <c r="ACF13" i="12"/>
  <c r="ACE14" i="12"/>
  <c r="ACE16" i="12"/>
  <c r="ACG13" i="12"/>
  <c r="ACF14" i="12"/>
  <c r="ACF16" i="12"/>
  <c r="ACH13" i="12"/>
  <c r="ACG14" i="12"/>
  <c r="ACG16" i="12"/>
  <c r="ACI13" i="12"/>
  <c r="ACH14" i="12"/>
  <c r="ACH16" i="12"/>
  <c r="ACJ13" i="12"/>
  <c r="ACI14" i="12"/>
  <c r="ACI16" i="12"/>
  <c r="ACJ16" i="12"/>
  <c r="ACJ14" i="12"/>
  <c r="ACK13" i="12"/>
  <c r="ACK14" i="12"/>
  <c r="ACK16" i="12"/>
  <c r="ACL13" i="12"/>
  <c r="ACL14" i="12"/>
  <c r="ACL16" i="12"/>
  <c r="ACM13" i="12"/>
  <c r="ACN13" i="12"/>
  <c r="ACM14" i="12"/>
  <c r="ACM16" i="12"/>
  <c r="ACO13" i="12"/>
  <c r="ACN14" i="12"/>
  <c r="ACN16" i="12"/>
  <c r="ACP13" i="12"/>
  <c r="ACO14" i="12"/>
  <c r="ACO16" i="12"/>
  <c r="ACQ13" i="12"/>
  <c r="ACP14" i="12"/>
  <c r="ACP16" i="12"/>
  <c r="ACQ14" i="12"/>
  <c r="ACQ16" i="12"/>
  <c r="ACR13" i="12"/>
  <c r="ACS13" i="12"/>
  <c r="ACR14" i="12"/>
  <c r="ACR16" i="12"/>
  <c r="ACT13" i="12"/>
  <c r="ACS14" i="12"/>
  <c r="ACS16" i="12"/>
  <c r="ACT14" i="12"/>
  <c r="ACT16" i="12"/>
  <c r="ACU13" i="12"/>
  <c r="ACV13" i="12"/>
  <c r="ACU14" i="12"/>
  <c r="ACU16" i="12"/>
  <c r="ACW13" i="12"/>
  <c r="ACV14" i="12"/>
  <c r="ACV16" i="12"/>
  <c r="ACW16" i="12"/>
  <c r="ACX13" i="12"/>
  <c r="ACW14" i="12"/>
  <c r="ACX14" i="12"/>
  <c r="ACX16" i="12"/>
  <c r="ACY13" i="12"/>
  <c r="ACY14" i="12"/>
  <c r="ACY16" i="12"/>
  <c r="ACZ13" i="12"/>
  <c r="ACZ14" i="12"/>
  <c r="ACZ16" i="12"/>
  <c r="ADA13" i="12"/>
  <c r="ADA14" i="12"/>
  <c r="ADB13" i="12"/>
  <c r="ADA16" i="12"/>
  <c r="ADB14" i="12"/>
  <c r="ADB16" i="12"/>
  <c r="ADC13" i="12"/>
  <c r="ADC16" i="12"/>
  <c r="ADD13" i="12"/>
  <c r="ADC14" i="12"/>
  <c r="ADD16" i="12"/>
  <c r="ADE13" i="12"/>
  <c r="ADD14" i="12"/>
  <c r="ADE16" i="12"/>
  <c r="ADF13" i="12"/>
  <c r="ADE14" i="12"/>
  <c r="ADF14" i="12"/>
  <c r="ADF16" i="12"/>
  <c r="ADG13" i="12"/>
  <c r="ADG16" i="12"/>
  <c r="ADH13" i="12"/>
  <c r="ADG14" i="12"/>
  <c r="ADH14" i="12"/>
  <c r="ADH16" i="12"/>
  <c r="ADI13" i="12"/>
  <c r="ADI14" i="12"/>
  <c r="ADI16" i="12"/>
  <c r="ADJ13" i="12"/>
  <c r="ADJ14" i="12"/>
  <c r="ADJ16" i="12"/>
  <c r="ADK13" i="12"/>
  <c r="ADK14" i="12"/>
  <c r="ADK16" i="12"/>
  <c r="ADL13" i="12"/>
  <c r="ADL14" i="12"/>
  <c r="ADL16" i="12"/>
  <c r="ADM13" i="12"/>
  <c r="ADM14" i="12"/>
  <c r="ADM16" i="12"/>
  <c r="ADN13" i="12"/>
  <c r="ADN14" i="12"/>
  <c r="ADN16" i="12"/>
  <c r="ADO13" i="12"/>
  <c r="ADO16" i="12"/>
  <c r="ADP13" i="12"/>
  <c r="ADO14" i="12"/>
  <c r="ADR1" i="12"/>
  <c r="ADS1" i="12"/>
  <c r="ADP14" i="12"/>
  <c r="ADP16" i="12"/>
  <c r="ADQ13" i="12"/>
  <c r="ADQ14" i="12"/>
  <c r="ADQ16" i="12"/>
  <c r="ADR13" i="12"/>
  <c r="ADR14" i="12"/>
  <c r="ADR16" i="12"/>
  <c r="ADS13" i="12"/>
  <c r="ADS14" i="12"/>
  <c r="ADS16" i="12"/>
  <c r="ADT13" i="12"/>
  <c r="ADT14" i="12"/>
  <c r="ADU13" i="12"/>
  <c r="ADT16" i="12"/>
  <c r="ADU14" i="12"/>
  <c r="ADV13" i="12"/>
  <c r="ADU16" i="12"/>
  <c r="ADV14" i="12"/>
  <c r="ADV16" i="12"/>
  <c r="ADW13" i="12"/>
  <c r="ADW14" i="12"/>
  <c r="ADW16" i="12"/>
  <c r="ADX13" i="12"/>
  <c r="ADX14" i="12"/>
  <c r="ADX16" i="12"/>
  <c r="ADY13" i="12"/>
  <c r="ADY14" i="12"/>
  <c r="ADZ13" i="12"/>
  <c r="ADY16" i="12"/>
  <c r="ADZ14" i="12"/>
  <c r="ADZ16" i="12"/>
  <c r="AEA13" i="12"/>
  <c r="AEA14" i="12"/>
  <c r="AEA16" i="12"/>
  <c r="AEB13" i="12"/>
  <c r="AEC13" i="12"/>
  <c r="AEB14" i="12"/>
  <c r="AEB16" i="12"/>
  <c r="AEC14" i="12"/>
  <c r="AEC16" i="12"/>
  <c r="AED13" i="12"/>
  <c r="AEE13" i="12"/>
  <c r="AED14" i="12"/>
  <c r="AED16" i="12"/>
  <c r="AEF13" i="12"/>
  <c r="AEG13" i="12"/>
  <c r="AEF16" i="12"/>
  <c r="AEH13" i="12"/>
  <c r="AEI13" i="12"/>
  <c r="AEF14" i="12"/>
  <c r="AEE14" i="12"/>
  <c r="AEE16" i="12"/>
  <c r="AEI14" i="12"/>
  <c r="AEJ13" i="12"/>
  <c r="AEK13" i="12"/>
  <c r="AEI16" i="12"/>
  <c r="AEH16" i="12"/>
  <c r="AEH14" i="12"/>
  <c r="AEG14" i="12"/>
  <c r="AEG16" i="12"/>
  <c r="AEJ14" i="12"/>
  <c r="AEJ16" i="12"/>
  <c r="AEK14" i="12"/>
  <c r="AEL13" i="12"/>
  <c r="AEK16" i="12"/>
  <c r="AEM13" i="12"/>
  <c r="AEN13" i="12"/>
  <c r="AEO13" i="12"/>
  <c r="AEL14" i="12"/>
  <c r="AEL16" i="12"/>
  <c r="AEN14" i="12"/>
  <c r="AEN16" i="12"/>
  <c r="AEM14" i="12"/>
  <c r="AEM16" i="12"/>
  <c r="AEP13" i="12"/>
  <c r="AEQ13" i="12"/>
  <c r="AER13" i="12"/>
  <c r="AES13" i="12"/>
  <c r="AEO14" i="12"/>
  <c r="AEO16" i="12"/>
  <c r="AES14" i="12"/>
  <c r="AET13" i="12"/>
  <c r="AEU13" i="12"/>
  <c r="AES16" i="12"/>
  <c r="AEP14" i="12"/>
  <c r="AEP16" i="12"/>
  <c r="AEV13" i="12"/>
  <c r="AEU16" i="12"/>
  <c r="AEU14" i="12"/>
  <c r="AET14" i="12"/>
  <c r="AET16" i="12"/>
  <c r="AEQ14" i="12"/>
  <c r="AEQ16" i="12"/>
  <c r="AEW13" i="12"/>
  <c r="AEV16" i="12"/>
  <c r="AEV14" i="12"/>
  <c r="AER14" i="12"/>
  <c r="AER16" i="12"/>
  <c r="AEX13" i="12"/>
  <c r="AEW16" i="12"/>
  <c r="AEW14" i="12"/>
  <c r="AEX14" i="12"/>
  <c r="AEY13" i="12"/>
  <c r="AEX16" i="12"/>
  <c r="AEZ13" i="12"/>
  <c r="AEY16" i="12"/>
  <c r="AEY14" i="12"/>
  <c r="AEZ16" i="12"/>
  <c r="AFA13" i="12"/>
  <c r="AEZ14" i="12"/>
  <c r="AFB13" i="12"/>
  <c r="AFA14" i="12"/>
  <c r="AFA16" i="12"/>
  <c r="AFC13" i="12"/>
  <c r="AFB14" i="12"/>
  <c r="AFB16" i="12"/>
  <c r="AFD13" i="12"/>
  <c r="AFC14" i="12"/>
  <c r="AFC16" i="12"/>
  <c r="AFD14" i="12"/>
  <c r="AFE13" i="12"/>
  <c r="AFD16" i="12"/>
  <c r="AFF13" i="12"/>
  <c r="AFE16" i="12"/>
  <c r="AFE14" i="12"/>
  <c r="AFG13" i="12"/>
  <c r="AFF16" i="12"/>
  <c r="AFF14" i="12"/>
  <c r="AFG14" i="12"/>
  <c r="AFH13" i="12"/>
  <c r="AFG16" i="12"/>
  <c r="AFH14" i="12"/>
  <c r="AFI13" i="12"/>
  <c r="AFH16" i="12"/>
  <c r="AFI16" i="12"/>
  <c r="AFJ13" i="12"/>
  <c r="AFI14" i="12"/>
  <c r="AFJ16" i="12"/>
  <c r="AFK13" i="12"/>
  <c r="AFJ14" i="12"/>
  <c r="AFK16" i="12"/>
  <c r="AFL13" i="12"/>
  <c r="AFK14" i="12"/>
  <c r="AFM13" i="12"/>
  <c r="AFN13" i="12"/>
  <c r="AFL14" i="12"/>
  <c r="AFL16" i="12"/>
  <c r="AFO13" i="12"/>
  <c r="AFP13" i="12"/>
  <c r="AFN16" i="12"/>
  <c r="AFN14" i="12"/>
  <c r="AFM16" i="12"/>
  <c r="AFM14" i="12"/>
  <c r="AFQ13" i="12"/>
  <c r="AFP16" i="12"/>
  <c r="AFP14" i="12"/>
  <c r="AFO14" i="12"/>
  <c r="AFO16" i="12"/>
  <c r="AFR13" i="12"/>
  <c r="AFQ16" i="12"/>
  <c r="AFQ14" i="12"/>
  <c r="AFS13" i="12"/>
  <c r="AFR14" i="12"/>
  <c r="AFR16" i="12"/>
  <c r="AFT13" i="12"/>
  <c r="AFS16" i="12"/>
  <c r="AFS14" i="12"/>
  <c r="AFU13" i="12"/>
  <c r="AFT16" i="12"/>
  <c r="AFT14" i="12"/>
  <c r="AFV13" i="12"/>
  <c r="AFU16" i="12"/>
  <c r="AFU14" i="12"/>
  <c r="AFW13" i="12"/>
  <c r="AFX13" i="12"/>
  <c r="AFY13" i="12"/>
  <c r="AFV16" i="12"/>
  <c r="AFV14" i="12"/>
  <c r="AFZ13" i="12"/>
  <c r="AFY16" i="12"/>
  <c r="AFY14" i="12"/>
  <c r="AFW16" i="12"/>
  <c r="AFW14" i="12"/>
  <c r="AGA13" i="12"/>
  <c r="AFZ16" i="12"/>
  <c r="AFZ14" i="12"/>
  <c r="AFX16" i="12"/>
  <c r="AFX14" i="12"/>
  <c r="AGA14" i="12"/>
  <c r="AGB13" i="12"/>
  <c r="AGA16" i="12"/>
  <c r="AGC13" i="12"/>
  <c r="AGB14" i="12"/>
  <c r="AGB16" i="12"/>
  <c r="AGC14" i="12"/>
  <c r="AGD13" i="12"/>
  <c r="AGC16" i="12"/>
  <c r="AGE13" i="12"/>
  <c r="AGD14" i="12"/>
  <c r="AGD16" i="12"/>
  <c r="AGF13" i="12"/>
  <c r="AGE14" i="12"/>
  <c r="AGE16" i="12"/>
  <c r="AGG13" i="12"/>
  <c r="AGF14" i="12"/>
  <c r="AGF16" i="12"/>
  <c r="AGH13" i="12"/>
  <c r="AGG14" i="12"/>
  <c r="AGG16" i="12"/>
  <c r="AGI13" i="12"/>
  <c r="AGH16" i="12"/>
  <c r="AGH14" i="12"/>
  <c r="AGJ13" i="12"/>
  <c r="AGI16" i="12"/>
  <c r="AGI14" i="12"/>
  <c r="AGK13" i="12"/>
  <c r="AGL13" i="12"/>
  <c r="AGM13" i="12"/>
  <c r="AGJ16" i="12"/>
  <c r="AGJ14" i="12"/>
  <c r="AGM16" i="12"/>
  <c r="AGN13" i="12"/>
  <c r="AGO13" i="12"/>
  <c r="AGP13" i="12"/>
  <c r="AGM14" i="12"/>
  <c r="AGL14" i="12"/>
  <c r="AGL16" i="12"/>
  <c r="AGK14" i="12"/>
  <c r="AGK16" i="12"/>
  <c r="AGP14" i="12"/>
  <c r="AGQ13" i="12"/>
  <c r="AGP16" i="12"/>
  <c r="AGN14" i="12"/>
  <c r="AGN16" i="12"/>
  <c r="AGR13" i="12"/>
  <c r="AGQ16" i="12"/>
  <c r="AGQ14" i="12"/>
  <c r="AGO16" i="12"/>
  <c r="AGO14" i="12"/>
  <c r="AGR16" i="12"/>
  <c r="AGS13" i="12"/>
  <c r="AGR14" i="12"/>
  <c r="AGS16" i="12"/>
  <c r="AGT13" i="12"/>
  <c r="AGS14" i="12"/>
  <c r="AGT14" i="12"/>
  <c r="AGT16" i="12"/>
  <c r="AGU13" i="12"/>
  <c r="AGU14" i="12"/>
  <c r="AGV13" i="12"/>
  <c r="AGU16" i="12"/>
  <c r="AGW13" i="12"/>
  <c r="AGV14" i="12"/>
  <c r="AGV16" i="12"/>
  <c r="AGW14" i="12"/>
  <c r="AGX13" i="12"/>
  <c r="AGW16" i="12"/>
  <c r="AGX14" i="12"/>
  <c r="AGY13" i="12"/>
  <c r="AGX16" i="12"/>
  <c r="AGZ13" i="12"/>
  <c r="AGY14" i="12"/>
  <c r="AGY16" i="12"/>
  <c r="AHA13" i="12"/>
  <c r="AHB13" i="12"/>
  <c r="AGZ14" i="12"/>
  <c r="AGZ16" i="12"/>
  <c r="AHC13" i="12"/>
  <c r="AHB16" i="12"/>
  <c r="AHB14" i="12"/>
  <c r="AHA14" i="12"/>
  <c r="AHA16" i="12"/>
  <c r="AHD13" i="12"/>
  <c r="AHC16" i="12"/>
  <c r="AHC14" i="12"/>
  <c r="AHE13" i="12"/>
  <c r="AHD16" i="12"/>
  <c r="AHD14" i="12"/>
  <c r="AHF13" i="12"/>
  <c r="AHE16" i="12"/>
  <c r="AHE14" i="12"/>
  <c r="AHG13" i="12"/>
  <c r="AHF14" i="12"/>
  <c r="AHF16" i="12"/>
  <c r="AHH13" i="12"/>
  <c r="AHG14" i="12"/>
  <c r="AHG16" i="12"/>
  <c r="AHI13" i="12"/>
  <c r="AHH16" i="12"/>
  <c r="AHH14" i="12"/>
  <c r="AHJ13" i="12"/>
  <c r="AHI14" i="12"/>
  <c r="AHI16" i="12"/>
  <c r="AHK13" i="12"/>
  <c r="AHJ14" i="12"/>
  <c r="AHJ16" i="12"/>
  <c r="AHL13" i="12"/>
  <c r="AHK14" i="12"/>
  <c r="AHK16" i="12"/>
  <c r="AHM13" i="12"/>
  <c r="AHL14" i="12"/>
  <c r="AHL16" i="12"/>
  <c r="AHN13" i="12"/>
  <c r="AHM14" i="12"/>
  <c r="AHM16" i="12"/>
  <c r="AHO13" i="12"/>
  <c r="AHN16" i="12"/>
  <c r="AHN14" i="12"/>
  <c r="AHP13" i="12"/>
  <c r="AHO16" i="12"/>
  <c r="AHO14" i="12"/>
  <c r="AHQ13" i="12"/>
  <c r="AHP14" i="12"/>
  <c r="AHP16" i="12"/>
  <c r="AHR13" i="12"/>
  <c r="AHQ16" i="12"/>
  <c r="AHQ14" i="12"/>
  <c r="AHS13" i="12"/>
  <c r="AHR16" i="12"/>
  <c r="AHR14" i="12"/>
  <c r="AHT13" i="12"/>
  <c r="AHS14" i="12"/>
  <c r="AHS16" i="12"/>
  <c r="AHU13" i="12"/>
  <c r="AHT14" i="12"/>
  <c r="AHT16" i="12"/>
  <c r="AHV13" i="12"/>
  <c r="AHU16" i="12"/>
  <c r="AHU14" i="12"/>
  <c r="AHW13" i="12"/>
  <c r="AHV16" i="12"/>
  <c r="AHV14" i="12"/>
  <c r="AHX13" i="12"/>
  <c r="AHY13" i="12"/>
  <c r="AHW16" i="12"/>
  <c r="AHW14" i="12"/>
  <c r="AHZ13" i="12"/>
  <c r="AIA13" i="12"/>
  <c r="AIB13" i="12"/>
  <c r="AHX14" i="12"/>
  <c r="AHX16" i="12"/>
  <c r="AIA14" i="12"/>
  <c r="AIC13" i="12"/>
  <c r="AIA16" i="12"/>
  <c r="AHY14" i="12"/>
  <c r="AHY16" i="12"/>
  <c r="AIB14" i="12"/>
  <c r="AIB16" i="12"/>
  <c r="AIC14" i="12"/>
  <c r="AID13" i="12"/>
  <c r="AIC16" i="12"/>
  <c r="AHZ14" i="12"/>
  <c r="AHZ16" i="12"/>
  <c r="AID14" i="12"/>
  <c r="AIE13" i="12"/>
  <c r="AIF13" i="12"/>
  <c r="AID16" i="12"/>
  <c r="AIG13" i="12"/>
  <c r="AIH13" i="12"/>
  <c r="AIF14" i="12"/>
  <c r="AIF16" i="12"/>
  <c r="AIE14" i="12"/>
  <c r="AIE16" i="12"/>
  <c r="AII13" i="12"/>
  <c r="AIH16" i="12"/>
  <c r="AIH14" i="12"/>
  <c r="AIG16" i="12"/>
  <c r="AIG14" i="12"/>
  <c r="AIJ13" i="12"/>
  <c r="AII16" i="12"/>
  <c r="AII14" i="12"/>
  <c r="AIJ14" i="12"/>
  <c r="AIK13" i="12"/>
  <c r="AIJ16" i="12"/>
  <c r="AIK14" i="12"/>
  <c r="AIL13" i="12"/>
  <c r="AIK16" i="12"/>
  <c r="AIM13" i="12"/>
  <c r="AIN13" i="12"/>
  <c r="AIO13" i="12"/>
  <c r="AIP13" i="12"/>
  <c r="AIL14" i="12"/>
  <c r="AIL16" i="12"/>
  <c r="AIQ13" i="12"/>
  <c r="AIR13" i="12"/>
  <c r="AIS13" i="12"/>
  <c r="AIT13" i="12"/>
  <c r="AIP16" i="12"/>
  <c r="AIP14" i="12"/>
  <c r="AIN14" i="12"/>
  <c r="AIM14" i="12"/>
  <c r="AIM16" i="12"/>
  <c r="AIU13" i="12"/>
  <c r="AIT16" i="12"/>
  <c r="AIT14" i="12"/>
  <c r="AIQ14" i="12"/>
  <c r="AIQ16" i="12"/>
  <c r="AIO16" i="12"/>
  <c r="AIO14" i="12"/>
  <c r="AIN16" i="12"/>
  <c r="AIU16" i="12"/>
  <c r="AIV13" i="12"/>
  <c r="AIW13" i="12"/>
  <c r="AIU14" i="12"/>
  <c r="AIR16" i="12"/>
  <c r="AIR14" i="12"/>
  <c r="AIX13" i="12"/>
  <c r="AIW16" i="12"/>
  <c r="AIW14" i="12"/>
  <c r="AIV16" i="12"/>
  <c r="AIV14" i="12"/>
  <c r="AIS14" i="12"/>
  <c r="AIS16" i="12"/>
  <c r="AIY13" i="12"/>
  <c r="AIX14" i="12"/>
  <c r="AIX16" i="12"/>
  <c r="AIY16" i="12"/>
  <c r="AIZ13" i="12"/>
  <c r="AJA13" i="12"/>
  <c r="AIY14" i="12"/>
  <c r="AJB13" i="12"/>
  <c r="AJA16" i="12"/>
  <c r="AJA14" i="12"/>
  <c r="AIZ14" i="12"/>
  <c r="AIZ16" i="12"/>
  <c r="AJB14" i="12"/>
  <c r="AJC13" i="12"/>
  <c r="AJB16" i="12"/>
  <c r="AJD13" i="12"/>
  <c r="AJC14" i="12"/>
  <c r="AJC16" i="12"/>
  <c r="AJE13" i="12"/>
  <c r="AJD16" i="12"/>
  <c r="AJD14" i="12"/>
  <c r="AJE14" i="12"/>
  <c r="AJF13" i="12"/>
  <c r="AJE16" i="12"/>
  <c r="AJF16" i="12"/>
  <c r="AJG13" i="12"/>
  <c r="AJH13" i="12"/>
  <c r="AJF14" i="12"/>
  <c r="AJI13" i="12"/>
  <c r="AJH16" i="12"/>
  <c r="AJH14" i="12"/>
  <c r="AJG14" i="12"/>
  <c r="AJG16" i="12"/>
  <c r="AJJ13" i="12"/>
  <c r="AJI16" i="12"/>
  <c r="AJI14" i="12"/>
  <c r="AJK13" i="12"/>
  <c r="AJJ16" i="12"/>
  <c r="AJJ14" i="12"/>
  <c r="AJL13" i="12"/>
  <c r="AJK14" i="12"/>
  <c r="AJK16" i="12"/>
  <c r="AJM13" i="12"/>
  <c r="AJL14" i="12"/>
  <c r="AJL16" i="12"/>
  <c r="AJN13" i="12"/>
  <c r="AJM16" i="12"/>
  <c r="AJM14" i="12"/>
  <c r="AJO13" i="12"/>
  <c r="AJN16" i="12"/>
  <c r="AJN14" i="12"/>
  <c r="AJP13" i="12"/>
  <c r="AJQ13" i="12"/>
  <c r="AJO16" i="12"/>
  <c r="AJO14" i="12"/>
  <c r="AJR13" i="12"/>
  <c r="AJQ16" i="12"/>
  <c r="AJQ14" i="12"/>
  <c r="AJP16" i="12"/>
  <c r="AJP14" i="12"/>
  <c r="AJS13" i="12"/>
  <c r="AJT13" i="12"/>
  <c r="AJU13" i="12"/>
  <c r="AJV13" i="12"/>
  <c r="AJW13" i="12"/>
  <c r="AJR16" i="12"/>
  <c r="AJR14" i="12"/>
  <c r="AJX13" i="12"/>
  <c r="AJW16" i="12"/>
  <c r="AJW14" i="12"/>
  <c r="AJV16" i="12"/>
  <c r="AJV14" i="12"/>
  <c r="AJS16" i="12"/>
  <c r="AJS14" i="12"/>
  <c r="AJY13" i="12"/>
  <c r="AJX14" i="12"/>
  <c r="AJX16" i="12"/>
  <c r="AJT16" i="12"/>
  <c r="AJT14" i="12"/>
  <c r="AJZ13" i="12"/>
  <c r="AJY16" i="12"/>
  <c r="AJY14" i="12"/>
  <c r="AJU16" i="12"/>
  <c r="AJU14" i="12"/>
  <c r="AJZ14" i="12"/>
  <c r="AKA13" i="12"/>
  <c r="AJZ16" i="12"/>
  <c r="AKA16" i="12"/>
  <c r="AKB13" i="12"/>
  <c r="AKC13" i="12"/>
  <c r="AKA14" i="12"/>
  <c r="AKD13" i="12"/>
  <c r="AKE13" i="12"/>
  <c r="AKF13" i="12"/>
  <c r="AKC16" i="12"/>
  <c r="AKC14" i="12"/>
  <c r="AKB16" i="12"/>
  <c r="AKB14" i="12"/>
  <c r="AKF16" i="12"/>
  <c r="AKG13" i="12"/>
  <c r="AKF14" i="12"/>
  <c r="AKE16" i="12"/>
  <c r="AKE14" i="12"/>
  <c r="AKD16" i="12"/>
  <c r="AKD14" i="12"/>
  <c r="AKG16" i="12"/>
  <c r="AKG14" i="12"/>
  <c r="AKH13" i="12"/>
  <c r="AKH14" i="12"/>
  <c r="AKI13" i="12"/>
  <c r="AKJ13" i="12"/>
  <c r="AKH16" i="12"/>
  <c r="AKJ16" i="12"/>
  <c r="AKK13" i="12"/>
  <c r="AKJ14" i="12"/>
  <c r="AKI16" i="12"/>
  <c r="AKI14" i="12"/>
  <c r="AKK16" i="12"/>
  <c r="AKL13" i="12"/>
  <c r="AKK14" i="12"/>
  <c r="AKM13" i="12"/>
  <c r="AKL16" i="12"/>
  <c r="AKL14" i="12"/>
  <c r="AKM16" i="12"/>
  <c r="AKM14" i="12"/>
  <c r="AKN13" i="12"/>
  <c r="AKN16" i="12"/>
  <c r="AKO13" i="12"/>
  <c r="AKN14" i="12"/>
  <c r="AKO16" i="12"/>
  <c r="AKP13" i="12"/>
  <c r="AKQ13" i="12"/>
  <c r="AKR13" i="12"/>
  <c r="AKS13" i="12"/>
  <c r="AKT13" i="12"/>
  <c r="AKO14" i="12"/>
  <c r="AKU13" i="12"/>
  <c r="AKT16" i="12"/>
  <c r="AKT14" i="12"/>
  <c r="AKP16" i="12"/>
  <c r="AKP14" i="12"/>
  <c r="AKV13" i="12"/>
  <c r="AKU16" i="12"/>
  <c r="AKU14" i="12"/>
  <c r="AKQ16" i="12"/>
  <c r="AKQ14" i="12"/>
  <c r="AKW13" i="12"/>
  <c r="AKV16" i="12"/>
  <c r="AKV14" i="12"/>
  <c r="AKS16" i="12"/>
  <c r="AKS14" i="12"/>
  <c r="AKR16" i="12"/>
  <c r="AKR14" i="12"/>
  <c r="AKX13" i="12"/>
  <c r="AKW16" i="12"/>
  <c r="AKW14" i="12"/>
  <c r="AKX16" i="12"/>
  <c r="AKY13" i="12"/>
  <c r="AKX14" i="12"/>
  <c r="AKZ13" i="12"/>
  <c r="AKY16" i="12"/>
  <c r="AKY14" i="12"/>
  <c r="ALA13" i="12"/>
  <c r="AKZ16" i="12"/>
  <c r="AKZ14" i="12"/>
  <c r="ALB13" i="12"/>
  <c r="ALA14" i="12"/>
  <c r="ALA16" i="12"/>
  <c r="ALC13" i="12"/>
  <c r="ALB16" i="12"/>
  <c r="ALB14" i="12"/>
  <c r="ALD13" i="12"/>
  <c r="ALC16" i="12"/>
  <c r="ALC14" i="12"/>
  <c r="ALE13" i="12"/>
  <c r="ALD16" i="12"/>
  <c r="ALD14" i="12"/>
  <c r="ALF13" i="12"/>
  <c r="ALE16" i="12"/>
  <c r="ALE14" i="12"/>
  <c r="ALF16" i="12"/>
  <c r="ALG13" i="12"/>
  <c r="ALF14" i="12"/>
  <c r="ALH13" i="12"/>
  <c r="ALG14" i="12"/>
  <c r="ALG16" i="12"/>
  <c r="ALI13" i="12"/>
  <c r="ALH14" i="12"/>
  <c r="ALH16" i="12"/>
  <c r="ALJ13" i="12"/>
  <c r="ALI16" i="12"/>
  <c r="ALI14" i="12"/>
  <c r="ALJ16" i="12"/>
  <c r="ALK13" i="12"/>
  <c r="ALJ14" i="12"/>
  <c r="ALL13" i="12"/>
  <c r="ALK16" i="12"/>
  <c r="ALK14" i="12"/>
  <c r="ALM13" i="12"/>
  <c r="ALL16" i="12"/>
  <c r="ALL14" i="12"/>
  <c r="ALN13" i="12"/>
  <c r="ALM16" i="12"/>
  <c r="ALM14" i="12"/>
  <c r="ALO13" i="12"/>
  <c r="ALN16" i="12"/>
  <c r="ALN14" i="12"/>
  <c r="ALP13" i="12"/>
  <c r="ALO16" i="12"/>
  <c r="ALO14" i="12"/>
  <c r="ALQ13" i="12"/>
  <c r="ALP16" i="12"/>
  <c r="ALP14" i="12"/>
  <c r="ALR13" i="12"/>
  <c r="ALQ16" i="12"/>
  <c r="ALQ14" i="12"/>
  <c r="ALS13" i="12"/>
  <c r="ALR16" i="12"/>
  <c r="ALR14" i="12"/>
  <c r="ALT13" i="12"/>
  <c r="ALS16" i="12"/>
  <c r="ALS14" i="12"/>
  <c r="ALT16" i="12"/>
  <c r="ALU13" i="12"/>
  <c r="ALT14" i="12"/>
  <c r="ALV13" i="12"/>
  <c r="ALU14" i="12"/>
  <c r="ALU16" i="12"/>
  <c r="ALW13" i="12"/>
  <c r="ALV14" i="12"/>
  <c r="ALV16" i="12"/>
  <c r="ALW14" i="12"/>
  <c r="ALX13" i="12"/>
  <c r="ALW16" i="12"/>
  <c r="ALY13" i="12"/>
  <c r="ALX14" i="12"/>
  <c r="ALX16" i="12"/>
  <c r="ALZ13" i="12"/>
  <c r="AMA13" i="12"/>
  <c r="AMB13" i="12"/>
  <c r="AMC13" i="12"/>
  <c r="ALY16" i="12"/>
  <c r="ALY14" i="12"/>
  <c r="AMC16" i="12"/>
  <c r="AMD13" i="12"/>
  <c r="AMC14" i="12"/>
  <c r="ALZ16" i="12"/>
  <c r="ALZ14" i="12"/>
  <c r="AMD16" i="12"/>
  <c r="AME13" i="12"/>
  <c r="AMD14" i="12"/>
  <c r="AMA16" i="12"/>
  <c r="AMA14" i="12"/>
  <c r="AME14" i="12"/>
  <c r="AME16" i="12"/>
  <c r="AMF13" i="12"/>
  <c r="AMB14" i="12"/>
  <c r="AMB16" i="12"/>
  <c r="AMG13" i="12"/>
  <c r="AMF14" i="12"/>
  <c r="AMF16" i="12"/>
  <c r="AMG16" i="12"/>
  <c r="AMH13" i="12"/>
  <c r="AMG14" i="12"/>
  <c r="AMI13" i="12"/>
  <c r="AMH16" i="12"/>
  <c r="AMH14" i="12"/>
  <c r="AMJ13" i="12"/>
  <c r="AMI16" i="12"/>
  <c r="AMI14" i="12"/>
  <c r="AMJ14" i="12"/>
  <c r="AMK13" i="12"/>
  <c r="AMJ16" i="12"/>
  <c r="AMK14" i="12"/>
  <c r="AML13" i="12"/>
  <c r="AMK16" i="12"/>
  <c r="AMM13" i="12"/>
  <c r="AML16" i="12"/>
  <c r="AML14" i="12"/>
  <c r="AMN13" i="12"/>
  <c r="AMM16" i="12"/>
  <c r="AMM14" i="12"/>
  <c r="AMO13" i="12"/>
  <c r="AMN14" i="12"/>
  <c r="AMN16" i="12"/>
  <c r="AMP13" i="12"/>
  <c r="AMO14" i="12"/>
  <c r="AMO16" i="12"/>
  <c r="AMQ13" i="12"/>
  <c r="AMP14" i="12"/>
  <c r="AMP16" i="12"/>
  <c r="AMR13" i="12"/>
  <c r="AMQ16" i="12"/>
  <c r="AMQ14" i="12"/>
  <c r="AMR16" i="12"/>
  <c r="AMS13" i="12"/>
  <c r="AMR14" i="12"/>
  <c r="AMT13" i="12"/>
  <c r="AMS16" i="12"/>
  <c r="AMS14" i="12"/>
  <c r="AMU13" i="12"/>
  <c r="AMT16" i="12"/>
  <c r="AMT14" i="12"/>
  <c r="AMV13" i="12"/>
  <c r="AMU16" i="12"/>
  <c r="AMU14" i="12"/>
  <c r="AMV16" i="12"/>
  <c r="AMW13" i="12"/>
  <c r="AMV14" i="12"/>
  <c r="AMX13" i="12"/>
  <c r="AMW14" i="12"/>
  <c r="AMW16" i="12"/>
  <c r="AMX16" i="12"/>
  <c r="AMY13" i="12"/>
  <c r="AMX14" i="12"/>
  <c r="AMZ13" i="12"/>
  <c r="AMY16" i="12"/>
  <c r="AMY14" i="12"/>
  <c r="ANA13" i="12"/>
  <c r="AMZ16" i="12"/>
  <c r="AMZ14" i="12"/>
  <c r="ANB13" i="12"/>
  <c r="ANA16" i="12"/>
  <c r="ANA14" i="12"/>
  <c r="ANC13" i="12"/>
  <c r="ANB14" i="12"/>
  <c r="ANB16" i="12"/>
  <c r="AND13" i="12"/>
  <c r="ANC14" i="12"/>
  <c r="ANC16" i="12"/>
  <c r="ANE13" i="12"/>
  <c r="AND16" i="12"/>
  <c r="AND14" i="12"/>
  <c r="ANF13" i="12"/>
  <c r="ANE16" i="12"/>
  <c r="ANE14" i="12"/>
  <c r="ANG13" i="12"/>
  <c r="ANF16" i="12"/>
  <c r="ANF14" i="12"/>
  <c r="ANH13" i="12"/>
  <c r="ANG16" i="12"/>
  <c r="ANG14" i="12"/>
  <c r="ANI13" i="12"/>
  <c r="ANH14" i="12"/>
  <c r="ANH16" i="12"/>
  <c r="ANI16" i="12"/>
  <c r="ANJ13" i="12"/>
  <c r="ANI14" i="12"/>
  <c r="ANK13" i="12"/>
  <c r="ANJ16" i="12"/>
  <c r="ANJ14" i="12"/>
  <c r="ANL13" i="12"/>
  <c r="ANK16" i="12"/>
  <c r="ANK14" i="12"/>
  <c r="ANM13" i="12"/>
  <c r="ANL16" i="12"/>
  <c r="ANL14" i="12"/>
  <c r="ANN13" i="12"/>
  <c r="ANM16" i="12"/>
  <c r="ANM14" i="12"/>
  <c r="ANO13" i="12"/>
  <c r="ANN16" i="12"/>
  <c r="ANN14" i="12"/>
  <c r="ANP13" i="12"/>
  <c r="ANO16" i="12"/>
  <c r="ANO14" i="12"/>
  <c r="ANQ13" i="12"/>
  <c r="ANP16" i="12"/>
  <c r="ANP14" i="12"/>
  <c r="ANR13" i="12"/>
  <c r="ANQ16" i="12"/>
  <c r="ANQ14" i="12"/>
  <c r="ANS13" i="12"/>
  <c r="ANR14" i="12"/>
  <c r="ANR16" i="12"/>
  <c r="ANT13" i="12"/>
  <c r="ANS16" i="12"/>
  <c r="ANS14" i="12"/>
  <c r="ANU13" i="12"/>
  <c r="ANT16" i="12"/>
  <c r="ANT14" i="12"/>
  <c r="ANU14" i="12"/>
  <c r="ANV13" i="12"/>
  <c r="ANU16" i="12"/>
  <c r="ANW13" i="12"/>
  <c r="ANV16" i="12"/>
  <c r="ANV14" i="12"/>
  <c r="ANX13" i="12"/>
  <c r="ANW16" i="12"/>
  <c r="ANW14" i="12"/>
  <c r="ANX14" i="12"/>
  <c r="ANY13" i="12"/>
  <c r="ANX16" i="12"/>
  <c r="ANZ13" i="12"/>
  <c r="ANY16" i="12"/>
  <c r="ANY14" i="12"/>
  <c r="ANZ14" i="12"/>
  <c r="AOA13" i="12"/>
  <c r="ANZ16" i="12"/>
  <c r="AOB13" i="12"/>
  <c r="AOA16" i="12"/>
  <c r="AOA14" i="12"/>
  <c r="AOB16" i="12"/>
  <c r="AOB14" i="12"/>
  <c r="AOC13" i="12"/>
  <c r="AOD13" i="12"/>
  <c r="AOC14" i="12"/>
  <c r="AOC16" i="12"/>
  <c r="AOE13" i="12"/>
  <c r="AOD14" i="12"/>
  <c r="AOD16" i="12"/>
  <c r="AOE16" i="12"/>
  <c r="AOF13" i="12"/>
  <c r="AOE14" i="12"/>
  <c r="AOF16" i="12"/>
  <c r="AOG13" i="12"/>
  <c r="AOF14" i="12"/>
  <c r="AOG14" i="12"/>
  <c r="AOH13" i="12"/>
  <c r="AOG16" i="12"/>
  <c r="AOI13" i="12"/>
  <c r="AOH16" i="12"/>
  <c r="AOH14" i="12"/>
  <c r="AOI14" i="12"/>
  <c r="AOJ13" i="12"/>
  <c r="AOI16" i="12"/>
  <c r="AOJ16" i="12"/>
  <c r="AOK13" i="12"/>
  <c r="AOJ14" i="12"/>
  <c r="AOL13" i="12"/>
  <c r="AOK16" i="12"/>
  <c r="AOK14" i="12"/>
  <c r="AOM13" i="12"/>
  <c r="AOL14" i="12"/>
  <c r="AOL16" i="12"/>
  <c r="AON13" i="12"/>
  <c r="AOO13" i="12"/>
  <c r="AOM16" i="12"/>
  <c r="AOM14" i="12"/>
  <c r="AOP13" i="12"/>
  <c r="AOO16" i="12"/>
  <c r="AOO14" i="12"/>
  <c r="AON16" i="12"/>
  <c r="AON14" i="12"/>
  <c r="AOQ13" i="12"/>
  <c r="AOP16" i="12"/>
  <c r="AOP14" i="12"/>
  <c r="AOR13" i="12"/>
  <c r="AOS13" i="12"/>
  <c r="AOQ16" i="12"/>
  <c r="AOQ14" i="12"/>
  <c r="AOT13" i="12"/>
  <c r="AOS16" i="12"/>
  <c r="AOS14" i="12"/>
  <c r="AOR16" i="12"/>
  <c r="AOR14" i="12"/>
  <c r="AOU13" i="12"/>
  <c r="AOT14" i="12"/>
  <c r="AOT16" i="12"/>
  <c r="AOU16" i="12"/>
  <c r="AOV13" i="12"/>
  <c r="AOU14" i="12"/>
  <c r="AOW13" i="12"/>
  <c r="AOV16" i="12"/>
  <c r="AOV14" i="12"/>
  <c r="AOW16" i="12"/>
  <c r="AOW14" i="12"/>
  <c r="AOX13" i="12"/>
  <c r="AOY13" i="12"/>
  <c r="AOX16" i="12"/>
  <c r="AOX14" i="12"/>
  <c r="AOZ13" i="12"/>
  <c r="AOY16" i="12"/>
  <c r="AOY14" i="12"/>
  <c r="APA13" i="12"/>
  <c r="AOZ14" i="12"/>
  <c r="AOZ16" i="12"/>
  <c r="APB13" i="12"/>
  <c r="APA14" i="12"/>
  <c r="APA16" i="12"/>
  <c r="APB14" i="12"/>
  <c r="APC13" i="12"/>
  <c r="APB16" i="12"/>
  <c r="APD13" i="12"/>
  <c r="APC16" i="12"/>
  <c r="APC14" i="12"/>
  <c r="APE13" i="12"/>
  <c r="APD16" i="12"/>
  <c r="APD14" i="12"/>
  <c r="APF13" i="12"/>
  <c r="APE14" i="12"/>
  <c r="APE16" i="12"/>
  <c r="APG13" i="12"/>
  <c r="APF16" i="12"/>
  <c r="APF14" i="12"/>
  <c r="APG14" i="12"/>
  <c r="APH13" i="12"/>
  <c r="APG16" i="12"/>
  <c r="API13" i="12"/>
  <c r="APH14" i="12"/>
  <c r="APH16" i="12"/>
  <c r="APJ13" i="12"/>
  <c r="API14" i="12"/>
  <c r="API16" i="12"/>
  <c r="APK13" i="12"/>
  <c r="APJ16" i="12"/>
  <c r="APJ14" i="12"/>
  <c r="APL13" i="12"/>
  <c r="APK14" i="12"/>
  <c r="APK16" i="12"/>
  <c r="APM13" i="12"/>
  <c r="APL14" i="12"/>
  <c r="APL16" i="12"/>
  <c r="APN13" i="12"/>
  <c r="APO13" i="12"/>
  <c r="APM16" i="12"/>
  <c r="APM14" i="12"/>
  <c r="APP13" i="12"/>
  <c r="APO14" i="12"/>
  <c r="APO16" i="12"/>
  <c r="APN16" i="12"/>
  <c r="APN14" i="12"/>
  <c r="APQ13" i="12"/>
  <c r="APP16" i="12"/>
  <c r="APP14" i="12"/>
  <c r="APR13" i="12"/>
  <c r="APQ14" i="12"/>
  <c r="APQ16" i="12"/>
  <c r="APS13" i="12"/>
  <c r="APR14" i="12"/>
  <c r="APR16" i="12"/>
  <c r="APT13" i="12"/>
  <c r="APS14" i="12"/>
  <c r="APS16" i="12"/>
  <c r="APU13" i="12"/>
  <c r="APT16" i="12"/>
  <c r="APT14" i="12"/>
  <c r="APV13" i="12"/>
  <c r="APU14" i="12"/>
  <c r="APU16" i="12"/>
  <c r="APW13" i="12"/>
  <c r="APV16" i="12"/>
  <c r="APV14" i="12"/>
  <c r="APX13" i="12"/>
  <c r="APW16" i="12"/>
  <c r="APW14" i="12"/>
  <c r="APX16" i="12"/>
  <c r="APY13" i="12"/>
  <c r="APX14" i="12"/>
  <c r="APY16" i="12"/>
  <c r="APZ13" i="12"/>
  <c r="APY14" i="12"/>
  <c r="APZ16" i="12"/>
  <c r="AQA13" i="12"/>
  <c r="APZ14" i="12"/>
  <c r="AQB13" i="12"/>
  <c r="AQA14" i="12"/>
  <c r="AQA16" i="12"/>
  <c r="AQC13" i="12"/>
  <c r="AQB14" i="12"/>
  <c r="AQB16" i="12"/>
  <c r="AQD13" i="12"/>
  <c r="AQC16" i="12"/>
  <c r="AQC14" i="12"/>
  <c r="AQE13" i="12"/>
  <c r="AQD16" i="12"/>
  <c r="AQD14" i="12"/>
  <c r="AQF13" i="12"/>
  <c r="AQE16" i="12"/>
  <c r="AQE14" i="12"/>
  <c r="AQG13" i="12"/>
  <c r="AQF14" i="12"/>
  <c r="AQF16" i="12"/>
  <c r="AQH13" i="12"/>
  <c r="AQG16" i="12"/>
  <c r="AQG14" i="12"/>
  <c r="AQI13" i="12"/>
  <c r="AQH14" i="12"/>
  <c r="AQH16" i="12"/>
  <c r="AQJ13" i="12"/>
  <c r="AQI16" i="12"/>
  <c r="AQI14" i="12"/>
  <c r="AQK13" i="12"/>
  <c r="AQJ14" i="12"/>
  <c r="AQJ16" i="12"/>
  <c r="AQL13" i="12"/>
  <c r="AQK14" i="12"/>
  <c r="AQK16" i="12"/>
  <c r="AQL14" i="12"/>
  <c r="AQM13" i="12"/>
  <c r="AQL16" i="12"/>
  <c r="AQN13" i="12"/>
  <c r="AQM16" i="12"/>
  <c r="AQM14" i="12"/>
  <c r="AQO13" i="12"/>
  <c r="AQN14" i="12"/>
  <c r="AQN16" i="12"/>
  <c r="AQP13" i="12"/>
  <c r="AQO14" i="12"/>
  <c r="AQO16" i="12"/>
  <c r="AQQ13" i="12"/>
  <c r="AQP14" i="12"/>
  <c r="AQP16" i="12"/>
  <c r="AQR13" i="12"/>
  <c r="AQQ16" i="12"/>
  <c r="AQQ14" i="12"/>
  <c r="AQR16" i="12"/>
  <c r="AQS13" i="12"/>
  <c r="AQR14" i="12"/>
  <c r="AQS14" i="12"/>
  <c r="AQT13" i="12"/>
  <c r="AQS16" i="12"/>
  <c r="AQT16" i="12"/>
  <c r="AQT14" i="12"/>
  <c r="AQU13" i="12"/>
  <c r="AQV13" i="12"/>
  <c r="AQU16" i="12"/>
  <c r="AQU14" i="12"/>
  <c r="AQW13" i="12"/>
  <c r="AQV14" i="12"/>
  <c r="AQV16" i="12"/>
  <c r="AQX13" i="12"/>
  <c r="AQW14" i="12"/>
  <c r="AQW16" i="12"/>
  <c r="AQY13" i="12"/>
  <c r="AQX14" i="12"/>
  <c r="AQX16" i="12"/>
  <c r="AQZ13" i="12"/>
  <c r="AQY14" i="12"/>
  <c r="AQY16" i="12"/>
  <c r="AQZ14" i="12"/>
  <c r="AQZ16" i="12"/>
  <c r="ARA13" i="12"/>
  <c r="ARA16" i="12"/>
  <c r="ARB13" i="12"/>
  <c r="ARA14" i="12"/>
  <c r="ARC13" i="12"/>
  <c r="ARB14" i="12"/>
  <c r="ARB16" i="12"/>
  <c r="ARD13" i="12"/>
  <c r="ARC16" i="12"/>
  <c r="ARC14" i="12"/>
  <c r="ARE13" i="12"/>
  <c r="ARD16" i="12"/>
  <c r="ARD14" i="12"/>
  <c r="ARF13" i="12"/>
  <c r="ARE14" i="12"/>
  <c r="ARE16" i="12"/>
  <c r="ARG13" i="12"/>
  <c r="ARF14" i="12"/>
  <c r="ARF16" i="12"/>
  <c r="ARH13" i="12"/>
  <c r="ARG14" i="12"/>
  <c r="ARG16" i="12"/>
  <c r="ARI13" i="12"/>
  <c r="ARH16" i="12"/>
  <c r="ARH14" i="12"/>
  <c r="ARJ13" i="12"/>
  <c r="ARI16" i="12"/>
  <c r="ARI14" i="12"/>
  <c r="ARK13" i="12"/>
  <c r="ARJ16" i="12"/>
  <c r="ARJ14" i="12"/>
  <c r="ARL13" i="12"/>
  <c r="ARK14" i="12"/>
  <c r="ARK16" i="12"/>
  <c r="ARM13" i="12"/>
  <c r="ARL16" i="12"/>
  <c r="ARL14" i="12"/>
  <c r="ARN13" i="12"/>
  <c r="ARM16" i="12"/>
  <c r="ARM14" i="12"/>
  <c r="ARO13" i="12"/>
  <c r="ARN16" i="12"/>
  <c r="ARN14" i="12"/>
  <c r="ARO14" i="12"/>
  <c r="ARO16" i="12"/>
  <c r="ARP13" i="12"/>
  <c r="ARQ13" i="12"/>
  <c r="ARP16" i="12"/>
  <c r="ARP14" i="12"/>
  <c r="ARQ16" i="12"/>
  <c r="ARR13" i="12"/>
  <c r="ARQ14" i="12"/>
  <c r="ARS13" i="12"/>
  <c r="ARR14" i="12"/>
  <c r="ARR16" i="12"/>
  <c r="ART13" i="12"/>
  <c r="ARS14" i="12"/>
  <c r="ARS16" i="12"/>
  <c r="ARU13" i="12"/>
  <c r="ART14" i="12"/>
  <c r="ART16" i="12"/>
  <c r="ARV13" i="12"/>
  <c r="ARU14" i="12"/>
  <c r="ARU16" i="12"/>
  <c r="ARV14" i="12"/>
  <c r="ARV16" i="12"/>
  <c r="ARW13" i="12"/>
  <c r="ARW14" i="12"/>
  <c r="ARW16" i="12"/>
  <c r="ARX13" i="12"/>
  <c r="ARY13" i="12"/>
  <c r="ARX14" i="12"/>
  <c r="ARX16" i="12"/>
  <c r="ARZ13" i="12"/>
  <c r="ARY14" i="12"/>
  <c r="ARY16" i="12"/>
  <c r="ASA13" i="12"/>
  <c r="ARZ16" i="12"/>
  <c r="ARZ14" i="12"/>
  <c r="ASB13" i="12"/>
  <c r="ASA14" i="12"/>
  <c r="ASA16" i="12"/>
  <c r="ASB16" i="12"/>
  <c r="ASB14" i="12"/>
  <c r="ASC13" i="12"/>
  <c r="ASC16" i="12"/>
  <c r="ASC14" i="12"/>
  <c r="ASD13" i="12"/>
  <c r="ASE13" i="12"/>
  <c r="ASD14" i="12"/>
  <c r="ASD16" i="12"/>
  <c r="ASF13" i="12"/>
  <c r="ASE16" i="12"/>
  <c r="ASE14" i="12"/>
  <c r="ASG13" i="12"/>
  <c r="ASF16" i="12"/>
  <c r="ASF14" i="12"/>
  <c r="ASG14" i="12"/>
  <c r="ASH13" i="12"/>
  <c r="ASG16" i="12"/>
  <c r="ASI13" i="12"/>
  <c r="ASH14" i="12"/>
  <c r="ASH16" i="12"/>
  <c r="ASJ13" i="12"/>
  <c r="ASI14" i="12"/>
  <c r="ASI16" i="12"/>
  <c r="ASK13" i="12"/>
  <c r="ASJ14" i="12"/>
  <c r="ASJ16" i="12"/>
  <c r="ASL13" i="12"/>
  <c r="ASK14" i="12"/>
  <c r="ASK16" i="12"/>
  <c r="ASM13" i="12"/>
  <c r="ASL14" i="12"/>
  <c r="ASL16" i="12"/>
  <c r="ASN13" i="12"/>
  <c r="ASM16" i="12"/>
  <c r="ASM14" i="12"/>
  <c r="ASO13" i="12"/>
  <c r="ASN16" i="12"/>
  <c r="ASN14" i="12"/>
  <c r="ASP13" i="12"/>
  <c r="ASO16" i="12"/>
  <c r="ASO14" i="12"/>
  <c r="ASP16" i="12"/>
  <c r="ASP14" i="12"/>
  <c r="ASQ13" i="12"/>
  <c r="ASQ14" i="12"/>
  <c r="ASQ16" i="12"/>
  <c r="ASR13" i="12"/>
  <c r="ASS13" i="12"/>
  <c r="ASR16" i="12"/>
  <c r="ASR14" i="12"/>
  <c r="AST13" i="12"/>
  <c r="ASS16" i="12"/>
  <c r="ASS14" i="12"/>
  <c r="ASU13" i="12"/>
  <c r="AST16" i="12"/>
  <c r="AST14" i="12"/>
  <c r="ASU16" i="12"/>
  <c r="ASV13" i="12"/>
  <c r="ASU14" i="12"/>
  <c r="ASW13" i="12"/>
  <c r="ASV16" i="12"/>
  <c r="ASV14" i="12"/>
  <c r="ASW14" i="12"/>
  <c r="ASX13" i="12"/>
  <c r="ASW16" i="12"/>
  <c r="ASX16" i="12"/>
  <c r="ASX14" i="12"/>
  <c r="ASY13" i="12"/>
  <c r="ASZ13" i="12"/>
  <c r="ASY14" i="12"/>
  <c r="ASY16" i="12"/>
  <c r="ATA13" i="12"/>
  <c r="ASZ16" i="12"/>
  <c r="ASZ14" i="12"/>
  <c r="ATB13" i="12"/>
  <c r="ATA16" i="12"/>
  <c r="ATA14" i="12"/>
  <c r="ATB16" i="12"/>
  <c r="ATC13" i="12"/>
  <c r="ATB14" i="12"/>
  <c r="ATD13" i="12"/>
  <c r="ATC16" i="12"/>
  <c r="ATC14" i="12"/>
  <c r="ATD14" i="12"/>
  <c r="ATE13" i="12"/>
  <c r="ATD16" i="12"/>
  <c r="ATF13" i="12"/>
  <c r="ATE16" i="12"/>
  <c r="ATE14" i="12"/>
  <c r="ATG13" i="12"/>
  <c r="ATF14" i="12"/>
  <c r="ATF16" i="12"/>
  <c r="ATH13" i="12"/>
  <c r="ATG16" i="12"/>
  <c r="ATG14" i="12"/>
  <c r="ATH16" i="12"/>
  <c r="ATI13" i="12"/>
  <c r="ATH14" i="12"/>
  <c r="ATJ13" i="12"/>
  <c r="ATI14" i="12"/>
  <c r="ATI16" i="12"/>
  <c r="ATK13" i="12"/>
  <c r="ATJ14" i="12"/>
  <c r="ATJ16" i="12"/>
  <c r="ATK14" i="12"/>
  <c r="ATK16" i="12"/>
  <c r="ATL13" i="12"/>
  <c r="ATL16" i="12"/>
  <c r="ATL14" i="12"/>
  <c r="ATM13" i="12"/>
  <c r="ATN13" i="12"/>
  <c r="ATM14" i="12"/>
  <c r="ATM16" i="12"/>
  <c r="ATO13" i="12"/>
  <c r="ATN14" i="12"/>
  <c r="ATN16" i="12"/>
  <c r="ATP13" i="12"/>
  <c r="ATO16" i="12"/>
  <c r="ATO14" i="12"/>
  <c r="ATP16" i="12"/>
  <c r="ATQ13" i="12"/>
  <c r="ATP14" i="12"/>
  <c r="ATR13" i="12"/>
  <c r="ATQ16" i="12"/>
  <c r="ATQ14" i="12"/>
  <c r="ATR14" i="12"/>
  <c r="ATR16" i="12"/>
  <c r="ATS13" i="12"/>
  <c r="ATT13" i="12"/>
  <c r="ATS14" i="12"/>
  <c r="ATS16" i="12"/>
  <c r="ATU13" i="12"/>
  <c r="ATT14" i="12"/>
  <c r="ATT16" i="12"/>
  <c r="ATV13" i="12"/>
  <c r="ATU14" i="12"/>
  <c r="ATU16" i="12"/>
  <c r="ATW13" i="12"/>
  <c r="ATV14" i="12"/>
  <c r="ATV16" i="12"/>
  <c r="ATX13" i="12"/>
  <c r="ATW14" i="12"/>
  <c r="ATW16" i="12"/>
  <c r="ATY13" i="12"/>
  <c r="ATX14" i="12"/>
  <c r="ATX16" i="12"/>
  <c r="ATY14" i="12"/>
  <c r="ATZ13" i="12"/>
  <c r="ATY16" i="12"/>
  <c r="ATZ14" i="12"/>
  <c r="ATZ16" i="12"/>
  <c r="AUA13" i="12"/>
  <c r="AUB13" i="12"/>
  <c r="AUA16" i="12"/>
  <c r="AUA14" i="12"/>
  <c r="AUC13" i="12"/>
  <c r="AUB16" i="12"/>
  <c r="AUB14" i="12"/>
  <c r="AUD13" i="12"/>
  <c r="AUC16" i="12"/>
  <c r="AUC14" i="12"/>
  <c r="AUE13" i="12"/>
  <c r="AUD14" i="12"/>
  <c r="AUD16" i="12"/>
  <c r="AUF13" i="12"/>
  <c r="AUE16" i="12"/>
  <c r="AUE14" i="12"/>
  <c r="AUF14" i="12"/>
  <c r="AUF16" i="12"/>
  <c r="AUG13" i="12"/>
  <c r="AUG14" i="12"/>
  <c r="AUG16" i="12"/>
  <c r="AUH13" i="12"/>
  <c r="AUI13" i="12"/>
  <c r="AUH16" i="12"/>
  <c r="AUH14" i="12"/>
  <c r="AUJ13" i="12"/>
  <c r="AUI16" i="12"/>
  <c r="AUI14" i="12"/>
  <c r="AUK13" i="12"/>
  <c r="AUJ14" i="12"/>
  <c r="AUJ16" i="12"/>
  <c r="AUL13" i="12"/>
  <c r="AUK14" i="12"/>
  <c r="AUK16" i="12"/>
  <c r="AUM13" i="12"/>
  <c r="AUL16" i="12"/>
  <c r="AUL14" i="12"/>
  <c r="AUM14" i="12"/>
  <c r="AUM16" i="12"/>
  <c r="AUN13" i="12"/>
  <c r="AUO13" i="12"/>
  <c r="AUN16" i="12"/>
  <c r="AUN14" i="12"/>
  <c r="AUP13" i="12"/>
  <c r="AUO16" i="12"/>
  <c r="AUO14" i="12"/>
  <c r="AUQ13" i="12"/>
  <c r="AUP16" i="12"/>
  <c r="AUP14" i="12"/>
  <c r="AUR13" i="12"/>
  <c r="AUQ16" i="12"/>
  <c r="AUQ14" i="12"/>
  <c r="AUR16" i="12"/>
  <c r="AUS13" i="12"/>
  <c r="AUR14" i="12"/>
  <c r="AUT13" i="12"/>
  <c r="AUS16" i="12"/>
  <c r="AUS14" i="12"/>
  <c r="AUT16" i="12"/>
  <c r="AUU13" i="12"/>
  <c r="AUT14" i="12"/>
  <c r="AUU14" i="12"/>
  <c r="AUV13" i="12"/>
  <c r="AUU16" i="12"/>
  <c r="AUV16" i="12"/>
  <c r="AUW13" i="12"/>
  <c r="AUV14" i="12"/>
  <c r="AUX13" i="12"/>
  <c r="AUW14" i="12"/>
  <c r="AUW16" i="12"/>
  <c r="AUY13" i="12"/>
  <c r="AUX14" i="12"/>
  <c r="AUX16" i="12"/>
  <c r="AUZ13" i="12"/>
  <c r="AUY14" i="12"/>
  <c r="AUY16" i="12"/>
  <c r="AVA13" i="12"/>
  <c r="AUZ14" i="12"/>
  <c r="AUZ16" i="12"/>
  <c r="AVB13" i="12"/>
  <c r="AVA14" i="12"/>
  <c r="AVA16" i="12"/>
  <c r="AVC13" i="12"/>
  <c r="AVB14" i="12"/>
  <c r="AVB16" i="12"/>
  <c r="AVC14" i="12"/>
  <c r="AVD13" i="12"/>
  <c r="AVC16" i="12"/>
  <c r="AVE13" i="12"/>
  <c r="AVD14" i="12"/>
  <c r="AVD16" i="12"/>
  <c r="AVF13" i="12"/>
  <c r="AVE14" i="12"/>
  <c r="AVE16" i="12"/>
  <c r="AVG13" i="12"/>
  <c r="AVF14" i="12"/>
  <c r="AVF16" i="12"/>
  <c r="AVH13" i="12"/>
  <c r="AVG14" i="12"/>
  <c r="AVG16" i="12"/>
  <c r="AVI13" i="12"/>
  <c r="AVH14" i="12"/>
  <c r="AVH16" i="12"/>
  <c r="AVJ13" i="12"/>
  <c r="AVI16" i="12"/>
  <c r="AVI14" i="12"/>
  <c r="AVK13" i="12"/>
  <c r="AVJ16" i="12"/>
  <c r="AVJ14" i="12"/>
  <c r="AVL13" i="12"/>
  <c r="AVK16" i="12"/>
  <c r="AVK14" i="12"/>
  <c r="AVM13" i="12"/>
  <c r="AVL16" i="12"/>
  <c r="AVL14" i="12"/>
  <c r="AVN13" i="12"/>
  <c r="AVM16" i="12"/>
  <c r="AVM14" i="12"/>
  <c r="AVN14" i="12"/>
  <c r="AVO13" i="12"/>
  <c r="AVN16" i="12"/>
  <c r="AVP13" i="12"/>
  <c r="AVO16" i="12"/>
  <c r="AVO14" i="12"/>
  <c r="AVP14" i="12"/>
  <c r="AVP16" i="12"/>
  <c r="AVQ13" i="12"/>
  <c r="AVR13" i="12"/>
  <c r="AVQ16" i="12"/>
  <c r="AVQ14" i="12"/>
  <c r="AVS13" i="12"/>
  <c r="AVR14" i="12"/>
  <c r="AVR16" i="12"/>
  <c r="AVT13" i="12"/>
  <c r="AVS16" i="12"/>
  <c r="AVS14" i="12"/>
  <c r="AVU13" i="12"/>
  <c r="AVT16" i="12"/>
  <c r="AVT14" i="12"/>
  <c r="AVV13" i="12"/>
  <c r="AVU16" i="12"/>
  <c r="AVU14" i="12"/>
  <c r="AVV14" i="12"/>
  <c r="AVV16" i="12"/>
  <c r="AVW13" i="12"/>
  <c r="AVW14" i="12"/>
  <c r="AVX13" i="12"/>
  <c r="AVW16" i="12"/>
  <c r="AVX14" i="12"/>
  <c r="AVY13" i="12"/>
  <c r="AVX16" i="12"/>
  <c r="AVZ13" i="12"/>
  <c r="AVY16" i="12"/>
  <c r="AVY14" i="12"/>
  <c r="AWA13" i="12"/>
  <c r="AVZ16" i="12"/>
  <c r="AVZ14" i="12"/>
  <c r="AWA16" i="12"/>
  <c r="AWB13" i="12"/>
  <c r="AWA14" i="12"/>
  <c r="AWC13" i="12"/>
  <c r="AWB16" i="12"/>
  <c r="AWB14" i="12"/>
  <c r="AWC14" i="12"/>
  <c r="AWD13" i="12"/>
  <c r="AWC16" i="12"/>
  <c r="AWE13" i="12"/>
  <c r="AWD16" i="12"/>
  <c r="AWD14" i="12"/>
  <c r="AWF13" i="12"/>
  <c r="AWE16" i="12"/>
  <c r="AWE14" i="12"/>
  <c r="AWG13" i="12"/>
  <c r="AWF16" i="12"/>
  <c r="AWF14" i="12"/>
  <c r="AWG16" i="12"/>
  <c r="AWH13" i="12"/>
  <c r="AWG14" i="12"/>
  <c r="AWI13" i="12"/>
  <c r="AWH16" i="12"/>
  <c r="AWH14" i="12"/>
  <c r="AWJ13" i="12"/>
  <c r="AWI16" i="12"/>
  <c r="AWI14" i="12"/>
  <c r="AWJ14" i="12"/>
  <c r="AWK13" i="12"/>
  <c r="AWJ16" i="12"/>
  <c r="AWL13" i="12"/>
  <c r="AWK14" i="12"/>
  <c r="AWK16" i="12"/>
  <c r="AWM13" i="12"/>
  <c r="AWL16" i="12"/>
  <c r="AWL14" i="12"/>
  <c r="AWN13" i="12"/>
  <c r="AWM16" i="12"/>
  <c r="AWM14" i="12"/>
  <c r="AWO13" i="12"/>
  <c r="AWN16" i="12"/>
  <c r="AWN14" i="12"/>
  <c r="AWP13" i="12"/>
  <c r="AWO16" i="12"/>
  <c r="AWO14" i="12"/>
  <c r="AWQ13" i="12"/>
  <c r="AWP14" i="12"/>
  <c r="AWP16" i="12"/>
  <c r="AWQ16" i="12"/>
  <c r="AWR13" i="12"/>
  <c r="AWQ14" i="12"/>
  <c r="AWR16" i="12"/>
  <c r="AWS13" i="12"/>
  <c r="AWR14" i="12"/>
  <c r="AWT13" i="12"/>
  <c r="AWS14" i="12"/>
  <c r="AWS16" i="12"/>
  <c r="AWU13" i="12"/>
  <c r="AWT14" i="12"/>
  <c r="AWT16" i="12"/>
  <c r="AWV13" i="12"/>
  <c r="AWU14" i="12"/>
  <c r="AWU16" i="12"/>
  <c r="AWW13" i="12"/>
  <c r="AWV14" i="12"/>
  <c r="AWV16" i="12"/>
  <c r="AWX13" i="12"/>
  <c r="AWW14" i="12"/>
  <c r="AWW16" i="12"/>
  <c r="AWX14" i="12"/>
  <c r="AWY13" i="12"/>
  <c r="AWX16" i="12"/>
  <c r="AWY16" i="12"/>
  <c r="AWZ13" i="12"/>
  <c r="AWY14" i="12"/>
  <c r="AXA13" i="12"/>
  <c r="AWZ16" i="12"/>
  <c r="AWZ14" i="12"/>
  <c r="AXB13" i="12"/>
  <c r="AXA16" i="12"/>
  <c r="AXA14" i="12"/>
  <c r="AXB16" i="12"/>
  <c r="AXC13" i="12"/>
  <c r="AXB14" i="12"/>
  <c r="AXD13" i="12"/>
  <c r="AXC16" i="12"/>
  <c r="AXC14" i="12"/>
  <c r="AXE13" i="12"/>
  <c r="AXD16" i="12"/>
  <c r="AXD14" i="12"/>
  <c r="AXF13" i="12"/>
  <c r="AXE16" i="12"/>
  <c r="AXE14" i="12"/>
  <c r="AXG13" i="12"/>
  <c r="AXF14" i="12"/>
  <c r="AXF16" i="12"/>
  <c r="AXH13" i="12"/>
  <c r="AXG16" i="12"/>
  <c r="AXG14" i="12"/>
  <c r="AXI13" i="12"/>
  <c r="AXJ13" i="12"/>
  <c r="AXH14" i="12"/>
  <c r="AXH16" i="12"/>
  <c r="AXJ16" i="12"/>
  <c r="AXK13" i="12"/>
  <c r="AXJ14" i="12"/>
  <c r="AXI14" i="12"/>
  <c r="AXI16" i="12"/>
  <c r="AXL13" i="12"/>
  <c r="AXK16" i="12"/>
  <c r="AXK14" i="12"/>
  <c r="AXM13" i="12"/>
  <c r="AXL16" i="12"/>
  <c r="AXL14" i="12"/>
  <c r="AXN13" i="12"/>
  <c r="AXM16" i="12"/>
  <c r="AXM14" i="12"/>
  <c r="AXO13" i="12"/>
  <c r="AXN16" i="12"/>
  <c r="AXN14" i="12"/>
  <c r="AXP13" i="12"/>
  <c r="AXO14" i="12"/>
  <c r="AXO16" i="12"/>
  <c r="AXQ13" i="12"/>
  <c r="AXP16" i="12"/>
  <c r="AXP14" i="12"/>
  <c r="AXR13" i="12"/>
  <c r="AXQ14" i="12"/>
  <c r="AXQ16" i="12"/>
  <c r="AXR16" i="12"/>
  <c r="AXS13" i="12"/>
  <c r="AXR14" i="12"/>
  <c r="AXT13" i="12"/>
  <c r="AXS16" i="12"/>
  <c r="AXS14" i="12"/>
  <c r="AXT14" i="12"/>
  <c r="AXT16" i="12"/>
  <c r="AXU13" i="12"/>
  <c r="AXV13" i="12"/>
  <c r="AXU16" i="12"/>
  <c r="AXU14" i="12"/>
  <c r="AXV16" i="12"/>
  <c r="AXW13" i="12"/>
  <c r="AXV14" i="12"/>
  <c r="AXX13" i="12"/>
  <c r="AXW14" i="12"/>
  <c r="AXW16" i="12"/>
  <c r="AXY13" i="12"/>
  <c r="AXX16" i="12"/>
  <c r="AXX14" i="12"/>
  <c r="AXZ13" i="12"/>
  <c r="AXY14" i="12"/>
  <c r="AXY16" i="12"/>
  <c r="AYA13" i="12"/>
  <c r="AXZ16" i="12"/>
  <c r="AXZ14" i="12"/>
  <c r="AYA14" i="12"/>
  <c r="AYB13" i="12"/>
  <c r="AYA16" i="12"/>
  <c r="AYB16" i="12"/>
  <c r="AYC13" i="12"/>
  <c r="AYD13" i="12"/>
  <c r="AYB14" i="12"/>
  <c r="AYE13" i="12"/>
  <c r="AYD16" i="12"/>
  <c r="AYD14" i="12"/>
  <c r="AYC14" i="12"/>
  <c r="AYC16" i="12"/>
  <c r="AYF13" i="12"/>
  <c r="AYE14" i="12"/>
  <c r="AYE16" i="12"/>
  <c r="AYG13" i="12"/>
  <c r="AYF16" i="12"/>
  <c r="AYF14" i="12"/>
  <c r="AYG16" i="12"/>
  <c r="AYH13" i="12"/>
  <c r="AYG14" i="12"/>
  <c r="AYH14" i="12"/>
  <c r="AYI13" i="12"/>
  <c r="AYH16" i="12"/>
  <c r="AYI14" i="12"/>
  <c r="AYJ13" i="12"/>
  <c r="AYI16" i="12"/>
  <c r="AYJ16" i="12"/>
  <c r="AYJ14" i="12"/>
  <c r="AYK13" i="12"/>
  <c r="AYL13" i="12"/>
  <c r="AYK16" i="12"/>
  <c r="AYK14" i="12"/>
  <c r="AYM13" i="12"/>
  <c r="AYL14" i="12"/>
  <c r="AYL16" i="12"/>
  <c r="AYN13" i="12"/>
  <c r="AYM16" i="12"/>
  <c r="AYM14" i="12"/>
  <c r="AYN16" i="12"/>
  <c r="AYN14" i="12"/>
  <c r="AYO13" i="12"/>
  <c r="AYO16" i="12"/>
  <c r="AYP13" i="12"/>
  <c r="AYO14" i="12"/>
  <c r="AYQ13" i="12"/>
  <c r="AYP14" i="12"/>
  <c r="AYP16" i="12"/>
  <c r="AYQ16" i="12"/>
  <c r="AYR13" i="12"/>
  <c r="AYQ14" i="12"/>
  <c r="AYS13" i="12"/>
  <c r="AYR14" i="12"/>
  <c r="AYR16" i="12"/>
  <c r="AYT13" i="12"/>
  <c r="AYS14" i="12"/>
  <c r="AYS16" i="12"/>
  <c r="AYU13" i="12"/>
  <c r="AYT14" i="12"/>
  <c r="AYT16" i="12"/>
  <c r="AYV13" i="12"/>
  <c r="AYU14" i="12"/>
  <c r="AYU16" i="12"/>
  <c r="AYW13" i="12"/>
  <c r="AYV16" i="12"/>
  <c r="AYV14" i="12"/>
  <c r="AYX13" i="12"/>
  <c r="AYW16" i="12"/>
  <c r="AYW14" i="12"/>
  <c r="AYY13" i="12"/>
  <c r="AYX16" i="12"/>
  <c r="AYX14" i="12"/>
  <c r="AYZ13" i="12"/>
  <c r="AYY16" i="12"/>
  <c r="AYY14" i="12"/>
  <c r="AZA13" i="12"/>
  <c r="AYZ14" i="12"/>
  <c r="AYZ16" i="12"/>
  <c r="AZB13" i="12"/>
  <c r="AZA14" i="12"/>
  <c r="AZA16" i="12"/>
  <c r="AZB14" i="12"/>
  <c r="AZC13" i="12"/>
  <c r="AZB16" i="12"/>
  <c r="AZD13" i="12"/>
  <c r="AZC14" i="12"/>
  <c r="AZC16" i="12"/>
  <c r="AZE13" i="12"/>
  <c r="AZD16" i="12"/>
  <c r="AZD14" i="12"/>
  <c r="AZF13" i="12"/>
  <c r="AZE16" i="12"/>
  <c r="AZE14" i="12"/>
  <c r="AZG13" i="12"/>
  <c r="AZF16" i="12"/>
  <c r="AZF14" i="12"/>
  <c r="AZH13" i="12"/>
  <c r="AZG14" i="12"/>
  <c r="AZG16" i="12"/>
  <c r="AZI13" i="12"/>
  <c r="AZH14" i="12"/>
  <c r="AZH16" i="12"/>
  <c r="AZJ13" i="12"/>
  <c r="AZI16" i="12"/>
  <c r="AZI14" i="12"/>
  <c r="AZK13" i="12"/>
  <c r="AZJ16" i="12"/>
  <c r="AZJ14" i="12"/>
  <c r="AZL13" i="12"/>
  <c r="AZK14" i="12"/>
  <c r="AZK16" i="12"/>
  <c r="AZM13" i="12"/>
  <c r="AZL16" i="12"/>
  <c r="AZL14" i="12"/>
  <c r="AZN13" i="12"/>
  <c r="AZM14" i="12"/>
  <c r="AZM16" i="12"/>
  <c r="AZO13" i="12"/>
  <c r="AZN16" i="12"/>
  <c r="AZN14" i="12"/>
  <c r="AZO16" i="12"/>
  <c r="AZP13" i="12"/>
  <c r="AZO14" i="12"/>
  <c r="AZQ13" i="12"/>
  <c r="AZP16" i="12"/>
  <c r="AZP14" i="12"/>
  <c r="AZQ16" i="12"/>
  <c r="AZQ14" i="12"/>
  <c r="AZR13" i="12"/>
  <c r="AZS13" i="12"/>
  <c r="AZR14" i="12"/>
  <c r="AZR16" i="12"/>
  <c r="AZT13" i="12"/>
  <c r="AZS16" i="12"/>
  <c r="AZS14" i="12"/>
  <c r="AZU13" i="12"/>
  <c r="AZT16" i="12"/>
  <c r="AZT14" i="12"/>
  <c r="AZV13" i="12"/>
  <c r="AZU14" i="12"/>
  <c r="AZU16" i="12"/>
  <c r="AZW13" i="12"/>
  <c r="AZV14" i="12"/>
  <c r="AZV16" i="12"/>
  <c r="AZW14" i="12"/>
  <c r="AZX13" i="12"/>
  <c r="AZW16" i="12"/>
  <c r="AZY13" i="12"/>
  <c r="AZX14" i="12"/>
  <c r="AZX16" i="12"/>
  <c r="AZZ13" i="12"/>
  <c r="AZY16" i="12"/>
  <c r="AZY14" i="12"/>
  <c r="BAA13" i="12"/>
  <c r="AZZ16" i="12"/>
  <c r="AZZ14" i="12"/>
  <c r="BAB13" i="12"/>
  <c r="BAA16" i="12"/>
  <c r="BAA14" i="12"/>
  <c r="BAC13" i="12"/>
  <c r="BAB16" i="12"/>
  <c r="BAB14" i="12"/>
  <c r="BAD13" i="12"/>
  <c r="BAC14" i="12"/>
  <c r="BAC16" i="12"/>
  <c r="BAD14" i="12"/>
  <c r="BAE13" i="12"/>
  <c r="BAD16" i="12"/>
  <c r="BAF13" i="12"/>
  <c r="BAE14" i="12"/>
  <c r="BAE16" i="12"/>
  <c r="BAG13" i="12"/>
  <c r="BAF14" i="12"/>
  <c r="BAF16" i="12"/>
  <c r="BAH13" i="12"/>
  <c r="BAG16" i="12"/>
  <c r="BAG14" i="12"/>
  <c r="BAH16" i="12"/>
  <c r="BAI13" i="12"/>
  <c r="BAH14" i="12"/>
  <c r="BAJ13" i="12"/>
  <c r="BAI14" i="12"/>
  <c r="BAI16" i="12"/>
  <c r="BAK13" i="12"/>
  <c r="BAJ16" i="12"/>
  <c r="BAJ14" i="12"/>
  <c r="BAK14" i="12"/>
  <c r="BAL13" i="12"/>
  <c r="BAK16" i="12"/>
  <c r="BAM13" i="12"/>
  <c r="BAL14" i="12"/>
  <c r="BAL16" i="12"/>
  <c r="BAN13" i="12"/>
  <c r="BAM16" i="12"/>
  <c r="BAM14" i="12"/>
  <c r="BAO13" i="12"/>
  <c r="BAN16" i="12"/>
  <c r="BAN14" i="12"/>
  <c r="BAP13" i="12"/>
  <c r="BAO14" i="12"/>
  <c r="BAO16" i="12"/>
  <c r="BAQ13" i="12"/>
  <c r="BAP16" i="12"/>
  <c r="BAP14" i="12"/>
  <c r="BAR13" i="12"/>
  <c r="BAQ14" i="12"/>
  <c r="BAQ16" i="12"/>
  <c r="BAR16" i="12"/>
  <c r="BAS13" i="12"/>
  <c r="BAR14" i="12"/>
  <c r="BAT13" i="12"/>
  <c r="BAS16" i="12"/>
  <c r="BAS14" i="12"/>
  <c r="BAU13" i="12"/>
  <c r="BAT16" i="12"/>
  <c r="BAT14" i="12"/>
  <c r="BAV13" i="12"/>
  <c r="BAU16" i="12"/>
  <c r="BAU14" i="12"/>
  <c r="BAW13" i="12"/>
  <c r="BAV14" i="12"/>
  <c r="BAV16" i="12"/>
  <c r="BAX13" i="12"/>
  <c r="BAW16" i="12"/>
  <c r="BAW14" i="12"/>
  <c r="BAY13" i="12"/>
  <c r="BAX16" i="12"/>
  <c r="BAX14" i="12"/>
  <c r="BAZ13" i="12"/>
  <c r="BAY16" i="12"/>
  <c r="BAY14" i="12"/>
  <c r="BBA13" i="12"/>
  <c r="BAZ16" i="12"/>
  <c r="BAZ14" i="12"/>
  <c r="BBB13" i="12"/>
  <c r="BBA14" i="12"/>
  <c r="BBA16" i="12"/>
  <c r="BBC13" i="12"/>
  <c r="BBB16" i="12"/>
  <c r="BBB14" i="12"/>
  <c r="BBD13" i="12"/>
  <c r="BBC16" i="12"/>
  <c r="BBC14" i="12"/>
  <c r="BBE13" i="12"/>
  <c r="BBD16" i="12"/>
  <c r="BBD14" i="12"/>
  <c r="BBF13" i="12"/>
  <c r="BBE16" i="12"/>
  <c r="BBE14" i="12"/>
  <c r="BBF14" i="12"/>
  <c r="BBG13" i="12"/>
  <c r="BBF16" i="12"/>
  <c r="BBH13" i="12"/>
  <c r="BBG14" i="12"/>
  <c r="BBG16" i="12"/>
  <c r="BBI13" i="12"/>
  <c r="BBH16" i="12"/>
  <c r="BBH14" i="12"/>
  <c r="BBJ13" i="12"/>
  <c r="BBI16" i="12"/>
  <c r="BBI14" i="12"/>
  <c r="BBK13" i="12"/>
  <c r="BBJ16" i="12"/>
  <c r="BBJ14" i="12"/>
  <c r="BBL13" i="12"/>
  <c r="BBK14" i="12"/>
  <c r="BBK16" i="12"/>
  <c r="BBM13" i="12"/>
  <c r="BBL14" i="12"/>
  <c r="BBL16" i="12"/>
  <c r="BBM14" i="12"/>
  <c r="BBN13" i="12"/>
  <c r="BBM16" i="12"/>
  <c r="BBN14" i="12"/>
  <c r="BBN16" i="12"/>
  <c r="BBO13" i="12"/>
  <c r="BBP13" i="12"/>
  <c r="BBO16" i="12"/>
  <c r="BBO14" i="12"/>
  <c r="BBQ13" i="12"/>
  <c r="BBP16" i="12"/>
  <c r="BBP14" i="12"/>
  <c r="BBR13" i="12"/>
  <c r="BBQ16" i="12"/>
  <c r="BBQ14" i="12"/>
  <c r="BBS13" i="12"/>
  <c r="BBT13" i="12"/>
  <c r="BBR16" i="12"/>
  <c r="BBR14" i="12"/>
  <c r="BBT14" i="12"/>
  <c r="BBU13" i="12"/>
  <c r="BBT16" i="12"/>
  <c r="BBS14" i="12"/>
  <c r="BBS16" i="12"/>
  <c r="BBV13" i="12"/>
  <c r="BBU14" i="12"/>
  <c r="BBU16" i="12"/>
  <c r="BBW13" i="12"/>
  <c r="BBV16" i="12"/>
  <c r="BBV14" i="12"/>
  <c r="BBX13" i="12"/>
  <c r="BBW16" i="12"/>
  <c r="BBW14" i="12"/>
  <c r="BBY13" i="12"/>
  <c r="BBX16" i="12"/>
  <c r="BBX14" i="12"/>
  <c r="BBZ13" i="12"/>
  <c r="BBZ17" i="12"/>
  <c r="BBY16" i="12"/>
  <c r="BBY14" i="12"/>
  <c r="BCA13" i="12"/>
  <c r="BBZ16" i="12"/>
  <c r="BBZ14" i="12"/>
  <c r="BCA17" i="12"/>
  <c r="BCA14" i="12"/>
  <c r="BCA16" i="12"/>
  <c r="BCB13" i="12"/>
  <c r="BCB17" i="12"/>
  <c r="BCC13" i="12"/>
  <c r="BCC17" i="12"/>
  <c r="BCB16" i="12"/>
  <c r="BCB14" i="12"/>
  <c r="BCD13" i="12"/>
  <c r="BCC16" i="12"/>
  <c r="BCC14" i="12"/>
  <c r="BCD17" i="12"/>
  <c r="BCE13" i="12"/>
  <c r="BCE17" i="12"/>
  <c r="BCD16" i="12"/>
  <c r="BCD14" i="12"/>
  <c r="BCF13" i="12"/>
  <c r="BCF17" i="12"/>
  <c r="BCE16" i="12"/>
  <c r="BCE14" i="12"/>
  <c r="BCG13" i="12"/>
  <c r="BCG17" i="12"/>
  <c r="BCF14" i="12"/>
  <c r="BCF16" i="12"/>
  <c r="BCH13" i="12"/>
  <c r="BCH17" i="12"/>
  <c r="BCG14" i="12"/>
  <c r="BCG16" i="12"/>
  <c r="BCH14" i="12"/>
  <c r="BCI13" i="12"/>
  <c r="BCH16" i="12"/>
  <c r="BCI17" i="12"/>
  <c r="BCI16" i="12"/>
  <c r="BCJ13" i="12"/>
  <c r="BCJ17" i="12"/>
  <c r="BCI14" i="12"/>
  <c r="BCK13" i="12"/>
  <c r="BCJ16" i="12"/>
  <c r="BCJ14" i="12"/>
  <c r="BCK17" i="12"/>
  <c r="BCL13" i="12"/>
  <c r="BCK16" i="12"/>
  <c r="BCK14" i="12"/>
  <c r="BCL17" i="12"/>
  <c r="BCM13" i="12"/>
  <c r="BCL14" i="12"/>
  <c r="BCL16" i="12"/>
  <c r="BCM17" i="12"/>
  <c r="BCN13" i="12"/>
  <c r="BCM16" i="12"/>
  <c r="BCM14" i="12"/>
  <c r="BCN17" i="12"/>
  <c r="BCO13" i="12"/>
  <c r="BCO17" i="12"/>
  <c r="BCN16" i="12"/>
  <c r="BCN14" i="12"/>
  <c r="BCP13" i="12"/>
  <c r="BCP17" i="12"/>
  <c r="BCO16" i="12"/>
  <c r="BCO14" i="12"/>
  <c r="BCQ13" i="12"/>
  <c r="BCP16" i="12"/>
  <c r="BCP14" i="12"/>
  <c r="BCQ17" i="12"/>
  <c r="BCR13" i="12"/>
  <c r="BCR17" i="12"/>
  <c r="BCQ16" i="12"/>
  <c r="BCQ14" i="12"/>
  <c r="BCS13" i="12"/>
  <c r="BCS17" i="12"/>
  <c r="BCR16" i="12"/>
  <c r="BCR14" i="12"/>
  <c r="BCS16" i="12"/>
  <c r="BCT17" i="12"/>
  <c r="BCS14" i="1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Maher.Alsiddiqi</author>
  </authors>
  <commentList>
    <comment ref="B157" authorId="0" shapeId="0" xr:uid="{00000000-0006-0000-0200-000001000000}">
      <text>
        <r>
          <rPr>
            <b/>
            <sz val="9"/>
            <color indexed="81"/>
            <rFont val="Tahoma"/>
            <family val="2"/>
          </rPr>
          <t>Maher.Alsiddiqi:</t>
        </r>
        <r>
          <rPr>
            <sz val="9"/>
            <color indexed="81"/>
            <rFont val="Tahoma"/>
            <family val="2"/>
          </rPr>
          <t xml:space="preserve">
SP-3 Plan Maintenance for 116 Conveyor &amp; 118 Tower Pulley lagging took around 18 to 19 hr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MAHIR AL-SIDDIQI</author>
    <author>MAHER ALSIDDIQI</author>
    <author>user</author>
    <author>John Dominic  Noronha</author>
    <author>山九株式会社</author>
    <author>User</author>
    <author>Maher.Alsiddiqi</author>
    <author>Khaled.Aljihdimi</author>
    <author>TC&amp;E</author>
    <author>DCU</author>
    <author>toshiba</author>
    <author>shakil</author>
  </authors>
  <commentList>
    <comment ref="H7" authorId="0" shapeId="0" xr:uid="{00000000-0006-0000-0300-000003000000}">
      <text>
        <r>
          <rPr>
            <b/>
            <sz val="9"/>
            <color indexed="81"/>
            <rFont val="Tahoma"/>
            <family val="2"/>
          </rPr>
          <t>MAHIR AL-SIDDIQI:</t>
        </r>
        <r>
          <rPr>
            <sz val="9"/>
            <color indexed="81"/>
            <rFont val="Tahoma"/>
            <family val="2"/>
          </rPr>
          <t xml:space="preserve">
Bulk Density is 0.94
</t>
        </r>
      </text>
    </comment>
    <comment ref="LL7" authorId="1" shapeId="0" xr:uid="{00000000-0006-0000-0300-000004000000}">
      <text>
        <r>
          <rPr>
            <b/>
            <sz val="9"/>
            <color indexed="81"/>
            <rFont val="Tahoma"/>
            <family val="2"/>
          </rPr>
          <t>MAHER ALSIDDIQI:</t>
        </r>
        <r>
          <rPr>
            <sz val="9"/>
            <color indexed="81"/>
            <rFont val="Tahoma"/>
            <family val="2"/>
          </rPr>
          <t xml:space="preserve">
Unit Rate is 50 % at 16 Cycle </t>
        </r>
      </text>
    </comment>
    <comment ref="M8" authorId="0" shapeId="0" xr:uid="{00000000-0006-0000-0300-000005000000}">
      <text>
        <r>
          <rPr>
            <b/>
            <sz val="9"/>
            <color indexed="81"/>
            <rFont val="Tahoma"/>
            <family val="2"/>
          </rPr>
          <t>MAHIR AL-SIDDIQI:</t>
        </r>
        <r>
          <rPr>
            <sz val="9"/>
            <color indexed="81"/>
            <rFont val="Tahoma"/>
            <family val="2"/>
          </rPr>
          <t xml:space="preserve">
Moisture 12.5%</t>
        </r>
      </text>
    </comment>
    <comment ref="AL8" authorId="0" shapeId="0" xr:uid="{00000000-0006-0000-0300-000006000000}">
      <text>
        <r>
          <rPr>
            <b/>
            <sz val="9"/>
            <color indexed="81"/>
            <rFont val="Tahoma"/>
            <family val="2"/>
          </rPr>
          <t>MAHIR AL-SIDDIQI:</t>
        </r>
        <r>
          <rPr>
            <sz val="9"/>
            <color indexed="81"/>
            <rFont val="Tahoma"/>
            <family val="2"/>
          </rPr>
          <t xml:space="preserve">
Moisture 12.3 %</t>
        </r>
      </text>
    </comment>
    <comment ref="AR8" authorId="0" shapeId="0" xr:uid="{00000000-0006-0000-0300-000007000000}">
      <text>
        <r>
          <rPr>
            <b/>
            <sz val="9"/>
            <color indexed="81"/>
            <rFont val="Tahoma"/>
            <family val="2"/>
          </rPr>
          <t>MAHIR AL-SIDDIQI:</t>
        </r>
        <r>
          <rPr>
            <sz val="9"/>
            <color indexed="81"/>
            <rFont val="Tahoma"/>
            <family val="2"/>
          </rPr>
          <t xml:space="preserve">
Moisture 8.84%
</t>
        </r>
      </text>
    </comment>
    <comment ref="BM8" authorId="0" shapeId="0" xr:uid="{00000000-0006-0000-0300-000008000000}">
      <text>
        <r>
          <rPr>
            <b/>
            <sz val="9"/>
            <color indexed="81"/>
            <rFont val="Tahoma"/>
            <family val="2"/>
          </rPr>
          <t>MAHIR AL-SIDDIQI:</t>
        </r>
        <r>
          <rPr>
            <sz val="9"/>
            <color indexed="81"/>
            <rFont val="Tahoma"/>
            <family val="2"/>
          </rPr>
          <t xml:space="preserve">
Need to Confir Moisture</t>
        </r>
      </text>
    </comment>
    <comment ref="EZ8" authorId="0" shapeId="0" xr:uid="{00000000-0006-0000-0300-000009000000}">
      <text>
        <r>
          <rPr>
            <sz val="10"/>
            <color indexed="81"/>
            <rFont val="Tahoma"/>
            <family val="2"/>
          </rPr>
          <t xml:space="preserve">MAHIR AL-SIDDIQI:
</t>
        </r>
        <r>
          <rPr>
            <b/>
            <sz val="10"/>
            <color indexed="81"/>
            <rFont val="Tahoma"/>
            <family val="2"/>
          </rPr>
          <t>Unit Rate is 100% at 16 Cycle
Moisture 12%
Density 0.85</t>
        </r>
      </text>
    </comment>
    <comment ref="FE8" authorId="0" shapeId="0" xr:uid="{00000000-0006-0000-0300-00000A000000}">
      <text>
        <r>
          <rPr>
            <b/>
            <sz val="9"/>
            <color indexed="81"/>
            <rFont val="Tahoma"/>
            <family val="2"/>
          </rPr>
          <t>MAHIR AL-SIDDIQI:</t>
        </r>
        <r>
          <rPr>
            <sz val="9"/>
            <color indexed="81"/>
            <rFont val="Tahoma"/>
            <family val="2"/>
          </rPr>
          <t xml:space="preserve">
</t>
        </r>
        <r>
          <rPr>
            <b/>
            <sz val="9"/>
            <color indexed="81"/>
            <rFont val="Tahoma"/>
            <family val="2"/>
          </rPr>
          <t>Unit Rate is 60 - 80 % at 18 Cycle</t>
        </r>
      </text>
    </comment>
    <comment ref="FW8" authorId="0" shapeId="0" xr:uid="{00000000-0006-0000-0300-00000B000000}">
      <text>
        <r>
          <rPr>
            <b/>
            <sz val="9"/>
            <color indexed="81"/>
            <rFont val="Tahoma"/>
            <family val="2"/>
          </rPr>
          <t>MAHIR AL-SIDDIQI:</t>
        </r>
        <r>
          <rPr>
            <sz val="9"/>
            <color indexed="81"/>
            <rFont val="Tahoma"/>
            <family val="2"/>
          </rPr>
          <t xml:space="preserve">
AV Moisture 8.84%
</t>
        </r>
      </text>
    </comment>
    <comment ref="GE8" authorId="0" shapeId="0" xr:uid="{00000000-0006-0000-0300-00000C000000}">
      <text>
        <r>
          <rPr>
            <sz val="9"/>
            <color indexed="81"/>
            <rFont val="Tahoma"/>
            <family val="2"/>
          </rPr>
          <t>MAHIR AL-SIDDIQI:</t>
        </r>
        <r>
          <rPr>
            <b/>
            <sz val="9"/>
            <color indexed="81"/>
            <rFont val="Tahoma"/>
            <family val="2"/>
          </rPr>
          <t xml:space="preserve">
</t>
        </r>
        <r>
          <rPr>
            <b/>
            <sz val="12"/>
            <color indexed="81"/>
            <rFont val="Tahoma"/>
            <family val="2"/>
          </rPr>
          <t>Unit Rate is 100% at 16 Cycle
Moisture is 12%
AV Density 0.8395
 after agrement with yasref engineers</t>
        </r>
      </text>
    </comment>
    <comment ref="GL8" authorId="0" shapeId="0" xr:uid="{00000000-0006-0000-0300-00000D000000}">
      <text>
        <r>
          <rPr>
            <b/>
            <sz val="9"/>
            <color indexed="81"/>
            <rFont val="Tahoma"/>
            <family val="2"/>
          </rPr>
          <t>MAHIR AL-SIDDIQI:</t>
        </r>
        <r>
          <rPr>
            <sz val="9"/>
            <color indexed="81"/>
            <rFont val="Tahoma"/>
            <family val="2"/>
          </rPr>
          <t xml:space="preserve">
</t>
        </r>
        <r>
          <rPr>
            <b/>
            <sz val="9"/>
            <color indexed="81"/>
            <rFont val="Tahoma"/>
            <family val="2"/>
          </rPr>
          <t>Unit Rate is 70 - 80 % at 18 Cycle</t>
        </r>
      </text>
    </comment>
    <comment ref="GU8" authorId="0" shapeId="0" xr:uid="{00000000-0006-0000-0300-00000E000000}">
      <text>
        <r>
          <rPr>
            <b/>
            <sz val="9"/>
            <color indexed="81"/>
            <rFont val="Tahoma"/>
            <family val="2"/>
          </rPr>
          <t>MAHIR AL-SIDDIQI:</t>
        </r>
        <r>
          <rPr>
            <sz val="9"/>
            <color indexed="81"/>
            <rFont val="Tahoma"/>
            <family val="2"/>
          </rPr>
          <t xml:space="preserve">
</t>
        </r>
        <r>
          <rPr>
            <b/>
            <sz val="10"/>
            <color indexed="81"/>
            <rFont val="Tahoma"/>
            <family val="2"/>
          </rPr>
          <t xml:space="preserve">Unit Rate is 60 % at 18 Cycle
</t>
        </r>
        <r>
          <rPr>
            <sz val="9"/>
            <color indexed="81"/>
            <rFont val="Tahoma"/>
            <family val="2"/>
          </rPr>
          <t xml:space="preserve">
</t>
        </r>
      </text>
    </comment>
    <comment ref="GV8" authorId="0" shapeId="0" xr:uid="{00000000-0006-0000-0300-00000F000000}">
      <text>
        <r>
          <rPr>
            <b/>
            <sz val="9"/>
            <color indexed="81"/>
            <rFont val="Tahoma"/>
            <family val="2"/>
          </rPr>
          <t>MAHIR AL-SIDDIQI:</t>
        </r>
        <r>
          <rPr>
            <sz val="9"/>
            <color indexed="81"/>
            <rFont val="Tahoma"/>
            <family val="2"/>
          </rPr>
          <t xml:space="preserve">
</t>
        </r>
        <r>
          <rPr>
            <b/>
            <sz val="9"/>
            <color indexed="81"/>
            <rFont val="Tahoma"/>
            <family val="2"/>
          </rPr>
          <t>Moisture = 14%</t>
        </r>
      </text>
    </comment>
    <comment ref="GZ8" authorId="0" shapeId="0" xr:uid="{00000000-0006-0000-0300-000010000000}">
      <text>
        <r>
          <rPr>
            <b/>
            <sz val="9"/>
            <color indexed="81"/>
            <rFont val="Tahoma"/>
            <family val="2"/>
          </rPr>
          <t>MAHIR AL-SIDDIQI:</t>
        </r>
        <r>
          <rPr>
            <sz val="9"/>
            <color indexed="81"/>
            <rFont val="Tahoma"/>
            <family val="2"/>
          </rPr>
          <t xml:space="preserve">
Moisture 6.6%</t>
        </r>
      </text>
    </comment>
    <comment ref="HB8" authorId="0" shapeId="0" xr:uid="{00000000-0006-0000-0300-000011000000}">
      <text>
        <r>
          <rPr>
            <b/>
            <sz val="9"/>
            <color indexed="81"/>
            <rFont val="Tahoma"/>
            <family val="2"/>
          </rPr>
          <t>MAHIR AL-SIDDIQI:</t>
        </r>
        <r>
          <rPr>
            <sz val="9"/>
            <color indexed="81"/>
            <rFont val="Tahoma"/>
            <family val="2"/>
          </rPr>
          <t xml:space="preserve">
Moisture 12%</t>
        </r>
      </text>
    </comment>
    <comment ref="HI8" authorId="0" shapeId="0" xr:uid="{00000000-0006-0000-0300-000012000000}">
      <text>
        <r>
          <rPr>
            <b/>
            <sz val="9"/>
            <color indexed="81"/>
            <rFont val="Tahoma"/>
            <family val="2"/>
          </rPr>
          <t>MAHIR AL-SIDDIQI:</t>
        </r>
        <r>
          <rPr>
            <sz val="9"/>
            <color indexed="81"/>
            <rFont val="Tahoma"/>
            <family val="2"/>
          </rPr>
          <t xml:space="preserve">
Moisture 14%
</t>
        </r>
      </text>
    </comment>
    <comment ref="HJ8" authorId="0" shapeId="0" xr:uid="{00000000-0006-0000-0300-000013000000}">
      <text>
        <r>
          <rPr>
            <b/>
            <sz val="9"/>
            <color indexed="81"/>
            <rFont val="Tahoma"/>
            <family val="2"/>
          </rPr>
          <t>MAHIR AL-SIDDIQI:</t>
        </r>
        <r>
          <rPr>
            <sz val="9"/>
            <color indexed="81"/>
            <rFont val="Tahoma"/>
            <family val="2"/>
          </rPr>
          <t xml:space="preserve">
</t>
        </r>
        <r>
          <rPr>
            <b/>
            <sz val="9"/>
            <color indexed="81"/>
            <rFont val="Tahoma"/>
            <family val="2"/>
          </rPr>
          <t>Unit Rate is 60 - 70 % at 18 Cycle</t>
        </r>
      </text>
    </comment>
    <comment ref="HZ8" authorId="0" shapeId="0" xr:uid="{00000000-0006-0000-0300-000014000000}">
      <text>
        <r>
          <rPr>
            <b/>
            <sz val="9"/>
            <color indexed="81"/>
            <rFont val="Tahoma"/>
            <family val="2"/>
          </rPr>
          <t>MAHIR AL-SIDDIQI:</t>
        </r>
        <r>
          <rPr>
            <sz val="9"/>
            <color indexed="81"/>
            <rFont val="Tahoma"/>
            <family val="2"/>
          </rPr>
          <t xml:space="preserve">
</t>
        </r>
        <r>
          <rPr>
            <b/>
            <sz val="9"/>
            <color indexed="81"/>
            <rFont val="Tahoma"/>
            <family val="2"/>
          </rPr>
          <t>Unit Rate is 75% at 18 Cycle</t>
        </r>
      </text>
    </comment>
    <comment ref="JF8" authorId="0" shapeId="0" xr:uid="{00000000-0006-0000-0300-000015000000}">
      <text>
        <r>
          <rPr>
            <b/>
            <sz val="9"/>
            <color indexed="81"/>
            <rFont val="Tahoma"/>
            <family val="2"/>
          </rPr>
          <t>MAHIR AL-SIDDIQI:</t>
        </r>
        <r>
          <rPr>
            <sz val="9"/>
            <color indexed="81"/>
            <rFont val="Tahoma"/>
            <family val="2"/>
          </rPr>
          <t xml:space="preserve">
</t>
        </r>
        <r>
          <rPr>
            <sz val="11"/>
            <color indexed="81"/>
            <rFont val="Tahoma"/>
            <family val="2"/>
          </rPr>
          <t xml:space="preserve">Unit Rate= 85% at 18 Cycle </t>
        </r>
      </text>
    </comment>
    <comment ref="JK8" authorId="0" shapeId="0" xr:uid="{00000000-0006-0000-0300-000016000000}">
      <text>
        <r>
          <rPr>
            <b/>
            <sz val="9"/>
            <color indexed="81"/>
            <rFont val="Tahoma"/>
            <family val="2"/>
          </rPr>
          <t>MAHIR AL-SIDDIQI:</t>
        </r>
        <r>
          <rPr>
            <sz val="9"/>
            <color indexed="81"/>
            <rFont val="Tahoma"/>
            <family val="2"/>
          </rPr>
          <t xml:space="preserve">
</t>
        </r>
        <r>
          <rPr>
            <sz val="11"/>
            <color indexed="81"/>
            <rFont val="Tahoma"/>
            <family val="2"/>
          </rPr>
          <t>Unit Rat = 95% at 18 Cycle</t>
        </r>
      </text>
    </comment>
    <comment ref="JL8" authorId="0" shapeId="0" xr:uid="{00000000-0006-0000-0300-000017000000}">
      <text>
        <r>
          <rPr>
            <b/>
            <sz val="9"/>
            <color indexed="81"/>
            <rFont val="Tahoma"/>
            <family val="2"/>
          </rPr>
          <t>MAHIR AL-SIDDIQI:</t>
        </r>
        <r>
          <rPr>
            <sz val="9"/>
            <color indexed="81"/>
            <rFont val="Tahoma"/>
            <family val="2"/>
          </rPr>
          <t xml:space="preserve">
Unit Rate = 100% 
16 Cycle</t>
        </r>
      </text>
    </comment>
    <comment ref="JN8" authorId="0" shapeId="0" xr:uid="{00000000-0006-0000-0300-000018000000}">
      <text>
        <r>
          <rPr>
            <b/>
            <sz val="9"/>
            <color indexed="81"/>
            <rFont val="Tahoma"/>
            <family val="2"/>
          </rPr>
          <t>MAHIR AL-SIDDIQI:</t>
        </r>
        <r>
          <rPr>
            <sz val="9"/>
            <color indexed="81"/>
            <rFont val="Tahoma"/>
            <family val="2"/>
          </rPr>
          <t xml:space="preserve">
Moisture = 13.8%</t>
        </r>
      </text>
    </comment>
    <comment ref="KB8" authorId="0" shapeId="0" xr:uid="{00000000-0006-0000-0300-000019000000}">
      <text>
        <r>
          <rPr>
            <b/>
            <sz val="9"/>
            <color indexed="81"/>
            <rFont val="Tahoma"/>
            <family val="2"/>
          </rPr>
          <t>MAHIR AL-SIDDIQI:</t>
        </r>
        <r>
          <rPr>
            <sz val="9"/>
            <color indexed="81"/>
            <rFont val="Tahoma"/>
            <family val="2"/>
          </rPr>
          <t xml:space="preserve">
</t>
        </r>
        <r>
          <rPr>
            <b/>
            <sz val="9"/>
            <color indexed="81"/>
            <rFont val="Tahoma"/>
            <family val="2"/>
          </rPr>
          <t>Moisture = 12.75 %</t>
        </r>
      </text>
    </comment>
    <comment ref="KI8" authorId="0" shapeId="0" xr:uid="{00000000-0006-0000-0300-00001A000000}">
      <text>
        <r>
          <rPr>
            <b/>
            <sz val="9"/>
            <color indexed="81"/>
            <rFont val="Tahoma"/>
            <family val="2"/>
          </rPr>
          <t>MAHIR AL-SIDDIQI:</t>
        </r>
        <r>
          <rPr>
            <sz val="9"/>
            <color indexed="81"/>
            <rFont val="Tahoma"/>
            <family val="2"/>
          </rPr>
          <t xml:space="preserve">
</t>
        </r>
        <r>
          <rPr>
            <b/>
            <sz val="9"/>
            <color indexed="81"/>
            <rFont val="Tahoma"/>
            <family val="2"/>
          </rPr>
          <t>Unit Rate 90% at 18 Cycle</t>
        </r>
      </text>
    </comment>
    <comment ref="KP8" authorId="0" shapeId="0" xr:uid="{00000000-0006-0000-0300-00001B000000}">
      <text>
        <r>
          <rPr>
            <b/>
            <sz val="9"/>
            <color indexed="81"/>
            <rFont val="Tahoma"/>
            <family val="2"/>
          </rPr>
          <t>MAHIR AL-SIDDIQI:</t>
        </r>
        <r>
          <rPr>
            <sz val="9"/>
            <color indexed="81"/>
            <rFont val="Tahoma"/>
            <family val="2"/>
          </rPr>
          <t xml:space="preserve">
Unit Rate is 100% at 16 Cycle</t>
        </r>
      </text>
    </comment>
    <comment ref="KR8" authorId="0" shapeId="0" xr:uid="{00000000-0006-0000-0300-00001C000000}">
      <text>
        <r>
          <rPr>
            <b/>
            <sz val="9"/>
            <color indexed="81"/>
            <rFont val="Tahoma"/>
            <family val="2"/>
          </rPr>
          <t>MAHIR AL-SIDDIQI:</t>
        </r>
        <r>
          <rPr>
            <sz val="9"/>
            <color indexed="81"/>
            <rFont val="Tahoma"/>
            <family val="2"/>
          </rPr>
          <t xml:space="preserve">
</t>
        </r>
        <r>
          <rPr>
            <b/>
            <sz val="9"/>
            <color indexed="81"/>
            <rFont val="Tahoma"/>
            <family val="2"/>
          </rPr>
          <t>Unit Rate is 90% at 16 Cycle</t>
        </r>
      </text>
    </comment>
    <comment ref="KT8" authorId="0" shapeId="0" xr:uid="{00000000-0006-0000-0300-00001D000000}">
      <text>
        <r>
          <rPr>
            <b/>
            <sz val="9"/>
            <color indexed="81"/>
            <rFont val="Tahoma"/>
            <family val="2"/>
          </rPr>
          <t>MAHIR AL-SIDDIQI:</t>
        </r>
        <r>
          <rPr>
            <sz val="9"/>
            <color indexed="81"/>
            <rFont val="Tahoma"/>
            <family val="2"/>
          </rPr>
          <t xml:space="preserve">
</t>
        </r>
        <r>
          <rPr>
            <b/>
            <sz val="10"/>
            <color indexed="81"/>
            <rFont val="Tahoma"/>
            <family val="2"/>
          </rPr>
          <t>Unit Rate is 80% at 18 Cycle</t>
        </r>
      </text>
    </comment>
    <comment ref="KY8" authorId="0" shapeId="0" xr:uid="{00000000-0006-0000-0300-00001E000000}">
      <text>
        <r>
          <rPr>
            <b/>
            <sz val="9"/>
            <color indexed="81"/>
            <rFont val="Tahoma"/>
            <family val="2"/>
          </rPr>
          <t>MAHIR AL-SIDDIQI:</t>
        </r>
        <r>
          <rPr>
            <sz val="9"/>
            <color indexed="81"/>
            <rFont val="Tahoma"/>
            <family val="2"/>
          </rPr>
          <t xml:space="preserve">
</t>
        </r>
        <r>
          <rPr>
            <b/>
            <sz val="9"/>
            <color indexed="81"/>
            <rFont val="Tahoma"/>
            <family val="2"/>
          </rPr>
          <t>Yasref Unit Rtae is 100 % at 16 Cycle</t>
        </r>
      </text>
    </comment>
    <comment ref="LD8" authorId="1" shapeId="0" xr:uid="{00000000-0006-0000-0300-00001F000000}">
      <text>
        <r>
          <rPr>
            <b/>
            <sz val="9"/>
            <color indexed="81"/>
            <rFont val="Tahoma"/>
            <family val="2"/>
          </rPr>
          <t>MAHER ALSIDDIQI:</t>
        </r>
        <r>
          <rPr>
            <sz val="9"/>
            <color indexed="81"/>
            <rFont val="Tahoma"/>
            <family val="2"/>
          </rPr>
          <t xml:space="preserve">
Unit Rate is 90% at 16 Cycle</t>
        </r>
      </text>
    </comment>
    <comment ref="LE8" authorId="1" shapeId="0" xr:uid="{00000000-0006-0000-0300-000020000000}">
      <text>
        <r>
          <rPr>
            <b/>
            <sz val="9"/>
            <color indexed="81"/>
            <rFont val="Tahoma"/>
            <family val="2"/>
          </rPr>
          <t>MAHER ALSIDDIQI:</t>
        </r>
        <r>
          <rPr>
            <sz val="9"/>
            <color indexed="81"/>
            <rFont val="Tahoma"/>
            <family val="2"/>
          </rPr>
          <t xml:space="preserve">
Unit Rate is 85% at 16 Cycle</t>
        </r>
      </text>
    </comment>
    <comment ref="LI8" authorId="0" shapeId="0" xr:uid="{00000000-0006-0000-0300-000021000000}">
      <text>
        <r>
          <rPr>
            <b/>
            <sz val="9"/>
            <color indexed="81"/>
            <rFont val="Tahoma"/>
            <family val="2"/>
          </rPr>
          <t>MAHIR AL-SIDDIQI:</t>
        </r>
        <r>
          <rPr>
            <sz val="9"/>
            <color indexed="81"/>
            <rFont val="Tahoma"/>
            <family val="2"/>
          </rPr>
          <t xml:space="preserve">
</t>
        </r>
        <r>
          <rPr>
            <b/>
            <sz val="9"/>
            <color indexed="81"/>
            <rFont val="Tahoma"/>
            <family val="2"/>
          </rPr>
          <t>Unit Rate is 80 % at 16 Cycle</t>
        </r>
      </text>
    </comment>
    <comment ref="LJ8" authorId="1" shapeId="0" xr:uid="{00000000-0006-0000-0300-000022000000}">
      <text>
        <r>
          <rPr>
            <b/>
            <sz val="9"/>
            <color indexed="81"/>
            <rFont val="Tahoma"/>
            <family val="2"/>
          </rPr>
          <t>MAHER ALSIDDIQI:</t>
        </r>
        <r>
          <rPr>
            <sz val="9"/>
            <color indexed="81"/>
            <rFont val="Tahoma"/>
            <family val="2"/>
          </rPr>
          <t xml:space="preserve">
Unit Rate is 85% at 16 Cycle</t>
        </r>
      </text>
    </comment>
    <comment ref="LP8" authorId="0" shapeId="0" xr:uid="{00000000-0006-0000-0300-000023000000}">
      <text>
        <r>
          <rPr>
            <b/>
            <sz val="9"/>
            <color indexed="81"/>
            <rFont val="Tahoma"/>
            <family val="2"/>
          </rPr>
          <t>MAHIR AL-SIDDIQI:</t>
        </r>
        <r>
          <rPr>
            <sz val="9"/>
            <color indexed="81"/>
            <rFont val="Tahoma"/>
            <family val="2"/>
          </rPr>
          <t xml:space="preserve">
</t>
        </r>
        <r>
          <rPr>
            <b/>
            <sz val="9"/>
            <color indexed="81"/>
            <rFont val="Tahoma"/>
            <family val="2"/>
          </rPr>
          <t>Unit Rate is 90% at 16 Cycle</t>
        </r>
      </text>
    </comment>
    <comment ref="MJ8" authorId="0" shapeId="0" xr:uid="{00000000-0006-0000-0300-000024000000}">
      <text>
        <r>
          <rPr>
            <b/>
            <sz val="9"/>
            <color indexed="81"/>
            <rFont val="Tahoma"/>
            <family val="2"/>
          </rPr>
          <t>MAHIR AL-SIDDIQI:</t>
        </r>
        <r>
          <rPr>
            <sz val="9"/>
            <color indexed="81"/>
            <rFont val="Tahoma"/>
            <family val="2"/>
          </rPr>
          <t xml:space="preserve">
Unit Rate is 90% at 16 cycle
</t>
        </r>
      </text>
    </comment>
    <comment ref="OP8" authorId="0" shapeId="0" xr:uid="{00000000-0006-0000-0300-000025000000}">
      <text>
        <r>
          <rPr>
            <b/>
            <sz val="9"/>
            <color indexed="81"/>
            <rFont val="Tahoma"/>
            <family val="2"/>
          </rPr>
          <t>MAHIR AL-SIDDIQI:</t>
        </r>
        <r>
          <rPr>
            <sz val="9"/>
            <color indexed="81"/>
            <rFont val="Tahoma"/>
            <family val="2"/>
          </rPr>
          <t xml:space="preserve">
Unit Rate Changed to 65%</t>
        </r>
      </text>
    </comment>
    <comment ref="OV8" authorId="0" shapeId="0" xr:uid="{00000000-0006-0000-0300-000026000000}">
      <text>
        <r>
          <rPr>
            <b/>
            <sz val="9"/>
            <color indexed="81"/>
            <rFont val="Tahoma"/>
            <family val="2"/>
          </rPr>
          <t>MAHIR AL-SIDDIQI:</t>
        </r>
        <r>
          <rPr>
            <sz val="9"/>
            <color indexed="81"/>
            <rFont val="Tahoma"/>
            <family val="2"/>
          </rPr>
          <t xml:space="preserve">
Unit Rate Changed to 90%</t>
        </r>
      </text>
    </comment>
    <comment ref="QH8" authorId="0" shapeId="0" xr:uid="{00000000-0006-0000-0300-000027000000}">
      <text>
        <r>
          <rPr>
            <b/>
            <sz val="9"/>
            <color indexed="81"/>
            <rFont val="Tahoma"/>
            <family val="2"/>
          </rPr>
          <t>MAHIR AL-SIDDIQI:</t>
        </r>
        <r>
          <rPr>
            <sz val="9"/>
            <color indexed="81"/>
            <rFont val="Tahoma"/>
            <family val="2"/>
          </rPr>
          <t xml:space="preserve">
DCV Replaced as planed and was succeeded on time</t>
        </r>
      </text>
    </comment>
    <comment ref="VJ8" authorId="2" shapeId="0" xr:uid="{00000000-0006-0000-0300-000028000000}">
      <text>
        <r>
          <rPr>
            <b/>
            <sz val="9"/>
            <color indexed="81"/>
            <rFont val="Tahoma"/>
            <family val="2"/>
          </rPr>
          <t>user:</t>
        </r>
        <r>
          <rPr>
            <sz val="9"/>
            <color indexed="81"/>
            <rFont val="Tahoma"/>
            <family val="2"/>
          </rPr>
          <t xml:space="preserve">
Drum #3 hydraulic winch failure 7 hrs downtime.
</t>
        </r>
      </text>
    </comment>
    <comment ref="YE8" authorId="2" shapeId="0" xr:uid="{00000000-0006-0000-0300-000029000000}">
      <text>
        <r>
          <rPr>
            <b/>
            <sz val="9"/>
            <color indexed="81"/>
            <rFont val="Tahoma"/>
            <family val="2"/>
          </rPr>
          <t>user:</t>
        </r>
        <r>
          <rPr>
            <sz val="9"/>
            <color indexed="81"/>
            <rFont val="Tahoma"/>
            <family val="2"/>
          </rPr>
          <t xml:space="preserve">
Yasref TA started. DCU Production in DCU Unit-113 stopped.</t>
        </r>
      </text>
    </comment>
    <comment ref="YF8" authorId="3" shapeId="0" xr:uid="{00000000-0006-0000-0300-00002A000000}">
      <text>
        <r>
          <rPr>
            <b/>
            <sz val="9"/>
            <color indexed="81"/>
            <rFont val="Tahoma"/>
            <family val="2"/>
          </rPr>
          <t>John Dominic  Noronha:</t>
        </r>
        <r>
          <rPr>
            <sz val="9"/>
            <color indexed="81"/>
            <rFont val="Tahoma"/>
            <family val="2"/>
          </rPr>
          <t xml:space="preserve">
Yasref TA : Production =0</t>
        </r>
      </text>
    </comment>
    <comment ref="YG8" authorId="3" shapeId="0" xr:uid="{00000000-0006-0000-0300-00002B000000}">
      <text>
        <r>
          <rPr>
            <b/>
            <sz val="9"/>
            <color indexed="81"/>
            <rFont val="Tahoma"/>
            <family val="2"/>
          </rPr>
          <t>John Dominic  Noronha:</t>
        </r>
        <r>
          <rPr>
            <sz val="9"/>
            <color indexed="81"/>
            <rFont val="Tahoma"/>
            <family val="2"/>
          </rPr>
          <t xml:space="preserve">
Yasref TA: Production = 0 MT.</t>
        </r>
      </text>
    </comment>
    <comment ref="YH8" authorId="3" shapeId="0" xr:uid="{00000000-0006-0000-0300-00002C000000}">
      <text>
        <r>
          <rPr>
            <b/>
            <sz val="9"/>
            <color indexed="81"/>
            <rFont val="Tahoma"/>
            <family val="2"/>
          </rPr>
          <t>John Dominic  Noronha:</t>
        </r>
        <r>
          <rPr>
            <sz val="9"/>
            <color indexed="81"/>
            <rFont val="Tahoma"/>
            <family val="2"/>
          </rPr>
          <t xml:space="preserve">
Yasref TA: Production = 0 MT.</t>
        </r>
      </text>
    </comment>
    <comment ref="YI8" authorId="3" shapeId="0" xr:uid="{00000000-0006-0000-0300-00002D000000}">
      <text>
        <r>
          <rPr>
            <b/>
            <sz val="9"/>
            <color indexed="81"/>
            <rFont val="Tahoma"/>
            <family val="2"/>
          </rPr>
          <t>John Dominic  Noronha:</t>
        </r>
        <r>
          <rPr>
            <sz val="9"/>
            <color indexed="81"/>
            <rFont val="Tahoma"/>
            <family val="2"/>
          </rPr>
          <t xml:space="preserve">
Yasref TA: Production = 0 MT.</t>
        </r>
      </text>
    </comment>
    <comment ref="YJ8" authorId="3" shapeId="0" xr:uid="{00000000-0006-0000-0300-00002E000000}">
      <text>
        <r>
          <rPr>
            <b/>
            <sz val="9"/>
            <color indexed="81"/>
            <rFont val="Tahoma"/>
            <family val="2"/>
          </rPr>
          <t>John Dominic  Noronha:</t>
        </r>
        <r>
          <rPr>
            <sz val="9"/>
            <color indexed="81"/>
            <rFont val="Tahoma"/>
            <family val="2"/>
          </rPr>
          <t xml:space="preserve">
Yasref TA: Production = 0 MT.</t>
        </r>
      </text>
    </comment>
    <comment ref="YK8" authorId="3" shapeId="0" xr:uid="{00000000-0006-0000-0300-00002F000000}">
      <text>
        <r>
          <rPr>
            <b/>
            <sz val="9"/>
            <color indexed="81"/>
            <rFont val="Tahoma"/>
            <family val="2"/>
          </rPr>
          <t>John Dominic  Noronha:</t>
        </r>
        <r>
          <rPr>
            <sz val="9"/>
            <color indexed="81"/>
            <rFont val="Tahoma"/>
            <family val="2"/>
          </rPr>
          <t xml:space="preserve">
Yasref TA: Production = 0 MT.</t>
        </r>
      </text>
    </comment>
    <comment ref="YL8" authorId="3" shapeId="0" xr:uid="{00000000-0006-0000-0300-000030000000}">
      <text>
        <r>
          <rPr>
            <b/>
            <sz val="9"/>
            <color indexed="81"/>
            <rFont val="Tahoma"/>
            <family val="2"/>
          </rPr>
          <t>John Dominic  Noronha:</t>
        </r>
        <r>
          <rPr>
            <sz val="9"/>
            <color indexed="81"/>
            <rFont val="Tahoma"/>
            <family val="2"/>
          </rPr>
          <t xml:space="preserve">
Yasref TA: Production = 0 MT.</t>
        </r>
      </text>
    </comment>
    <comment ref="ET9" authorId="4" shapeId="0" xr:uid="{00000000-0006-0000-0300-000031000000}">
      <text>
        <r>
          <rPr>
            <b/>
            <sz val="9"/>
            <color indexed="81"/>
            <rFont val="ＭＳ Ｐゴシック"/>
            <family val="3"/>
            <charset val="128"/>
          </rPr>
          <t>16H cycle start</t>
        </r>
      </text>
    </comment>
    <comment ref="FB9" authorId="4" shapeId="0" xr:uid="{00000000-0006-0000-0300-000032000000}">
      <text>
        <r>
          <rPr>
            <b/>
            <sz val="9"/>
            <color indexed="81"/>
            <rFont val="ＭＳ Ｐゴシック"/>
            <family val="3"/>
            <charset val="128"/>
          </rPr>
          <t>DCU:Perfomance 
test finsh</t>
        </r>
      </text>
    </comment>
    <comment ref="HO9" authorId="0" shapeId="0" xr:uid="{00000000-0006-0000-0300-000033000000}">
      <text>
        <r>
          <rPr>
            <b/>
            <sz val="9"/>
            <color indexed="81"/>
            <rFont val="Tahoma"/>
            <family val="2"/>
          </rPr>
          <t>MAHIR AL-SIDDIQI:</t>
        </r>
        <r>
          <rPr>
            <sz val="9"/>
            <color indexed="81"/>
            <rFont val="Tahoma"/>
            <family val="2"/>
          </rPr>
          <t xml:space="preserve">
YASREF RUN at 70%</t>
        </r>
      </text>
    </comment>
    <comment ref="HQ9" authorId="0" shapeId="0" xr:uid="{00000000-0006-0000-0300-000034000000}">
      <text>
        <r>
          <rPr>
            <b/>
            <sz val="9"/>
            <color indexed="81"/>
            <rFont val="Tahoma"/>
            <family val="2"/>
          </rPr>
          <t>MAHIR AL-SIDDIQI:</t>
        </r>
        <r>
          <rPr>
            <sz val="9"/>
            <color indexed="81"/>
            <rFont val="Tahoma"/>
            <family val="2"/>
          </rPr>
          <t xml:space="preserve">
YASREF RUN at 60%</t>
        </r>
      </text>
    </comment>
    <comment ref="HZ9" authorId="0" shapeId="0" xr:uid="{00000000-0006-0000-0300-000035000000}">
      <text>
        <r>
          <rPr>
            <b/>
            <sz val="9"/>
            <color indexed="81"/>
            <rFont val="Tahoma"/>
            <family val="2"/>
          </rPr>
          <t>MAHIR AL-SIDDIQI:</t>
        </r>
        <r>
          <rPr>
            <sz val="9"/>
            <color indexed="81"/>
            <rFont val="Tahoma"/>
            <family val="2"/>
          </rPr>
          <t xml:space="preserve">
</t>
        </r>
        <r>
          <rPr>
            <sz val="12"/>
            <color indexed="81"/>
            <rFont val="Tahoma"/>
            <family val="2"/>
          </rPr>
          <t>Unit Rate is 75%</t>
        </r>
      </text>
    </comment>
    <comment ref="OJ9" authorId="0" shapeId="0" xr:uid="{00000000-0006-0000-0300-000036000000}">
      <text>
        <r>
          <rPr>
            <b/>
            <sz val="9"/>
            <color indexed="81"/>
            <rFont val="Tahoma"/>
            <family val="2"/>
          </rPr>
          <t>MAHIR AL-SIDDIQI
Yasref Clear the coke blockage in Furnace 3</t>
        </r>
      </text>
    </comment>
    <comment ref="OK9" authorId="0" shapeId="0" xr:uid="{00000000-0006-0000-0300-000037000000}">
      <text>
        <r>
          <rPr>
            <b/>
            <sz val="9"/>
            <color indexed="81"/>
            <rFont val="Tahoma"/>
            <family val="2"/>
          </rPr>
          <t>MAHIR AL-SIDDIQI:</t>
        </r>
        <r>
          <rPr>
            <sz val="9"/>
            <color indexed="81"/>
            <rFont val="Tahoma"/>
            <family val="2"/>
          </rPr>
          <t xml:space="preserve">
YASREF Clear the Coke Blockage in Furnace 2 for around one week</t>
        </r>
      </text>
    </comment>
    <comment ref="OL9" authorId="0" shapeId="0" xr:uid="{00000000-0006-0000-0300-000038000000}">
      <text>
        <r>
          <rPr>
            <b/>
            <sz val="9"/>
            <color indexed="81"/>
            <rFont val="Tahoma"/>
            <family val="2"/>
          </rPr>
          <t>MAHIR AL-SIDDIQI:</t>
        </r>
        <r>
          <rPr>
            <sz val="9"/>
            <color indexed="81"/>
            <rFont val="Tahoma"/>
            <family val="2"/>
          </rPr>
          <t xml:space="preserve">
YASREF  Furnace 2 under PM</t>
        </r>
      </text>
    </comment>
    <comment ref="OM9" authorId="0" shapeId="0" xr:uid="{00000000-0006-0000-0300-000039000000}">
      <text>
        <r>
          <rPr>
            <b/>
            <sz val="9"/>
            <color indexed="81"/>
            <rFont val="Tahoma"/>
            <family val="2"/>
          </rPr>
          <t>MAHIR AL-SIDDIQI:</t>
        </r>
        <r>
          <rPr>
            <sz val="9"/>
            <color indexed="81"/>
            <rFont val="Tahoma"/>
            <family val="2"/>
          </rPr>
          <t xml:space="preserve">
YASREF  Furnace 2 under PM</t>
        </r>
      </text>
    </comment>
    <comment ref="ON9" authorId="0" shapeId="0" xr:uid="{00000000-0006-0000-0300-00003A000000}">
      <text>
        <r>
          <rPr>
            <b/>
            <sz val="9"/>
            <color indexed="81"/>
            <rFont val="Tahoma"/>
            <family val="2"/>
          </rPr>
          <t>MAHIR AL-SIDDIQI:</t>
        </r>
        <r>
          <rPr>
            <sz val="9"/>
            <color indexed="81"/>
            <rFont val="Tahoma"/>
            <family val="2"/>
          </rPr>
          <t xml:space="preserve">
YASREF  Furnace 2 under PM</t>
        </r>
      </text>
    </comment>
    <comment ref="OO9" authorId="0" shapeId="0" xr:uid="{00000000-0006-0000-0300-00003B000000}">
      <text>
        <r>
          <rPr>
            <b/>
            <sz val="9"/>
            <color indexed="81"/>
            <rFont val="Tahoma"/>
            <family val="2"/>
          </rPr>
          <t>MAHIR AL-SIDDIQI:</t>
        </r>
        <r>
          <rPr>
            <sz val="9"/>
            <color indexed="81"/>
            <rFont val="Tahoma"/>
            <family val="2"/>
          </rPr>
          <t xml:space="preserve">
YASREF  Furnace 2 under PM</t>
        </r>
      </text>
    </comment>
    <comment ref="OP9" authorId="0" shapeId="0" xr:uid="{00000000-0006-0000-0300-00003C000000}">
      <text>
        <r>
          <rPr>
            <b/>
            <sz val="9"/>
            <color indexed="81"/>
            <rFont val="Tahoma"/>
            <family val="2"/>
          </rPr>
          <t>MAHIR AL-SIDDIQI:</t>
        </r>
        <r>
          <rPr>
            <sz val="9"/>
            <color indexed="81"/>
            <rFont val="Tahoma"/>
            <family val="2"/>
          </rPr>
          <t xml:space="preserve">
YASREF  Furnace 2 under PM</t>
        </r>
      </text>
    </comment>
    <comment ref="OQ9" authorId="0" shapeId="0" xr:uid="{00000000-0006-0000-0300-00003D000000}">
      <text>
        <r>
          <rPr>
            <sz val="9"/>
            <color indexed="81"/>
            <rFont val="Tahoma"/>
            <family val="2"/>
          </rPr>
          <t xml:space="preserve"> MAHIR AL-SIDDIQI:
YASREF  Furnace 2 under PM</t>
        </r>
      </text>
    </comment>
    <comment ref="OR9" authorId="0" shapeId="0" xr:uid="{00000000-0006-0000-0300-00003E000000}">
      <text>
        <r>
          <rPr>
            <sz val="9"/>
            <color indexed="81"/>
            <rFont val="Tahoma"/>
            <family val="2"/>
          </rPr>
          <t xml:space="preserve">
MAHIR AL-SIDDIQI:
YASREF  Furnace 2 under PM</t>
        </r>
      </text>
    </comment>
    <comment ref="OS9" authorId="0" shapeId="0" xr:uid="{00000000-0006-0000-0300-00003F000000}">
      <text>
        <r>
          <rPr>
            <sz val="9"/>
            <color indexed="81"/>
            <rFont val="Tahoma"/>
            <family val="2"/>
          </rPr>
          <t xml:space="preserve">
MAHIR AL-SIDDIQI:
YASREF  Furnace 2 under PM</t>
        </r>
      </text>
    </comment>
    <comment ref="OT9" authorId="0" shapeId="0" xr:uid="{00000000-0006-0000-0300-000040000000}">
      <text>
        <r>
          <rPr>
            <sz val="9"/>
            <color indexed="81"/>
            <rFont val="Tahoma"/>
            <family val="2"/>
          </rPr>
          <t xml:space="preserve">
MAHIR AL-SIDDIQI:
YASREF  Furnace 2 under PM</t>
        </r>
      </text>
    </comment>
    <comment ref="OU9" authorId="0" shapeId="0" xr:uid="{00000000-0006-0000-0300-000041000000}">
      <text>
        <r>
          <rPr>
            <sz val="9"/>
            <color indexed="81"/>
            <rFont val="Tahoma"/>
            <family val="2"/>
          </rPr>
          <t xml:space="preserve">
MAHIR AL-SIDDIQI:
YASREF  Furnace 2 under PM</t>
        </r>
      </text>
    </comment>
    <comment ref="OX9" authorId="0" shapeId="0" xr:uid="{00000000-0006-0000-0300-000042000000}">
      <text>
        <r>
          <rPr>
            <b/>
            <sz val="9"/>
            <color indexed="81"/>
            <rFont val="Tahoma"/>
            <family val="2"/>
          </rPr>
          <t>MAHIR AL-SIDDIQI:</t>
        </r>
        <r>
          <rPr>
            <sz val="9"/>
            <color indexed="81"/>
            <rFont val="Tahoma"/>
            <family val="2"/>
          </rPr>
          <t xml:space="preserve">
The highest Coke Production Achived
</t>
        </r>
      </text>
    </comment>
    <comment ref="ZD9" authorId="0" shapeId="0" xr:uid="{00000000-0006-0000-0300-000043000000}">
      <text>
        <r>
          <rPr>
            <b/>
            <sz val="9"/>
            <color indexed="81"/>
            <rFont val="Tahoma"/>
            <family val="2"/>
          </rPr>
          <t>MAHIR AL-SIDDIQI:</t>
        </r>
        <r>
          <rPr>
            <sz val="9"/>
            <color indexed="81"/>
            <rFont val="Tahoma"/>
            <family val="2"/>
          </rPr>
          <t xml:space="preserve">
Start Cutting on Drum 1 &amp; 3
Used light oil
</t>
        </r>
      </text>
    </comment>
    <comment ref="ZT9" authorId="0" shapeId="0" xr:uid="{00000000-0006-0000-0300-000044000000}">
      <text>
        <r>
          <rPr>
            <b/>
            <sz val="9"/>
            <color indexed="81"/>
            <rFont val="Tahoma"/>
            <family val="2"/>
          </rPr>
          <t>MAHIR AL-SIDDIQI:</t>
        </r>
        <r>
          <rPr>
            <sz val="9"/>
            <color indexed="81"/>
            <rFont val="Tahoma"/>
            <family val="2"/>
          </rPr>
          <t xml:space="preserve">
Oil Changed from Light to Very light</t>
        </r>
      </text>
    </comment>
    <comment ref="AEU9" authorId="5" shapeId="0" xr:uid="{00000000-0006-0000-0300-000045000000}">
      <text>
        <r>
          <rPr>
            <b/>
            <sz val="9"/>
            <color indexed="81"/>
            <rFont val="Tahoma"/>
            <family val="2"/>
          </rPr>
          <t>Maher:</t>
        </r>
        <r>
          <rPr>
            <sz val="9"/>
            <color indexed="81"/>
            <rFont val="Tahoma"/>
            <family val="2"/>
          </rPr>
          <t xml:space="preserve">
DCV Replacement but Actuator failure. Now DCV run in Manual Mode which took around 60 min and affect in Ccutting time</t>
        </r>
      </text>
    </comment>
    <comment ref="AFL9" authorId="5" shapeId="0" xr:uid="{00000000-0006-0000-0300-000046000000}">
      <text>
        <r>
          <rPr>
            <b/>
            <sz val="9"/>
            <color indexed="81"/>
            <rFont val="Tahoma"/>
            <family val="2"/>
          </rPr>
          <t xml:space="preserve">Khalid:
production rate reduce to 85% due to SP-3 coke storage high as coke ship delayed which supposed to arrive on 22 May. So, we will recived  both coke shipments expected to be arrived on 25-May-2017 </t>
        </r>
        <r>
          <rPr>
            <sz val="9"/>
            <color indexed="81"/>
            <rFont val="Tahoma"/>
            <family val="2"/>
          </rPr>
          <t xml:space="preserve">
</t>
        </r>
      </text>
    </comment>
    <comment ref="AFW9" authorId="5" shapeId="0" xr:uid="{00000000-0006-0000-0300-000047000000}">
      <text>
        <r>
          <rPr>
            <b/>
            <sz val="9"/>
            <color indexed="81"/>
            <rFont val="Tahoma"/>
            <family val="2"/>
          </rPr>
          <t xml:space="preserve">User:Khaled </t>
        </r>
        <r>
          <rPr>
            <sz val="9"/>
            <color indexed="81"/>
            <rFont val="Tahoma"/>
            <family val="2"/>
          </rPr>
          <t xml:space="preserve">
Rate production reduce from 100% to 85% due to drum 6 Decoking delay</t>
        </r>
      </text>
    </comment>
    <comment ref="AGG9" authorId="5" shapeId="0" xr:uid="{00000000-0006-0000-0300-000048000000}">
      <text>
        <r>
          <rPr>
            <b/>
            <sz val="9"/>
            <color indexed="81"/>
            <rFont val="Tahoma"/>
            <family val="2"/>
          </rPr>
          <t>khaled:</t>
        </r>
        <r>
          <rPr>
            <sz val="9"/>
            <color indexed="81"/>
            <rFont val="Tahoma"/>
            <family val="2"/>
          </rPr>
          <t xml:space="preserve">
Coke Production Low due to limit switch proxy failuer </t>
        </r>
      </text>
    </comment>
    <comment ref="AGP9" authorId="0" shapeId="0" xr:uid="{00000000-0006-0000-0300-000049000000}">
      <text>
        <r>
          <rPr>
            <b/>
            <sz val="9"/>
            <color indexed="81"/>
            <rFont val="Tahoma"/>
            <family val="2"/>
          </rPr>
          <t>MAHIR AL-SIDDIQI:</t>
        </r>
        <r>
          <rPr>
            <sz val="9"/>
            <color indexed="81"/>
            <rFont val="Tahoma"/>
            <family val="2"/>
          </rPr>
          <t xml:space="preserve">
SP-3 High Coke storage due to shipment delayed to be arrived within 3 to 4 days. Also, Online spalling in Furnace #2 for 4 days</t>
        </r>
      </text>
    </comment>
    <comment ref="AHY9" authorId="6" shapeId="0" xr:uid="{00000000-0006-0000-0300-00004A000000}">
      <text>
        <r>
          <rPr>
            <b/>
            <sz val="9"/>
            <color indexed="81"/>
            <rFont val="Tahoma"/>
            <family val="2"/>
          </rPr>
          <t>Maher.Alsiddiqi:</t>
        </r>
        <r>
          <rPr>
            <sz val="9"/>
            <color indexed="81"/>
            <rFont val="Tahoma"/>
            <family val="2"/>
          </rPr>
          <t xml:space="preserve">
Hydro jet started and conpleted Drum 5 &amp; 3</t>
        </r>
      </text>
    </comment>
    <comment ref="AHZ9" authorId="6" shapeId="0" xr:uid="{00000000-0006-0000-0300-00004B000000}">
      <text>
        <r>
          <rPr>
            <b/>
            <sz val="9"/>
            <color indexed="81"/>
            <rFont val="Tahoma"/>
            <family val="2"/>
          </rPr>
          <t>Maher.Alsiddiqi:</t>
        </r>
        <r>
          <rPr>
            <sz val="9"/>
            <color indexed="81"/>
            <rFont val="Tahoma"/>
            <family val="2"/>
          </rPr>
          <t xml:space="preserve">
Hydro jet completed on Drum 6 &amp; 4</t>
        </r>
      </text>
    </comment>
    <comment ref="AIA9" authorId="6" shapeId="0" xr:uid="{00000000-0006-0000-0300-00004C000000}">
      <text>
        <r>
          <rPr>
            <sz val="9"/>
            <color indexed="81"/>
            <rFont val="Tahoma"/>
            <family val="2"/>
          </rPr>
          <t xml:space="preserve">John Noromha:
Hydro jet completed on Drum 2 &amp; 1
</t>
        </r>
      </text>
    </comment>
    <comment ref="AIF9" authorId="7" shapeId="0" xr:uid="{00000000-0006-0000-0300-00004D000000}">
      <text>
        <r>
          <rPr>
            <b/>
            <sz val="9"/>
            <color indexed="81"/>
            <rFont val="Tahoma"/>
            <family val="2"/>
          </rPr>
          <t>Khaled.Aljhdhmi:</t>
        </r>
        <r>
          <rPr>
            <sz val="9"/>
            <color indexed="81"/>
            <rFont val="Tahoma"/>
            <family val="2"/>
          </rPr>
          <t xml:space="preserve">
furnace#3 oline spalling</t>
        </r>
      </text>
    </comment>
    <comment ref="AIG9" authorId="7" shapeId="0" xr:uid="{00000000-0006-0000-0300-00004E000000}">
      <text>
        <r>
          <rPr>
            <b/>
            <sz val="9"/>
            <color indexed="81"/>
            <rFont val="Tahoma"/>
            <family val="2"/>
          </rPr>
          <t>Khaled.Aljhdhmi:</t>
        </r>
        <r>
          <rPr>
            <sz val="9"/>
            <color indexed="81"/>
            <rFont val="Tahoma"/>
            <family val="2"/>
          </rPr>
          <t xml:space="preserve">
furnace#3 oline spalling</t>
        </r>
      </text>
    </comment>
    <comment ref="AIH9" authorId="7" shapeId="0" xr:uid="{00000000-0006-0000-0300-00004F000000}">
      <text>
        <r>
          <rPr>
            <b/>
            <sz val="9"/>
            <color indexed="81"/>
            <rFont val="Tahoma"/>
            <family val="2"/>
          </rPr>
          <t>Khaled.Aljhdhmi:</t>
        </r>
        <r>
          <rPr>
            <sz val="9"/>
            <color indexed="81"/>
            <rFont val="Tahoma"/>
            <family val="2"/>
          </rPr>
          <t xml:space="preserve">
furnace#3 olnine spalling</t>
        </r>
      </text>
    </comment>
    <comment ref="AII9" authorId="7" shapeId="0" xr:uid="{00000000-0006-0000-0300-000050000000}">
      <text>
        <r>
          <rPr>
            <b/>
            <sz val="9"/>
            <color indexed="81"/>
            <rFont val="Tahoma"/>
            <family val="2"/>
          </rPr>
          <t>Khaled.Aljhdhmi:</t>
        </r>
        <r>
          <rPr>
            <sz val="9"/>
            <color indexed="81"/>
            <rFont val="Tahoma"/>
            <family val="2"/>
          </rPr>
          <t xml:space="preserve">
furnace#3 online spalling</t>
        </r>
      </text>
    </comment>
    <comment ref="AIJ9" authorId="7" shapeId="0" xr:uid="{00000000-0006-0000-0300-000051000000}">
      <text>
        <r>
          <rPr>
            <sz val="9"/>
            <color indexed="81"/>
            <rFont val="Tahoma"/>
            <family val="2"/>
          </rPr>
          <t>John Dominic Noronha
furnace#3 online spalling</t>
        </r>
      </text>
    </comment>
    <comment ref="AIM9" authorId="7" shapeId="0" xr:uid="{00000000-0006-0000-0300-000052000000}">
      <text>
        <r>
          <rPr>
            <b/>
            <sz val="9"/>
            <color indexed="81"/>
            <rFont val="Tahoma"/>
            <family val="2"/>
          </rPr>
          <t>Khaled.Aljihdimi:</t>
        </r>
        <r>
          <rPr>
            <sz val="9"/>
            <color indexed="81"/>
            <rFont val="Tahoma"/>
            <family val="2"/>
          </rPr>
          <t xml:space="preserve">
#Furnace#1: online spalling</t>
        </r>
      </text>
    </comment>
    <comment ref="AIN9" authorId="7" shapeId="0" xr:uid="{00000000-0006-0000-0300-000053000000}">
      <text>
        <r>
          <rPr>
            <b/>
            <sz val="9"/>
            <color indexed="81"/>
            <rFont val="Tahoma"/>
            <family val="2"/>
          </rPr>
          <t>Khaled.Aljihdimi:</t>
        </r>
        <r>
          <rPr>
            <sz val="9"/>
            <color indexed="81"/>
            <rFont val="Tahoma"/>
            <family val="2"/>
          </rPr>
          <t xml:space="preserve">
#Furnace#1: online spalling + Coke storage full of coke at Sp3</t>
        </r>
      </text>
    </comment>
    <comment ref="AIO9" authorId="7" shapeId="0" xr:uid="{00000000-0006-0000-0300-000054000000}">
      <text>
        <r>
          <rPr>
            <b/>
            <sz val="9"/>
            <color indexed="81"/>
            <rFont val="Tahoma"/>
            <family val="2"/>
          </rPr>
          <t>Khaled.Aljihdimi:</t>
        </r>
        <r>
          <rPr>
            <sz val="9"/>
            <color indexed="81"/>
            <rFont val="Tahoma"/>
            <family val="2"/>
          </rPr>
          <t xml:space="preserve">
#Furnace#1: online spalling + Coke storage full of coke at Sp3</t>
        </r>
      </text>
    </comment>
    <comment ref="AIP9" authorId="7" shapeId="0" xr:uid="{00000000-0006-0000-0300-000055000000}">
      <text>
        <r>
          <rPr>
            <b/>
            <sz val="9"/>
            <color indexed="81"/>
            <rFont val="Tahoma"/>
            <family val="2"/>
          </rPr>
          <t>Khaled.Aljihdimi:</t>
        </r>
        <r>
          <rPr>
            <sz val="9"/>
            <color indexed="81"/>
            <rFont val="Tahoma"/>
            <family val="2"/>
          </rPr>
          <t xml:space="preserve">
#Furnace#1: online spalling + Coke storage full of coke at Sp3</t>
        </r>
      </text>
    </comment>
    <comment ref="AIQ9" authorId="7" shapeId="0" xr:uid="{00000000-0006-0000-0300-000056000000}">
      <text>
        <r>
          <rPr>
            <b/>
            <sz val="9"/>
            <color indexed="81"/>
            <rFont val="Tahoma"/>
            <family val="2"/>
          </rPr>
          <t>John Noronha</t>
        </r>
        <r>
          <rPr>
            <sz val="9"/>
            <color indexed="81"/>
            <rFont val="Tahoma"/>
            <family val="2"/>
          </rPr>
          <t xml:space="preserve">
#Furnace#1: online spalling + Coke storage full of coke at SP3</t>
        </r>
      </text>
    </comment>
    <comment ref="AJE9" authorId="6" shapeId="0" xr:uid="{00000000-0006-0000-0300-000057000000}">
      <text>
        <r>
          <rPr>
            <b/>
            <sz val="9"/>
            <color indexed="81"/>
            <rFont val="Tahoma"/>
            <family val="2"/>
          </rPr>
          <t>Maher.Alsiddiqi:</t>
        </r>
        <r>
          <rPr>
            <sz val="9"/>
            <color indexed="81"/>
            <rFont val="Tahoma"/>
            <family val="2"/>
          </rPr>
          <t xml:space="preserve">
SP3 HIGH STORAGE LEVEL</t>
        </r>
      </text>
    </comment>
    <comment ref="AJF9" authorId="6" shapeId="0" xr:uid="{00000000-0006-0000-0300-000058000000}">
      <text>
        <r>
          <rPr>
            <b/>
            <sz val="9"/>
            <color indexed="81"/>
            <rFont val="Tahoma"/>
            <family val="2"/>
          </rPr>
          <t>Maher.Alsiddiqi:</t>
        </r>
        <r>
          <rPr>
            <sz val="9"/>
            <color indexed="81"/>
            <rFont val="Tahoma"/>
            <family val="2"/>
          </rPr>
          <t xml:space="preserve">
SP3 HIGH STORAGE LEVEL</t>
        </r>
      </text>
    </comment>
    <comment ref="AJG9" authorId="6" shapeId="0" xr:uid="{00000000-0006-0000-0300-000059000000}">
      <text>
        <r>
          <rPr>
            <b/>
            <sz val="9"/>
            <color indexed="81"/>
            <rFont val="Tahoma"/>
            <family val="2"/>
          </rPr>
          <t>Maher.Alsiddiqi:</t>
        </r>
        <r>
          <rPr>
            <sz val="9"/>
            <color indexed="81"/>
            <rFont val="Tahoma"/>
            <family val="2"/>
          </rPr>
          <t xml:space="preserve">
SP-3 High Storage level</t>
        </r>
      </text>
    </comment>
    <comment ref="AJH9" authorId="7" shapeId="0" xr:uid="{00000000-0006-0000-0300-00005A000000}">
      <text>
        <r>
          <rPr>
            <b/>
            <sz val="9"/>
            <color indexed="81"/>
            <rFont val="Tahoma"/>
            <family val="2"/>
          </rPr>
          <t>Khaled.Aljihdimi:</t>
        </r>
        <r>
          <rPr>
            <sz val="9"/>
            <color indexed="81"/>
            <rFont val="Tahoma"/>
            <family val="2"/>
          </rPr>
          <t xml:space="preserve">
Furnace #2: Online spalling</t>
        </r>
      </text>
    </comment>
    <comment ref="AJI9" authorId="7" shapeId="0" xr:uid="{00000000-0006-0000-0300-00005B000000}">
      <text>
        <r>
          <rPr>
            <b/>
            <sz val="9"/>
            <color indexed="81"/>
            <rFont val="Tahoma"/>
            <family val="2"/>
          </rPr>
          <t>Khaled.Aljihdimi:</t>
        </r>
        <r>
          <rPr>
            <sz val="9"/>
            <color indexed="81"/>
            <rFont val="Tahoma"/>
            <family val="2"/>
          </rPr>
          <t xml:space="preserve">
Furnace #2: Online spalling</t>
        </r>
      </text>
    </comment>
    <comment ref="AJJ9" authorId="7" shapeId="0" xr:uid="{00000000-0006-0000-0300-00005C000000}">
      <text>
        <r>
          <rPr>
            <b/>
            <sz val="9"/>
            <color indexed="81"/>
            <rFont val="Tahoma"/>
            <family val="2"/>
          </rPr>
          <t>Khaled.Aljihdimi:</t>
        </r>
        <r>
          <rPr>
            <sz val="9"/>
            <color indexed="81"/>
            <rFont val="Tahoma"/>
            <family val="2"/>
          </rPr>
          <t xml:space="preserve">
Furnace #2: Online spalling</t>
        </r>
      </text>
    </comment>
    <comment ref="AJK9" authorId="7" shapeId="0" xr:uid="{00000000-0006-0000-0300-00005D000000}">
      <text>
        <r>
          <rPr>
            <b/>
            <sz val="9"/>
            <color indexed="81"/>
            <rFont val="Tahoma"/>
            <family val="2"/>
          </rPr>
          <t>Khaled.Aljihdimi:</t>
        </r>
        <r>
          <rPr>
            <sz val="9"/>
            <color indexed="81"/>
            <rFont val="Tahoma"/>
            <family val="2"/>
          </rPr>
          <t xml:space="preserve">
Furnace #2: Online spalling</t>
        </r>
      </text>
    </comment>
    <comment ref="AJL9" authorId="7" shapeId="0" xr:uid="{00000000-0006-0000-0300-00005E000000}">
      <text>
        <r>
          <rPr>
            <b/>
            <sz val="9"/>
            <color indexed="81"/>
            <rFont val="Tahoma"/>
            <family val="2"/>
          </rPr>
          <t>Khaled.Aljihdimi:</t>
        </r>
        <r>
          <rPr>
            <sz val="9"/>
            <color indexed="81"/>
            <rFont val="Tahoma"/>
            <family val="2"/>
          </rPr>
          <t xml:space="preserve">
Furnace #2: Online spalling</t>
        </r>
      </text>
    </comment>
    <comment ref="AJM9" authorId="7" shapeId="0" xr:uid="{00000000-0006-0000-0300-00005F000000}">
      <text>
        <r>
          <rPr>
            <b/>
            <sz val="9"/>
            <color indexed="81"/>
            <rFont val="Tahoma"/>
            <family val="2"/>
          </rPr>
          <t>Khaled.Aljihdimi:</t>
        </r>
        <r>
          <rPr>
            <sz val="9"/>
            <color indexed="81"/>
            <rFont val="Tahoma"/>
            <family val="2"/>
          </rPr>
          <t xml:space="preserve">
Furnace #2: Online spalling</t>
        </r>
      </text>
    </comment>
    <comment ref="AJO9" authorId="8" shapeId="0" xr:uid="{00000000-0006-0000-0300-000060000000}">
      <text>
        <r>
          <rPr>
            <b/>
            <sz val="9"/>
            <color indexed="81"/>
            <rFont val="Tahoma"/>
            <family val="2"/>
          </rPr>
          <t xml:space="preserve">Khaled:  Drum #5&amp;6 No production due to Four way valve issue from Furnace#3. </t>
        </r>
        <r>
          <rPr>
            <sz val="9"/>
            <color indexed="81"/>
            <rFont val="Tahoma"/>
            <family val="2"/>
          </rPr>
          <t xml:space="preserve">
</t>
        </r>
      </text>
    </comment>
    <comment ref="AJP9" authorId="8" shapeId="0" xr:uid="{00000000-0006-0000-0300-000061000000}">
      <text>
        <r>
          <rPr>
            <b/>
            <sz val="9"/>
            <color indexed="81"/>
            <rFont val="Tahoma"/>
            <family val="2"/>
          </rPr>
          <t xml:space="preserve">Khaled:  Drum #5&amp;6 No production due to Four way valve issue from Furnace#3. </t>
        </r>
        <r>
          <rPr>
            <sz val="9"/>
            <color indexed="81"/>
            <rFont val="Tahoma"/>
            <family val="2"/>
          </rPr>
          <t xml:space="preserve">
</t>
        </r>
      </text>
    </comment>
    <comment ref="AJQ9" authorId="8" shapeId="0" xr:uid="{00000000-0006-0000-0300-000062000000}">
      <text>
        <r>
          <rPr>
            <b/>
            <sz val="9"/>
            <color indexed="81"/>
            <rFont val="Tahoma"/>
            <family val="2"/>
          </rPr>
          <t xml:space="preserve">Khaled:  Drum #5&amp;6 No production due to Four way valve issue from Furnace#3. </t>
        </r>
        <r>
          <rPr>
            <sz val="9"/>
            <color indexed="81"/>
            <rFont val="Tahoma"/>
            <family val="2"/>
          </rPr>
          <t xml:space="preserve">
</t>
        </r>
      </text>
    </comment>
    <comment ref="AJR9" authorId="8" shapeId="0" xr:uid="{00000000-0006-0000-0300-000063000000}">
      <text>
        <r>
          <rPr>
            <b/>
            <sz val="9"/>
            <color indexed="81"/>
            <rFont val="Tahoma"/>
            <family val="2"/>
          </rPr>
          <t xml:space="preserve">Khaled:  Drum #5&amp;6 No production due to Four way valve issue from Furnace#3. </t>
        </r>
        <r>
          <rPr>
            <sz val="9"/>
            <color indexed="81"/>
            <rFont val="Tahoma"/>
            <family val="2"/>
          </rPr>
          <t xml:space="preserve">
</t>
        </r>
      </text>
    </comment>
    <comment ref="AJS9" authorId="8" shapeId="0" xr:uid="{00000000-0006-0000-0300-000064000000}">
      <text>
        <r>
          <rPr>
            <b/>
            <sz val="9"/>
            <color indexed="81"/>
            <rFont val="Tahoma"/>
            <family val="2"/>
          </rPr>
          <t xml:space="preserve">Khaled:  Drum #5&amp;6 No production due to Four way valve issue from Furnace#3. </t>
        </r>
        <r>
          <rPr>
            <sz val="9"/>
            <color indexed="81"/>
            <rFont val="Tahoma"/>
            <family val="2"/>
          </rPr>
          <t xml:space="preserve">
</t>
        </r>
      </text>
    </comment>
    <comment ref="AJT9" authorId="8" shapeId="0" xr:uid="{00000000-0006-0000-0300-000065000000}">
      <text>
        <r>
          <rPr>
            <b/>
            <sz val="9"/>
            <color indexed="81"/>
            <rFont val="Tahoma"/>
            <family val="2"/>
          </rPr>
          <t xml:space="preserve">Khaled:  Drum #5&amp;6 No production due to Four way valve issue from Furnace#3. </t>
        </r>
        <r>
          <rPr>
            <sz val="9"/>
            <color indexed="81"/>
            <rFont val="Tahoma"/>
            <family val="2"/>
          </rPr>
          <t xml:space="preserve">
</t>
        </r>
      </text>
    </comment>
    <comment ref="AJU9" authorId="8" shapeId="0" xr:uid="{00000000-0006-0000-0300-000066000000}">
      <text>
        <r>
          <rPr>
            <b/>
            <sz val="9"/>
            <color indexed="81"/>
            <rFont val="Tahoma"/>
            <family val="2"/>
          </rPr>
          <t xml:space="preserve">Khaled:  Drum #5&amp;6 No production due to Four way valve issue from Furnace#3. </t>
        </r>
        <r>
          <rPr>
            <sz val="9"/>
            <color indexed="81"/>
            <rFont val="Tahoma"/>
            <family val="2"/>
          </rPr>
          <t xml:space="preserve">
</t>
        </r>
      </text>
    </comment>
    <comment ref="AJV9" authorId="8" shapeId="0" xr:uid="{00000000-0006-0000-0300-000067000000}">
      <text>
        <r>
          <rPr>
            <b/>
            <sz val="9"/>
            <color indexed="81"/>
            <rFont val="Tahoma"/>
            <family val="2"/>
          </rPr>
          <t xml:space="preserve">Khaled:  Drum #5&amp;6 No production due to Four way valve issue from Furnace#3. </t>
        </r>
        <r>
          <rPr>
            <sz val="9"/>
            <color indexed="81"/>
            <rFont val="Tahoma"/>
            <family val="2"/>
          </rPr>
          <t xml:space="preserve">
</t>
        </r>
      </text>
    </comment>
    <comment ref="AJW9" authorId="8" shapeId="0" xr:uid="{00000000-0006-0000-0300-000068000000}">
      <text>
        <r>
          <rPr>
            <b/>
            <sz val="9"/>
            <color indexed="81"/>
            <rFont val="Tahoma"/>
            <family val="2"/>
          </rPr>
          <t xml:space="preserve">Khaled:  Drum #5&amp;6 No production due to Four way valve issue from Furnace#3. </t>
        </r>
        <r>
          <rPr>
            <sz val="9"/>
            <color indexed="81"/>
            <rFont val="Tahoma"/>
            <family val="2"/>
          </rPr>
          <t xml:space="preserve">
</t>
        </r>
      </text>
    </comment>
    <comment ref="AJX9" authorId="8" shapeId="0" xr:uid="{00000000-0006-0000-0300-000069000000}">
      <text>
        <r>
          <rPr>
            <b/>
            <sz val="9"/>
            <color indexed="81"/>
            <rFont val="Tahoma"/>
            <family val="2"/>
          </rPr>
          <t xml:space="preserve">Khaled:  Drum #5&amp;6 No production due to Four way valve issue from Furnace#3. </t>
        </r>
        <r>
          <rPr>
            <sz val="9"/>
            <color indexed="81"/>
            <rFont val="Tahoma"/>
            <family val="2"/>
          </rPr>
          <t xml:space="preserve">
</t>
        </r>
      </text>
    </comment>
    <comment ref="AJY9" authorId="8" shapeId="0" xr:uid="{00000000-0006-0000-0300-00006A000000}">
      <text>
        <r>
          <rPr>
            <b/>
            <sz val="9"/>
            <color indexed="81"/>
            <rFont val="Tahoma"/>
            <family val="2"/>
          </rPr>
          <t xml:space="preserve">Khaled:  Drum #5&amp;6 No production due to Four way valve issue from Furnace#3. </t>
        </r>
        <r>
          <rPr>
            <sz val="9"/>
            <color indexed="81"/>
            <rFont val="Tahoma"/>
            <family val="2"/>
          </rPr>
          <t xml:space="preserve">
</t>
        </r>
      </text>
    </comment>
    <comment ref="ALG9" authorId="7" shapeId="0" xr:uid="{00000000-0006-0000-0300-00006B000000}">
      <text>
        <r>
          <rPr>
            <b/>
            <sz val="9"/>
            <color indexed="81"/>
            <rFont val="Tahoma"/>
            <family val="2"/>
          </rPr>
          <t>Khaled.Aljihdimi:</t>
        </r>
        <r>
          <rPr>
            <sz val="9"/>
            <color indexed="81"/>
            <rFont val="Tahoma"/>
            <family val="2"/>
          </rPr>
          <t xml:space="preserve">
Low Production  due to Partial shut down Furnace #1
</t>
        </r>
      </text>
    </comment>
    <comment ref="ALH9" authorId="7" shapeId="0" xr:uid="{00000000-0006-0000-0300-00006C000000}">
      <text>
        <r>
          <rPr>
            <b/>
            <sz val="9"/>
            <color indexed="81"/>
            <rFont val="Tahoma"/>
            <family val="2"/>
          </rPr>
          <t>Khaled.Aljihdimi:</t>
        </r>
        <r>
          <rPr>
            <sz val="9"/>
            <color indexed="81"/>
            <rFont val="Tahoma"/>
            <family val="2"/>
          </rPr>
          <t xml:space="preserve">
Low Production  due to Partial shut down Furnace #1
</t>
        </r>
      </text>
    </comment>
    <comment ref="ALI9" authorId="7" shapeId="0" xr:uid="{00000000-0006-0000-0300-00006D000000}">
      <text>
        <r>
          <rPr>
            <b/>
            <sz val="9"/>
            <color indexed="81"/>
            <rFont val="Tahoma"/>
            <family val="2"/>
          </rPr>
          <t>Khaled.Aljihdimi:</t>
        </r>
        <r>
          <rPr>
            <sz val="9"/>
            <color indexed="81"/>
            <rFont val="Tahoma"/>
            <family val="2"/>
          </rPr>
          <t xml:space="preserve">
Low Production  due to Partial shut down Furnace #1
</t>
        </r>
      </text>
    </comment>
    <comment ref="ALJ9" authorId="7" shapeId="0" xr:uid="{00000000-0006-0000-0300-00006E000000}">
      <text>
        <r>
          <rPr>
            <b/>
            <sz val="9"/>
            <color indexed="81"/>
            <rFont val="Tahoma"/>
            <family val="2"/>
          </rPr>
          <t>Khaled.Aljihdimi:</t>
        </r>
        <r>
          <rPr>
            <sz val="9"/>
            <color indexed="81"/>
            <rFont val="Tahoma"/>
            <family val="2"/>
          </rPr>
          <t xml:space="preserve">
Low Production  due to Partial shut down Furnace #1
</t>
        </r>
      </text>
    </comment>
    <comment ref="ALK9" authorId="7" shapeId="0" xr:uid="{00000000-0006-0000-0300-00006F000000}">
      <text>
        <r>
          <rPr>
            <b/>
            <sz val="9"/>
            <color indexed="81"/>
            <rFont val="Tahoma"/>
            <family val="2"/>
          </rPr>
          <t>Khaled.Aljihdimi:</t>
        </r>
        <r>
          <rPr>
            <sz val="9"/>
            <color indexed="81"/>
            <rFont val="Tahoma"/>
            <family val="2"/>
          </rPr>
          <t xml:space="preserve">
Low Production  due to Partial shut down Furnace #1
</t>
        </r>
      </text>
    </comment>
    <comment ref="ALL9" authorId="7" shapeId="0" xr:uid="{00000000-0006-0000-0300-000070000000}">
      <text>
        <r>
          <rPr>
            <b/>
            <sz val="9"/>
            <color indexed="81"/>
            <rFont val="Tahoma"/>
            <family val="2"/>
          </rPr>
          <t>Khaled.Aljihdimi:</t>
        </r>
        <r>
          <rPr>
            <sz val="9"/>
            <color indexed="81"/>
            <rFont val="Tahoma"/>
            <family val="2"/>
          </rPr>
          <t xml:space="preserve">
Low Production  due to Partial shut down Furnace #1
</t>
        </r>
      </text>
    </comment>
    <comment ref="ALM9" authorId="7" shapeId="0" xr:uid="{00000000-0006-0000-0300-000071000000}">
      <text>
        <r>
          <rPr>
            <b/>
            <sz val="9"/>
            <color indexed="81"/>
            <rFont val="Tahoma"/>
            <family val="2"/>
          </rPr>
          <t>Khaled.Aljihdimi:</t>
        </r>
        <r>
          <rPr>
            <sz val="9"/>
            <color indexed="81"/>
            <rFont val="Tahoma"/>
            <family val="2"/>
          </rPr>
          <t xml:space="preserve">
Low Production  due to Partial shut down Furnace #1
</t>
        </r>
      </text>
    </comment>
    <comment ref="AMA9" authorId="7" shapeId="0" xr:uid="{00000000-0006-0000-0300-000072000000}">
      <text>
        <r>
          <rPr>
            <b/>
            <sz val="9"/>
            <color indexed="81"/>
            <rFont val="Tahoma"/>
            <family val="2"/>
          </rPr>
          <t>Khaled.Aljihdimi:</t>
        </r>
        <r>
          <rPr>
            <sz val="9"/>
            <color indexed="81"/>
            <rFont val="Tahoma"/>
            <family val="2"/>
          </rPr>
          <t xml:space="preserve">
Low production due to Furnace #2 Shutdown</t>
        </r>
      </text>
    </comment>
    <comment ref="AMB9" authorId="7" shapeId="0" xr:uid="{00000000-0006-0000-0300-000073000000}">
      <text>
        <r>
          <rPr>
            <b/>
            <sz val="9"/>
            <color indexed="81"/>
            <rFont val="Tahoma"/>
            <family val="2"/>
          </rPr>
          <t>Khaled.Aljihdimi:</t>
        </r>
        <r>
          <rPr>
            <sz val="9"/>
            <color indexed="81"/>
            <rFont val="Tahoma"/>
            <family val="2"/>
          </rPr>
          <t xml:space="preserve">
Low Production due to Furnace #2 Sutdown
</t>
        </r>
      </text>
    </comment>
    <comment ref="AMC9" authorId="7" shapeId="0" xr:uid="{00000000-0006-0000-0300-000074000000}">
      <text>
        <r>
          <rPr>
            <b/>
            <sz val="9"/>
            <color indexed="81"/>
            <rFont val="Tahoma"/>
            <family val="2"/>
          </rPr>
          <t>Khaled.Aljihdimi:</t>
        </r>
        <r>
          <rPr>
            <sz val="9"/>
            <color indexed="81"/>
            <rFont val="Tahoma"/>
            <family val="2"/>
          </rPr>
          <t xml:space="preserve">
Low Production due to Furnace #2 Sutdown
</t>
        </r>
      </text>
    </comment>
    <comment ref="AMD9" authorId="7" shapeId="0" xr:uid="{00000000-0006-0000-0300-000075000000}">
      <text>
        <r>
          <rPr>
            <b/>
            <sz val="9"/>
            <color indexed="81"/>
            <rFont val="Tahoma"/>
            <family val="2"/>
          </rPr>
          <t>Khaled.Aljihdimi:</t>
        </r>
        <r>
          <rPr>
            <sz val="9"/>
            <color indexed="81"/>
            <rFont val="Tahoma"/>
            <family val="2"/>
          </rPr>
          <t xml:space="preserve">
Low Production due to Furnace #2 Sutdown
</t>
        </r>
      </text>
    </comment>
    <comment ref="AME9" authorId="7" shapeId="0" xr:uid="{00000000-0006-0000-0300-000076000000}">
      <text>
        <r>
          <rPr>
            <b/>
            <sz val="9"/>
            <color indexed="81"/>
            <rFont val="Tahoma"/>
            <family val="2"/>
          </rPr>
          <t>Khaled.Aljihdimi:</t>
        </r>
        <r>
          <rPr>
            <sz val="9"/>
            <color indexed="81"/>
            <rFont val="Tahoma"/>
            <family val="2"/>
          </rPr>
          <t xml:space="preserve">
Low Production due to Furnace #2 Sutdown
</t>
        </r>
      </text>
    </comment>
    <comment ref="ANJ9" authorId="7" shapeId="0" xr:uid="{00000000-0006-0000-0300-000077000000}">
      <text>
        <r>
          <rPr>
            <b/>
            <sz val="9"/>
            <color indexed="81"/>
            <rFont val="Tahoma"/>
            <family val="2"/>
          </rPr>
          <t>Khaled.Aljihdimi:</t>
        </r>
        <r>
          <rPr>
            <sz val="9"/>
            <color indexed="81"/>
            <rFont val="Tahoma"/>
            <family val="2"/>
          </rPr>
          <t xml:space="preserve">
Starting Partial Shutdown for Furnace #3
</t>
        </r>
      </text>
    </comment>
    <comment ref="ANK9" authorId="7" shapeId="0" xr:uid="{00000000-0006-0000-0300-000078000000}">
      <text>
        <r>
          <rPr>
            <b/>
            <sz val="9"/>
            <color indexed="81"/>
            <rFont val="Tahoma"/>
            <family val="2"/>
          </rPr>
          <t>Khaled.Aljihdimi:</t>
        </r>
        <r>
          <rPr>
            <sz val="9"/>
            <color indexed="81"/>
            <rFont val="Tahoma"/>
            <family val="2"/>
          </rPr>
          <t xml:space="preserve">
Starting Partial Shutdown for Furnace #3
</t>
        </r>
      </text>
    </comment>
    <comment ref="ANL9" authorId="7" shapeId="0" xr:uid="{00000000-0006-0000-0300-000079000000}">
      <text>
        <r>
          <rPr>
            <b/>
            <sz val="9"/>
            <color indexed="81"/>
            <rFont val="Tahoma"/>
            <family val="2"/>
          </rPr>
          <t>Khaled.Aljihdimi:</t>
        </r>
        <r>
          <rPr>
            <sz val="9"/>
            <color indexed="81"/>
            <rFont val="Tahoma"/>
            <family val="2"/>
          </rPr>
          <t xml:space="preserve">
Starting Partial Shutdown for Furnace #3
</t>
        </r>
      </text>
    </comment>
    <comment ref="ANM9" authorId="7" shapeId="0" xr:uid="{00000000-0006-0000-0300-00007A000000}">
      <text>
        <r>
          <rPr>
            <b/>
            <sz val="9"/>
            <color indexed="81"/>
            <rFont val="Tahoma"/>
            <family val="2"/>
          </rPr>
          <t>Khaled.Aljihdimi:</t>
        </r>
        <r>
          <rPr>
            <sz val="9"/>
            <color indexed="81"/>
            <rFont val="Tahoma"/>
            <family val="2"/>
          </rPr>
          <t xml:space="preserve">
Starting Partial Shutdown for Furnace #3
</t>
        </r>
      </text>
    </comment>
    <comment ref="ANN9" authorId="7" shapeId="0" xr:uid="{00000000-0006-0000-0300-00007B000000}">
      <text>
        <r>
          <rPr>
            <b/>
            <sz val="9"/>
            <color indexed="81"/>
            <rFont val="Tahoma"/>
            <family val="2"/>
          </rPr>
          <t>Khaled.Aljihdimi:</t>
        </r>
        <r>
          <rPr>
            <sz val="9"/>
            <color indexed="81"/>
            <rFont val="Tahoma"/>
            <family val="2"/>
          </rPr>
          <t xml:space="preserve">
Starting Partial Shutdown for Furnace #3
</t>
        </r>
      </text>
    </comment>
    <comment ref="ANO9" authorId="7" shapeId="0" xr:uid="{00000000-0006-0000-0300-00007C000000}">
      <text>
        <r>
          <rPr>
            <b/>
            <sz val="9"/>
            <color indexed="81"/>
            <rFont val="Tahoma"/>
            <family val="2"/>
          </rPr>
          <t>Khaled.Aljihdimi:</t>
        </r>
        <r>
          <rPr>
            <sz val="9"/>
            <color indexed="81"/>
            <rFont val="Tahoma"/>
            <family val="2"/>
          </rPr>
          <t xml:space="preserve">
Starting Partial Shutdown for Furnace #3
</t>
        </r>
      </text>
    </comment>
    <comment ref="ANP9" authorId="7" shapeId="0" xr:uid="{00000000-0006-0000-0300-00007D000000}">
      <text>
        <r>
          <rPr>
            <b/>
            <sz val="9"/>
            <color indexed="81"/>
            <rFont val="Tahoma"/>
            <family val="2"/>
          </rPr>
          <t>Khaled.Aljihdimi:</t>
        </r>
        <r>
          <rPr>
            <sz val="9"/>
            <color indexed="81"/>
            <rFont val="Tahoma"/>
            <family val="2"/>
          </rPr>
          <t xml:space="preserve">
Starting Partial Shutdown for Furnace #3
</t>
        </r>
      </text>
    </comment>
    <comment ref="BCS9" authorId="7" shapeId="0" xr:uid="{00000000-0006-0000-0300-00007E000000}">
      <text>
        <r>
          <rPr>
            <b/>
            <sz val="9"/>
            <color indexed="81"/>
            <rFont val="Tahoma"/>
            <family val="2"/>
          </rPr>
          <t>Khaled.Aljihdimi:</t>
        </r>
        <r>
          <rPr>
            <sz val="9"/>
            <color indexed="81"/>
            <rFont val="Tahoma"/>
            <family val="2"/>
          </rPr>
          <t xml:space="preserve">
Furncae #3 By Bass</t>
        </r>
      </text>
    </comment>
    <comment ref="BCT9" authorId="7" shapeId="0" xr:uid="{00000000-0006-0000-0300-00007F000000}">
      <text>
        <r>
          <rPr>
            <b/>
            <sz val="9"/>
            <color indexed="81"/>
            <rFont val="Tahoma"/>
            <family val="2"/>
          </rPr>
          <t>Khaled.Aljihdimi:</t>
        </r>
        <r>
          <rPr>
            <sz val="9"/>
            <color indexed="81"/>
            <rFont val="Tahoma"/>
            <family val="2"/>
          </rPr>
          <t xml:space="preserve">
Furncae #3 By Bass</t>
        </r>
      </text>
    </comment>
    <comment ref="BCU9" authorId="7" shapeId="0" xr:uid="{00000000-0006-0000-0300-000080000000}">
      <text>
        <r>
          <rPr>
            <b/>
            <sz val="9"/>
            <color indexed="81"/>
            <rFont val="Tahoma"/>
            <family val="2"/>
          </rPr>
          <t>Khaled.Aljihdimi:</t>
        </r>
        <r>
          <rPr>
            <sz val="9"/>
            <color indexed="81"/>
            <rFont val="Tahoma"/>
            <family val="2"/>
          </rPr>
          <t xml:space="preserve">
Furncae #3 By Bass</t>
        </r>
      </text>
    </comment>
    <comment ref="BDQ9" authorId="9" shapeId="0" xr:uid="{00000000-0006-0000-0300-000081000000}">
      <text>
        <r>
          <rPr>
            <b/>
            <sz val="9"/>
            <color indexed="81"/>
            <rFont val="Tahoma"/>
            <family val="2"/>
          </rPr>
          <t>DCU:</t>
        </r>
        <r>
          <rPr>
            <sz val="9"/>
            <color indexed="81"/>
            <rFont val="Tahoma"/>
            <family val="2"/>
          </rPr>
          <t xml:space="preserve">
due to block #1 shut down</t>
        </r>
      </text>
    </comment>
    <comment ref="BDR9" authorId="9" shapeId="0" xr:uid="{00000000-0006-0000-0300-000082000000}">
      <text>
        <r>
          <rPr>
            <b/>
            <sz val="9"/>
            <color indexed="81"/>
            <rFont val="Tahoma"/>
            <family val="2"/>
          </rPr>
          <t>DCU:</t>
        </r>
        <r>
          <rPr>
            <sz val="9"/>
            <color indexed="81"/>
            <rFont val="Tahoma"/>
            <family val="2"/>
          </rPr>
          <t xml:space="preserve">
due to block #1 shut down</t>
        </r>
      </text>
    </comment>
    <comment ref="BDS9" authorId="9" shapeId="0" xr:uid="{00000000-0006-0000-0300-000083000000}">
      <text>
        <r>
          <rPr>
            <b/>
            <sz val="9"/>
            <color indexed="81"/>
            <rFont val="Tahoma"/>
            <family val="2"/>
          </rPr>
          <t>DCU:</t>
        </r>
        <r>
          <rPr>
            <sz val="9"/>
            <color indexed="81"/>
            <rFont val="Tahoma"/>
            <family val="2"/>
          </rPr>
          <t xml:space="preserve">
due to block #1 shut down</t>
        </r>
      </text>
    </comment>
    <comment ref="BDT9" authorId="9" shapeId="0" xr:uid="{00000000-0006-0000-0300-000084000000}">
      <text>
        <r>
          <rPr>
            <b/>
            <sz val="9"/>
            <color indexed="81"/>
            <rFont val="Tahoma"/>
            <family val="2"/>
          </rPr>
          <t>DCU:</t>
        </r>
        <r>
          <rPr>
            <sz val="9"/>
            <color indexed="81"/>
            <rFont val="Tahoma"/>
            <family val="2"/>
          </rPr>
          <t xml:space="preserve">
due to block #1 shut down</t>
        </r>
      </text>
    </comment>
    <comment ref="BDU9" authorId="9" shapeId="0" xr:uid="{00000000-0006-0000-0300-000085000000}">
      <text>
        <r>
          <rPr>
            <b/>
            <sz val="9"/>
            <color indexed="81"/>
            <rFont val="Tahoma"/>
            <family val="2"/>
          </rPr>
          <t>DCU:</t>
        </r>
        <r>
          <rPr>
            <sz val="9"/>
            <color indexed="81"/>
            <rFont val="Tahoma"/>
            <family val="2"/>
          </rPr>
          <t xml:space="preserve">
due to block #1 shut down</t>
        </r>
      </text>
    </comment>
    <comment ref="BDV9" authorId="9" shapeId="0" xr:uid="{00000000-0006-0000-0300-000086000000}">
      <text>
        <r>
          <rPr>
            <b/>
            <sz val="9"/>
            <color indexed="81"/>
            <rFont val="Tahoma"/>
            <family val="2"/>
          </rPr>
          <t>DCU:</t>
        </r>
        <r>
          <rPr>
            <sz val="9"/>
            <color indexed="81"/>
            <rFont val="Tahoma"/>
            <family val="2"/>
          </rPr>
          <t xml:space="preserve">
due to block #1 shut down</t>
        </r>
      </text>
    </comment>
    <comment ref="BDW9" authorId="9" shapeId="0" xr:uid="{00000000-0006-0000-0300-000087000000}">
      <text>
        <r>
          <rPr>
            <b/>
            <sz val="9"/>
            <color indexed="81"/>
            <rFont val="Tahoma"/>
            <family val="2"/>
          </rPr>
          <t>DCU:</t>
        </r>
        <r>
          <rPr>
            <sz val="9"/>
            <color indexed="81"/>
            <rFont val="Tahoma"/>
            <family val="2"/>
          </rPr>
          <t xml:space="preserve">
due to block #1 shut down</t>
        </r>
      </text>
    </comment>
    <comment ref="BDX9" authorId="9" shapeId="0" xr:uid="{00000000-0006-0000-0300-000088000000}">
      <text>
        <r>
          <rPr>
            <b/>
            <sz val="9"/>
            <color indexed="81"/>
            <rFont val="Tahoma"/>
            <family val="2"/>
          </rPr>
          <t>DCU:</t>
        </r>
        <r>
          <rPr>
            <sz val="9"/>
            <color indexed="81"/>
            <rFont val="Tahoma"/>
            <family val="2"/>
          </rPr>
          <t xml:space="preserve">
due to block #1 shut down</t>
        </r>
      </text>
    </comment>
    <comment ref="BDY9" authorId="9" shapeId="0" xr:uid="{00000000-0006-0000-0300-000089000000}">
      <text>
        <r>
          <rPr>
            <b/>
            <sz val="9"/>
            <color indexed="81"/>
            <rFont val="Tahoma"/>
            <family val="2"/>
          </rPr>
          <t>DCU:</t>
        </r>
        <r>
          <rPr>
            <sz val="9"/>
            <color indexed="81"/>
            <rFont val="Tahoma"/>
            <family val="2"/>
          </rPr>
          <t xml:space="preserve">
due to block #1 shut down</t>
        </r>
      </text>
    </comment>
    <comment ref="O11" authorId="0" shapeId="0" xr:uid="{00000000-0006-0000-0300-00008A000000}">
      <text>
        <r>
          <rPr>
            <b/>
            <sz val="9"/>
            <color indexed="81"/>
            <rFont val="Tahoma"/>
            <family val="2"/>
          </rPr>
          <t>MAHIR AL-SIDDIQI:</t>
        </r>
        <r>
          <rPr>
            <sz val="9"/>
            <color indexed="81"/>
            <rFont val="Tahoma"/>
            <family val="2"/>
          </rPr>
          <t xml:space="preserve">
Start the Coke Transfer</t>
        </r>
      </text>
    </comment>
    <comment ref="AW11" authorId="0" shapeId="0" xr:uid="{00000000-0006-0000-0300-00008B000000}">
      <text>
        <r>
          <rPr>
            <b/>
            <sz val="9"/>
            <color indexed="81"/>
            <rFont val="Tahoma"/>
            <family val="2"/>
          </rPr>
          <t>MAHIR AL-SIDDIQI:</t>
        </r>
        <r>
          <rPr>
            <sz val="9"/>
            <color indexed="81"/>
            <rFont val="Tahoma"/>
            <family val="2"/>
          </rPr>
          <t xml:space="preserve">
Total Trasfer reported as per SP-3  TODAY IS 58979 </t>
        </r>
      </text>
    </comment>
    <comment ref="ER11" authorId="4" shapeId="0" xr:uid="{00000000-0006-0000-0300-00008C000000}">
      <text>
        <r>
          <rPr>
            <b/>
            <sz val="8"/>
            <color indexed="81"/>
            <rFont val="ＭＳ Ｐゴシック"/>
            <family val="3"/>
            <charset val="128"/>
          </rPr>
          <t>Belt Scale
caliblation        by vendor</t>
        </r>
      </text>
    </comment>
    <comment ref="ES11" authorId="4" shapeId="0" xr:uid="{00000000-0006-0000-0300-00008D000000}">
      <text>
        <r>
          <rPr>
            <sz val="9"/>
            <color indexed="81"/>
            <rFont val="ＭＳ Ｐゴシック"/>
            <family val="3"/>
            <charset val="128"/>
          </rPr>
          <t>Belt Scale
caliblation        by vendor</t>
        </r>
      </text>
    </comment>
    <comment ref="HA11" authorId="0" shapeId="0" xr:uid="{00000000-0006-0000-0300-00008E000000}">
      <text>
        <r>
          <rPr>
            <b/>
            <sz val="9"/>
            <color indexed="81"/>
            <rFont val="Tahoma"/>
            <family val="2"/>
          </rPr>
          <t>MAHIR AL-SIDDIQI:</t>
        </r>
        <r>
          <rPr>
            <sz val="9"/>
            <color indexed="81"/>
            <rFont val="Tahoma"/>
            <family val="2"/>
          </rPr>
          <t xml:space="preserve">
</t>
        </r>
        <r>
          <rPr>
            <sz val="10"/>
            <color indexed="81"/>
            <rFont val="Tahoma"/>
            <family val="2"/>
          </rPr>
          <t>Arround 4530 to 6080 in CSR but SP3 Reported that trnasfered to CSR AT 4530 MT.</t>
        </r>
      </text>
    </comment>
    <comment ref="HB11" authorId="0" shapeId="0" xr:uid="{00000000-0006-0000-0300-00008F000000}">
      <text>
        <r>
          <rPr>
            <b/>
            <sz val="9"/>
            <color indexed="81"/>
            <rFont val="Tahoma"/>
            <family val="2"/>
          </rPr>
          <t>MAHIR AL-SIDDIQI:</t>
        </r>
        <r>
          <rPr>
            <sz val="9"/>
            <color indexed="81"/>
            <rFont val="Tahoma"/>
            <family val="2"/>
          </rPr>
          <t xml:space="preserve">
</t>
        </r>
        <r>
          <rPr>
            <b/>
            <sz val="10"/>
            <color indexed="81"/>
            <rFont val="Tahoma"/>
            <family val="2"/>
          </rPr>
          <t>Transfer from CSR to SP3 and remaining in CSR arround 1400 to 1500 but DCU to SP3 transfer was 0</t>
        </r>
      </text>
    </comment>
    <comment ref="HC11" authorId="0" shapeId="0" xr:uid="{00000000-0006-0000-0300-000090000000}">
      <text>
        <r>
          <rPr>
            <b/>
            <sz val="9"/>
            <color indexed="81"/>
            <rFont val="Tahoma"/>
            <family val="2"/>
          </rPr>
          <t>MAHIR AL-SIDDIQI:</t>
        </r>
        <r>
          <rPr>
            <sz val="9"/>
            <color indexed="81"/>
            <rFont val="Tahoma"/>
            <family val="2"/>
          </rPr>
          <t xml:space="preserve">
DCU + CSR Transfer 
</t>
        </r>
      </text>
    </comment>
    <comment ref="KR11" authorId="0" shapeId="0" xr:uid="{00000000-0006-0000-0300-000091000000}">
      <text>
        <r>
          <rPr>
            <b/>
            <sz val="9"/>
            <color indexed="81"/>
            <rFont val="Tahoma"/>
            <family val="2"/>
          </rPr>
          <t>MAHIR AL-SIDDIQI:</t>
        </r>
        <r>
          <rPr>
            <sz val="9"/>
            <color indexed="81"/>
            <rFont val="Tahoma"/>
            <family val="2"/>
          </rPr>
          <t xml:space="preserve">
Highest Record </t>
        </r>
      </text>
    </comment>
    <comment ref="KT11" authorId="0" shapeId="0" xr:uid="{00000000-0006-0000-0300-000092000000}">
      <text>
        <r>
          <rPr>
            <b/>
            <sz val="9"/>
            <color indexed="81"/>
            <rFont val="Tahoma"/>
            <family val="2"/>
          </rPr>
          <t>MAHIR AL-SIDDIQI:</t>
        </r>
        <r>
          <rPr>
            <sz val="9"/>
            <color indexed="81"/>
            <rFont val="Tahoma"/>
            <family val="2"/>
          </rPr>
          <t xml:space="preserve">
</t>
        </r>
        <r>
          <rPr>
            <b/>
            <sz val="10"/>
            <color indexed="81"/>
            <rFont val="Tahoma"/>
            <family val="2"/>
          </rPr>
          <t>PIT PAD LEVEL is Low and Alos planing this week for Maintenance activties such as Drum # 1 winch wire replacment and Crane # 23 wire rope and Second wheel replacment</t>
        </r>
      </text>
    </comment>
    <comment ref="KV11" authorId="0" shapeId="0" xr:uid="{00000000-0006-0000-0300-000093000000}">
      <text>
        <r>
          <rPr>
            <b/>
            <sz val="9"/>
            <color indexed="81"/>
            <rFont val="Tahoma"/>
            <family val="2"/>
          </rPr>
          <t>MAHIR AL-SIDDIQI:</t>
        </r>
        <r>
          <rPr>
            <sz val="9"/>
            <color indexed="81"/>
            <rFont val="Tahoma"/>
            <family val="2"/>
          </rPr>
          <t xml:space="preserve">
PIT PAD Very Low Level and also </t>
        </r>
        <r>
          <rPr>
            <sz val="10"/>
            <color indexed="81"/>
            <rFont val="Tahoma"/>
            <family val="2"/>
          </rPr>
          <t>4000 MT Remaining in the PIT PAD are Dead and very Hardness to grab</t>
        </r>
      </text>
    </comment>
    <comment ref="LM11" authorId="1" shapeId="0" xr:uid="{00000000-0006-0000-0300-000094000000}">
      <text>
        <r>
          <rPr>
            <b/>
            <sz val="9"/>
            <color indexed="81"/>
            <rFont val="Tahoma"/>
            <family val="2"/>
          </rPr>
          <t>MAHER ALSIDDIQI:</t>
        </r>
        <r>
          <rPr>
            <sz val="9"/>
            <color indexed="81"/>
            <rFont val="Tahoma"/>
            <family val="2"/>
          </rPr>
          <t xml:space="preserve">
SP-3 Choked for several hrs</t>
        </r>
      </text>
    </comment>
    <comment ref="MH11" authorId="0" shapeId="0" xr:uid="{00000000-0006-0000-0300-000095000000}">
      <text>
        <r>
          <rPr>
            <b/>
            <sz val="9"/>
            <color indexed="81"/>
            <rFont val="Tahoma"/>
            <family val="2"/>
          </rPr>
          <t>MAHIR AL-SIDDIQI:</t>
        </r>
        <r>
          <rPr>
            <sz val="9"/>
            <color indexed="81"/>
            <rFont val="Tahoma"/>
            <family val="2"/>
          </rPr>
          <t xml:space="preserve">
Transfer to CSR around 412 MT to be adjusted and included after CSR PAT</t>
        </r>
      </text>
    </comment>
    <comment ref="MI11" authorId="0" shapeId="0" xr:uid="{00000000-0006-0000-0300-000096000000}">
      <text>
        <r>
          <rPr>
            <b/>
            <sz val="9"/>
            <color indexed="81"/>
            <rFont val="Tahoma"/>
            <family val="2"/>
          </rPr>
          <t>MAHIR AL-SIDDIQI:</t>
        </r>
        <r>
          <rPr>
            <sz val="9"/>
            <color indexed="81"/>
            <rFont val="Tahoma"/>
            <family val="2"/>
          </rPr>
          <t xml:space="preserve">
Transfer to CSR around 1656 MT to be adjusted and included after CSR PAT</t>
        </r>
      </text>
    </comment>
    <comment ref="MJ11" authorId="0" shapeId="0" xr:uid="{00000000-0006-0000-0300-000097000000}">
      <text>
        <r>
          <rPr>
            <b/>
            <sz val="9"/>
            <color indexed="81"/>
            <rFont val="Tahoma"/>
            <family val="2"/>
          </rPr>
          <t>MAHIR AL-SIDDIQI:</t>
        </r>
        <r>
          <rPr>
            <sz val="9"/>
            <color indexed="81"/>
            <rFont val="Tahoma"/>
            <family val="2"/>
          </rPr>
          <t xml:space="preserve">
Transfer from CSR to SP-3 AT 1515 MT. Also, Transfer to CSR around 750 MT to be adjusted and included after CSR PAT</t>
        </r>
      </text>
    </comment>
    <comment ref="MK11" authorId="0" shapeId="0" xr:uid="{00000000-0006-0000-0300-000098000000}">
      <text>
        <r>
          <rPr>
            <b/>
            <sz val="9"/>
            <color indexed="81"/>
            <rFont val="Tahoma"/>
            <family val="2"/>
          </rPr>
          <t>MAHIR AL-SIDDIQI:</t>
        </r>
        <r>
          <rPr>
            <sz val="9"/>
            <color indexed="81"/>
            <rFont val="Tahoma"/>
            <family val="2"/>
          </rPr>
          <t xml:space="preserve">
Transfer from CSR to SP-3 AT 858 MT.</t>
        </r>
      </text>
    </comment>
    <comment ref="RK11" authorId="0" shapeId="0" xr:uid="{00000000-0006-0000-0300-000099000000}">
      <text>
        <r>
          <rPr>
            <b/>
            <sz val="9"/>
            <color indexed="81"/>
            <rFont val="Tahoma"/>
            <family val="2"/>
          </rPr>
          <t>MAHIR AL-SIDDIQI:</t>
        </r>
        <r>
          <rPr>
            <sz val="9"/>
            <color indexed="81"/>
            <rFont val="Tahoma"/>
            <family val="2"/>
          </rPr>
          <t xml:space="preserve">
Power Outage from Substation which affect stoppage from CRANE, Jet pump and SP-3</t>
        </r>
      </text>
    </comment>
    <comment ref="RP11" authorId="0" shapeId="0" xr:uid="{00000000-0006-0000-0300-00009A000000}">
      <text>
        <r>
          <rPr>
            <b/>
            <sz val="9"/>
            <color indexed="81"/>
            <rFont val="Tahoma"/>
            <family val="2"/>
          </rPr>
          <t>MAHIR AL-SIDDIQI:</t>
        </r>
        <r>
          <rPr>
            <sz val="9"/>
            <color indexed="81"/>
            <rFont val="Tahoma"/>
            <family val="2"/>
          </rPr>
          <t xml:space="preserve">
Transfer Operation From PIT to PAD due to very high level in PIT area.
Also, Open/Close Wire rope Replacement on Crane 24</t>
        </r>
      </text>
    </comment>
    <comment ref="SG11" authorId="2" shapeId="0" xr:uid="{00000000-0006-0000-0300-00009B000000}">
      <text>
        <r>
          <rPr>
            <b/>
            <sz val="9"/>
            <color indexed="81"/>
            <rFont val="Tahoma"/>
            <family val="2"/>
          </rPr>
          <t>user:</t>
        </r>
        <r>
          <rPr>
            <sz val="9"/>
            <color indexed="81"/>
            <rFont val="Tahoma"/>
            <family val="2"/>
          </rPr>
          <t xml:space="preserve">
SP-3 M/C time= 8hrs for SP-3  403 Conveyers Vulcanization. Loading stopped 8hrs.</t>
        </r>
      </text>
    </comment>
    <comment ref="UX11" authorId="0" shapeId="0" xr:uid="{00000000-0006-0000-0300-00009C000000}">
      <text>
        <r>
          <rPr>
            <b/>
            <sz val="9"/>
            <color indexed="81"/>
            <rFont val="Tahoma"/>
            <family val="2"/>
          </rPr>
          <t>MAHIR AL-SIDDIQI:</t>
        </r>
        <r>
          <rPr>
            <sz val="9"/>
            <color indexed="81"/>
            <rFont val="Tahoma"/>
            <family val="2"/>
          </rPr>
          <t xml:space="preserve">
PIT (D-5&amp;6) to Hopper 2</t>
        </r>
      </text>
    </comment>
    <comment ref="WN11" authorId="2" shapeId="0" xr:uid="{00000000-0006-0000-0300-00009D000000}">
      <text>
        <r>
          <rPr>
            <b/>
            <sz val="9"/>
            <color indexed="81"/>
            <rFont val="Tahoma"/>
            <family val="2"/>
          </rPr>
          <t>user:</t>
        </r>
        <r>
          <rPr>
            <sz val="9"/>
            <color indexed="81"/>
            <rFont val="Tahoma"/>
            <family val="2"/>
          </rPr>
          <t xml:space="preserve">
Coke trasnfer low due to SP-3 damaged Conveyer Belt -403 replaced with Belt from CSR. Down Time ~31 hrs.</t>
        </r>
      </text>
    </comment>
    <comment ref="WO11" authorId="2" shapeId="0" xr:uid="{00000000-0006-0000-0300-00009E000000}">
      <text>
        <r>
          <rPr>
            <b/>
            <sz val="9"/>
            <color indexed="81"/>
            <rFont val="Tahoma"/>
            <family val="2"/>
          </rPr>
          <t>user:</t>
        </r>
        <r>
          <rPr>
            <sz val="9"/>
            <color indexed="81"/>
            <rFont val="Tahoma"/>
            <family val="2"/>
          </rPr>
          <t xml:space="preserve">
Coke Transfer suspended due to SP-3 damaged Conveyer Belt -403 replaced with Belt from CSR. Down Time ~31 hrs..Conveyer #403 tripping many times after Start-Up.</t>
        </r>
      </text>
    </comment>
    <comment ref="WP11" authorId="0" shapeId="0" xr:uid="{00000000-0006-0000-0300-00009F000000}">
      <text>
        <r>
          <rPr>
            <b/>
            <sz val="9"/>
            <color indexed="81"/>
            <rFont val="Tahoma"/>
            <family val="2"/>
          </rPr>
          <t>MAHIR AL-SIDDIQI:</t>
        </r>
        <r>
          <rPr>
            <sz val="9"/>
            <color indexed="81"/>
            <rFont val="Tahoma"/>
            <family val="2"/>
          </rPr>
          <t xml:space="preserve">
403 Conveyor Miss alignment and 118 Conveyor that spillage conveyor damaged</t>
        </r>
      </text>
    </comment>
    <comment ref="WR11" authorId="0" shapeId="0" xr:uid="{00000000-0006-0000-0300-0000A0000000}">
      <text>
        <r>
          <rPr>
            <b/>
            <sz val="9"/>
            <color indexed="81"/>
            <rFont val="Tahoma"/>
            <family val="2"/>
          </rPr>
          <t>MAHIR AL-SIDDIQI:</t>
        </r>
        <r>
          <rPr>
            <sz val="9"/>
            <color indexed="81"/>
            <rFont val="Tahoma"/>
            <family val="2"/>
          </rPr>
          <t xml:space="preserve">
Highest Record in History</t>
        </r>
      </text>
    </comment>
    <comment ref="XS11" authorId="0" shapeId="0" xr:uid="{00000000-0006-0000-0300-0000A1000000}">
      <text>
        <r>
          <rPr>
            <b/>
            <sz val="9"/>
            <color indexed="81"/>
            <rFont val="Tahoma"/>
            <family val="2"/>
          </rPr>
          <t>MAHIR AL-SIDDIQI:</t>
        </r>
        <r>
          <rPr>
            <sz val="9"/>
            <color indexed="81"/>
            <rFont val="Tahoma"/>
            <family val="2"/>
          </rPr>
          <t xml:space="preserve">
SP-3 High level storage due to Coke vessel delayed</t>
        </r>
      </text>
    </comment>
    <comment ref="XT11" authorId="0" shapeId="0" xr:uid="{00000000-0006-0000-0300-0000A2000000}">
      <text>
        <r>
          <rPr>
            <b/>
            <sz val="9"/>
            <color indexed="81"/>
            <rFont val="Tahoma"/>
            <family val="2"/>
          </rPr>
          <t>MAHIR AL-SIDDIQI:</t>
        </r>
        <r>
          <rPr>
            <sz val="9"/>
            <color indexed="81"/>
            <rFont val="Tahoma"/>
            <family val="2"/>
          </rPr>
          <t xml:space="preserve">
SP-3 High level storage due to Coke vessel delayed</t>
        </r>
      </text>
    </comment>
    <comment ref="XV11" authorId="0" shapeId="0" xr:uid="{00000000-0006-0000-0300-0000A3000000}">
      <text>
        <r>
          <rPr>
            <b/>
            <sz val="9"/>
            <color indexed="81"/>
            <rFont val="Tahoma"/>
            <family val="2"/>
          </rPr>
          <t>MAHIR AL-SIDDIQI:</t>
        </r>
        <r>
          <rPr>
            <sz val="9"/>
            <color indexed="81"/>
            <rFont val="Tahoma"/>
            <family val="2"/>
          </rPr>
          <t xml:space="preserve">
SP-3 High level storage due to Coke vessel delayed</t>
        </r>
      </text>
    </comment>
    <comment ref="XW11" authorId="0" shapeId="0" xr:uid="{00000000-0006-0000-0300-0000A4000000}">
      <text>
        <r>
          <rPr>
            <b/>
            <sz val="9"/>
            <color indexed="81"/>
            <rFont val="Tahoma"/>
            <family val="2"/>
          </rPr>
          <t>MAHIR AL-SIDDIQI:</t>
        </r>
        <r>
          <rPr>
            <sz val="9"/>
            <color indexed="81"/>
            <rFont val="Tahoma"/>
            <family val="2"/>
          </rPr>
          <t xml:space="preserve">
SP-3 High level storage due to Coke vessel delayed</t>
        </r>
      </text>
    </comment>
    <comment ref="XX11" authorId="0" shapeId="0" xr:uid="{00000000-0006-0000-0300-0000A5000000}">
      <text>
        <r>
          <rPr>
            <b/>
            <sz val="9"/>
            <color indexed="81"/>
            <rFont val="Tahoma"/>
            <family val="2"/>
          </rPr>
          <t>MAHIR AL-SIDDIQI:</t>
        </r>
        <r>
          <rPr>
            <sz val="9"/>
            <color indexed="81"/>
            <rFont val="Tahoma"/>
            <family val="2"/>
          </rPr>
          <t xml:space="preserve">
SP-3 High level storage due to SP-3 Conveyer #401 Bearing damaged. Replaced. DT = 27.5 Hrs.</t>
        </r>
      </text>
    </comment>
    <comment ref="XZ11" authorId="2" shapeId="0" xr:uid="{00000000-0006-0000-0300-0000A6000000}">
      <text>
        <r>
          <rPr>
            <b/>
            <sz val="9"/>
            <color indexed="81"/>
            <rFont val="Tahoma"/>
            <family val="2"/>
          </rPr>
          <t>user:</t>
        </r>
        <r>
          <rPr>
            <sz val="9"/>
            <color indexed="81"/>
            <rFont val="Tahoma"/>
            <family val="2"/>
          </rPr>
          <t xml:space="preserve">
John Noronha: Highest Transfer Qty. up to date </t>
        </r>
      </text>
    </comment>
    <comment ref="AHN11" authorId="10" shapeId="0" xr:uid="{00000000-0006-0000-0300-0000A7000000}">
      <text>
        <r>
          <rPr>
            <sz val="9"/>
            <color indexed="81"/>
            <rFont val="Tahoma"/>
            <family val="2"/>
          </rPr>
          <t xml:space="preserve">Khaled:
low transfer due to maintenance job on 116 conveyor belt SP.3 Area
</t>
        </r>
      </text>
    </comment>
    <comment ref="AHY11" authorId="6" shapeId="0" xr:uid="{00000000-0006-0000-0300-0000A8000000}">
      <text>
        <r>
          <rPr>
            <b/>
            <sz val="9"/>
            <color indexed="81"/>
            <rFont val="Tahoma"/>
            <family val="2"/>
          </rPr>
          <t>Maher.Alsiddiqi:</t>
        </r>
        <r>
          <rPr>
            <sz val="9"/>
            <color indexed="81"/>
            <rFont val="Tahoma"/>
            <family val="2"/>
          </rPr>
          <t xml:space="preserve">
SP-3 Plan Maintenance for 116 Conveyor &amp; 118 Tower Pulley lagging took around 18 to 19 hr</t>
        </r>
      </text>
    </comment>
    <comment ref="AIB11" authorId="6" shapeId="0" xr:uid="{00000000-0006-0000-0300-0000A9000000}">
      <text>
        <r>
          <rPr>
            <b/>
            <sz val="9"/>
            <color indexed="81"/>
            <rFont val="Tahoma"/>
            <family val="2"/>
          </rPr>
          <t>Maher.Alsiddiqi:</t>
        </r>
        <r>
          <rPr>
            <sz val="9"/>
            <color indexed="81"/>
            <rFont val="Tahoma"/>
            <family val="2"/>
          </rPr>
          <t xml:space="preserve">
SP-3 Plan Maintenance for 402 Stacker Pulley lagging</t>
        </r>
      </text>
    </comment>
    <comment ref="AIL11" authorId="6" shapeId="0" xr:uid="{00000000-0006-0000-0300-0000AA000000}">
      <text>
        <r>
          <rPr>
            <b/>
            <sz val="9"/>
            <color indexed="81"/>
            <rFont val="Tahoma"/>
            <family val="2"/>
          </rPr>
          <t>Maher.Alsiddiqi:</t>
        </r>
        <r>
          <rPr>
            <sz val="9"/>
            <color indexed="81"/>
            <rFont val="Tahoma"/>
            <family val="2"/>
          </rPr>
          <t xml:space="preserve">
Around 5 hrs Stoppage from SP-3. 20 min due to BC 401 Pull cord and 4.5 hrs due to 114 &amp; 116 Spillage Motor overload (BC 116 spillage plate bend)</t>
        </r>
      </text>
    </comment>
    <comment ref="AIU11" authorId="7" shapeId="0" xr:uid="{00000000-0006-0000-0300-0000AB000000}">
      <text>
        <r>
          <rPr>
            <b/>
            <sz val="9"/>
            <color indexed="81"/>
            <rFont val="Tahoma"/>
            <family val="2"/>
          </rPr>
          <t>Khaled.Aljihdimi:</t>
        </r>
        <r>
          <rPr>
            <sz val="9"/>
            <color indexed="81"/>
            <rFont val="Tahoma"/>
            <family val="2"/>
          </rPr>
          <t xml:space="preserve">
loading stoped for 7hr due to CB 118 Spillage chain broken </t>
        </r>
      </text>
    </comment>
    <comment ref="AIX11" authorId="8" shapeId="0" xr:uid="{00000000-0006-0000-0300-0000AC000000}">
      <text>
        <r>
          <rPr>
            <b/>
            <sz val="9"/>
            <color indexed="81"/>
            <rFont val="Tahoma"/>
            <family val="2"/>
          </rPr>
          <t>Khalid: loading stopped for 5.5hr due to Tower 314 soillage conveyor chain broken</t>
        </r>
        <r>
          <rPr>
            <sz val="9"/>
            <color indexed="81"/>
            <rFont val="Tahoma"/>
            <family val="2"/>
          </rPr>
          <t xml:space="preserve">
</t>
        </r>
      </text>
    </comment>
    <comment ref="AMS11" authorId="7" shapeId="0" xr:uid="{00000000-0006-0000-0300-0000AD000000}">
      <text>
        <r>
          <rPr>
            <b/>
            <sz val="9"/>
            <color indexed="81"/>
            <rFont val="Tahoma"/>
            <family val="2"/>
          </rPr>
          <t>Khaled.Aljihdimi:</t>
        </r>
        <r>
          <rPr>
            <sz val="9"/>
            <color indexed="81"/>
            <rFont val="Tahoma"/>
            <family val="2"/>
          </rPr>
          <t xml:space="preserve">
Crane #24 wire rope replace.
Crane #23 out of Operation since 22nd due to Motor
</t>
        </r>
      </text>
    </comment>
    <comment ref="ANK11" authorId="7" shapeId="0" xr:uid="{00000000-0006-0000-0300-0000AE000000}">
      <text>
        <r>
          <rPr>
            <b/>
            <sz val="9"/>
            <color indexed="81"/>
            <rFont val="Tahoma"/>
            <family val="2"/>
          </rPr>
          <t>Khaled.Aljihdimi:</t>
        </r>
        <r>
          <rPr>
            <sz val="9"/>
            <color indexed="81"/>
            <rFont val="Tahoma"/>
            <family val="2"/>
          </rPr>
          <t xml:space="preserve">
6 hr without loading due to SP3 C.B 114 Job </t>
        </r>
      </text>
    </comment>
    <comment ref="ANL11" authorId="7" shapeId="0" xr:uid="{00000000-0006-0000-0300-0000AF000000}">
      <text>
        <r>
          <rPr>
            <b/>
            <sz val="9"/>
            <color indexed="81"/>
            <rFont val="Tahoma"/>
            <family val="2"/>
          </rPr>
          <t>Khaled.Aljihdimi:</t>
        </r>
        <r>
          <rPr>
            <sz val="9"/>
            <color indexed="81"/>
            <rFont val="Tahoma"/>
            <family val="2"/>
          </rPr>
          <t xml:space="preserve">
11 hr without loading due to SP3 C.B 114 Job </t>
        </r>
      </text>
    </comment>
    <comment ref="BCR11" authorId="7" shapeId="0" xr:uid="{00000000-0006-0000-0300-0000B0000000}">
      <text>
        <r>
          <rPr>
            <b/>
            <sz val="9"/>
            <color indexed="81"/>
            <rFont val="Tahoma"/>
            <family val="2"/>
          </rPr>
          <t>Khaled.Aljihdimi:</t>
        </r>
        <r>
          <rPr>
            <sz val="9"/>
            <color indexed="81"/>
            <rFont val="Tahoma"/>
            <family val="2"/>
          </rPr>
          <t xml:space="preserve">
</t>
        </r>
        <r>
          <rPr>
            <b/>
            <sz val="11"/>
            <color indexed="81"/>
            <rFont val="Tahoma"/>
            <family val="2"/>
          </rPr>
          <t>Long maintanance time due to rail survey with vendor</t>
        </r>
        <r>
          <rPr>
            <sz val="9"/>
            <color indexed="81"/>
            <rFont val="Tahoma"/>
            <family val="2"/>
          </rPr>
          <t xml:space="preserve">
</t>
        </r>
      </text>
    </comment>
    <comment ref="BCS11" authorId="7" shapeId="0" xr:uid="{00000000-0006-0000-0300-0000B1000000}">
      <text>
        <r>
          <rPr>
            <b/>
            <sz val="9"/>
            <color indexed="81"/>
            <rFont val="Tahoma"/>
            <family val="2"/>
          </rPr>
          <t>Khaled.Aljihdimi:</t>
        </r>
        <r>
          <rPr>
            <sz val="9"/>
            <color indexed="81"/>
            <rFont val="Tahoma"/>
            <family val="2"/>
          </rPr>
          <t xml:space="preserve">
</t>
        </r>
        <r>
          <rPr>
            <b/>
            <sz val="11"/>
            <color indexed="81"/>
            <rFont val="Tahoma"/>
            <family val="2"/>
          </rPr>
          <t>Long maintanance time due to rail survey with vendor</t>
        </r>
        <r>
          <rPr>
            <sz val="9"/>
            <color indexed="81"/>
            <rFont val="Tahoma"/>
            <family val="2"/>
          </rPr>
          <t xml:space="preserve">
</t>
        </r>
      </text>
    </comment>
    <comment ref="BCT11" authorId="7" shapeId="0" xr:uid="{00000000-0006-0000-0300-0000B2000000}">
      <text>
        <r>
          <rPr>
            <b/>
            <sz val="9"/>
            <color indexed="81"/>
            <rFont val="Tahoma"/>
            <family val="2"/>
          </rPr>
          <t>Khaled.Aljihdimi:</t>
        </r>
        <r>
          <rPr>
            <sz val="9"/>
            <color indexed="81"/>
            <rFont val="Tahoma"/>
            <family val="2"/>
          </rPr>
          <t xml:space="preserve">
</t>
        </r>
        <r>
          <rPr>
            <b/>
            <sz val="11"/>
            <color indexed="81"/>
            <rFont val="Tahoma"/>
            <family val="2"/>
          </rPr>
          <t>Long maintanance time due to rail survey with vendor</t>
        </r>
        <r>
          <rPr>
            <sz val="9"/>
            <color indexed="81"/>
            <rFont val="Tahoma"/>
            <family val="2"/>
          </rPr>
          <t xml:space="preserve">
</t>
        </r>
      </text>
    </comment>
    <comment ref="BCU11" authorId="7" shapeId="0" xr:uid="{00000000-0006-0000-0300-0000B3000000}">
      <text>
        <r>
          <rPr>
            <b/>
            <sz val="9"/>
            <color indexed="81"/>
            <rFont val="Tahoma"/>
            <family val="2"/>
          </rPr>
          <t>Khaled.Aljihdimi:</t>
        </r>
        <r>
          <rPr>
            <sz val="9"/>
            <color indexed="81"/>
            <rFont val="Tahoma"/>
            <family val="2"/>
          </rPr>
          <t xml:space="preserve">
</t>
        </r>
        <r>
          <rPr>
            <b/>
            <sz val="11"/>
            <color indexed="81"/>
            <rFont val="Tahoma"/>
            <family val="2"/>
          </rPr>
          <t>Long maintanance time due to maintanance on conveyour 118</t>
        </r>
        <r>
          <rPr>
            <sz val="9"/>
            <color indexed="81"/>
            <rFont val="Tahoma"/>
            <family val="2"/>
          </rPr>
          <t xml:space="preserve">
</t>
        </r>
      </text>
    </comment>
    <comment ref="BCW11" authorId="11" shapeId="0" xr:uid="{00000000-0006-0000-0300-0000B4000000}">
      <text>
        <r>
          <rPr>
            <b/>
            <sz val="9"/>
            <color indexed="81"/>
            <rFont val="Tahoma"/>
            <family val="2"/>
          </rPr>
          <t>shakil:</t>
        </r>
        <r>
          <rPr>
            <sz val="9"/>
            <color indexed="81"/>
            <rFont val="Tahoma"/>
            <family val="2"/>
          </rPr>
          <t xml:space="preserve">
Extra maintenance time for rail survey with vendor</t>
        </r>
      </text>
    </comment>
    <comment ref="BDF11" authorId="7" shapeId="0" xr:uid="{00000000-0006-0000-0300-0000B5000000}">
      <text>
        <r>
          <rPr>
            <b/>
            <sz val="9"/>
            <color indexed="81"/>
            <rFont val="Tahoma"/>
            <family val="2"/>
          </rPr>
          <t>Khaled.Aljihdimi:</t>
        </r>
        <r>
          <rPr>
            <sz val="9"/>
            <color indexed="81"/>
            <rFont val="Tahoma"/>
            <family val="2"/>
          </rPr>
          <t xml:space="preserve">
SP3  long maintanance time 12hr</t>
        </r>
      </text>
    </comment>
    <comment ref="BES11" authorId="9" shapeId="0" xr:uid="{00000000-0006-0000-0300-0000B6000000}">
      <text>
        <r>
          <rPr>
            <b/>
            <sz val="9"/>
            <color indexed="81"/>
            <rFont val="Tahoma"/>
            <family val="2"/>
          </rPr>
          <t>DCU:</t>
        </r>
        <r>
          <rPr>
            <sz val="9"/>
            <color indexed="81"/>
            <rFont val="Tahoma"/>
            <family val="2"/>
          </rPr>
          <t xml:space="preserve">
SP3 maintenance time 07:00 up to 23:00</t>
        </r>
      </text>
    </comment>
    <comment ref="BFS11" authorId="9" shapeId="0" xr:uid="{00000000-0006-0000-0300-0000B7000000}">
      <text>
        <r>
          <rPr>
            <b/>
            <sz val="9"/>
            <color indexed="81"/>
            <rFont val="Tahoma"/>
            <family val="2"/>
          </rPr>
          <t>DCU:</t>
        </r>
        <r>
          <rPr>
            <sz val="9"/>
            <color indexed="81"/>
            <rFont val="Tahoma"/>
            <family val="2"/>
          </rPr>
          <t xml:space="preserve">
SP3 maintenance time   06:00 to 20:50hrs
</t>
        </r>
      </text>
    </comment>
    <comment ref="JE13" authorId="0" shapeId="0" xr:uid="{00000000-0006-0000-0300-0000BB000000}">
      <text>
        <r>
          <rPr>
            <b/>
            <sz val="9"/>
            <color indexed="81"/>
            <rFont val="Tahoma"/>
            <family val="2"/>
          </rPr>
          <t>MAHIR AL-SIDDIQI:</t>
        </r>
        <r>
          <rPr>
            <sz val="9"/>
            <color indexed="81"/>
            <rFont val="Tahoma"/>
            <family val="2"/>
          </rPr>
          <t xml:space="preserve">
</t>
        </r>
        <r>
          <rPr>
            <sz val="11"/>
            <color indexed="81"/>
            <rFont val="Tahoma"/>
            <family val="2"/>
          </rPr>
          <t>Start including with PIT Remaining</t>
        </r>
      </text>
    </comment>
    <comment ref="WZ13" authorId="0" shapeId="0" xr:uid="{00000000-0006-0000-0300-0000BC000000}">
      <text>
        <r>
          <rPr>
            <b/>
            <sz val="9"/>
            <color indexed="81"/>
            <rFont val="Tahoma"/>
            <family val="2"/>
          </rPr>
          <t>MAHIR AL-SIDDIQI:</t>
        </r>
        <r>
          <rPr>
            <sz val="9"/>
            <color indexed="81"/>
            <rFont val="Tahoma"/>
            <family val="2"/>
          </rPr>
          <t xml:space="preserve">
PIT PAD Adjusted as was not matching at
 site</t>
        </r>
      </text>
    </comment>
    <comment ref="YF13" authorId="2" shapeId="0" xr:uid="{00000000-0006-0000-0300-0000BD000000}">
      <text>
        <r>
          <rPr>
            <b/>
            <sz val="9"/>
            <color indexed="81"/>
            <rFont val="Tahoma"/>
            <family val="2"/>
          </rPr>
          <t>user:</t>
        </r>
        <r>
          <rPr>
            <sz val="9"/>
            <color indexed="81"/>
            <rFont val="Tahoma"/>
            <family val="2"/>
          </rPr>
          <t xml:space="preserve">
Visual Estimation: ~5000-6000 MT of Hard Coke is on the Pad area.</t>
        </r>
      </text>
    </comment>
    <comment ref="YG13" authorId="2" shapeId="0" xr:uid="{00000000-0006-0000-0300-0000BE000000}">
      <text>
        <r>
          <rPr>
            <b/>
            <sz val="9"/>
            <color indexed="81"/>
            <rFont val="Tahoma"/>
            <family val="2"/>
          </rPr>
          <t>user:</t>
        </r>
        <r>
          <rPr>
            <sz val="9"/>
            <color indexed="81"/>
            <rFont val="Tahoma"/>
            <family val="2"/>
          </rPr>
          <t xml:space="preserve">
Visual Estimation: Hard Coke on the Pad area is being excavated and sent to Marine W/H.</t>
        </r>
      </text>
    </comment>
    <comment ref="YH13" authorId="2" shapeId="0" xr:uid="{00000000-0006-0000-0300-0000BF000000}">
      <text>
        <r>
          <rPr>
            <b/>
            <sz val="9"/>
            <color indexed="81"/>
            <rFont val="Tahoma"/>
            <family val="2"/>
          </rPr>
          <t>user:</t>
        </r>
        <r>
          <rPr>
            <sz val="9"/>
            <color indexed="81"/>
            <rFont val="Tahoma"/>
            <family val="2"/>
          </rPr>
          <t xml:space="preserve">
Hard Coke on the Pad area is being excavated and sent to Marine W/H.</t>
        </r>
      </text>
    </comment>
    <comment ref="YI13" authorId="2" shapeId="0" xr:uid="{00000000-0006-0000-0300-0000C0000000}">
      <text>
        <r>
          <rPr>
            <b/>
            <sz val="9"/>
            <color indexed="81"/>
            <rFont val="Tahoma"/>
            <family val="2"/>
          </rPr>
          <t>user:</t>
        </r>
        <r>
          <rPr>
            <sz val="9"/>
            <color indexed="81"/>
            <rFont val="Tahoma"/>
            <family val="2"/>
          </rPr>
          <t xml:space="preserve">
Hard Coke on the Pad area is being excavated and sent to Marine W/H.</t>
        </r>
      </text>
    </comment>
    <comment ref="YJ13" authorId="2" shapeId="0" xr:uid="{00000000-0006-0000-0300-0000C1000000}">
      <text>
        <r>
          <rPr>
            <b/>
            <sz val="9"/>
            <color indexed="81"/>
            <rFont val="Tahoma"/>
            <family val="2"/>
          </rPr>
          <t>user:</t>
        </r>
        <r>
          <rPr>
            <sz val="9"/>
            <color indexed="81"/>
            <rFont val="Tahoma"/>
            <family val="2"/>
          </rPr>
          <t xml:space="preserve">
Hard Coke on the Pad area is being excavated and sent to Marine W/H.</t>
        </r>
      </text>
    </comment>
    <comment ref="YK13" authorId="2" shapeId="0" xr:uid="{00000000-0006-0000-0300-0000C2000000}">
      <text>
        <r>
          <rPr>
            <b/>
            <sz val="9"/>
            <color indexed="81"/>
            <rFont val="Tahoma"/>
            <family val="2"/>
          </rPr>
          <t>user:</t>
        </r>
        <r>
          <rPr>
            <sz val="9"/>
            <color indexed="81"/>
            <rFont val="Tahoma"/>
            <family val="2"/>
          </rPr>
          <t xml:space="preserve">
Hard Coke on the Pad area is being excavated and sent to Marine W/H.</t>
        </r>
      </text>
    </comment>
    <comment ref="YL13" authorId="2" shapeId="0" xr:uid="{00000000-0006-0000-0300-0000C3000000}">
      <text>
        <r>
          <rPr>
            <b/>
            <sz val="9"/>
            <color indexed="81"/>
            <rFont val="Tahoma"/>
            <family val="2"/>
          </rPr>
          <t>user:</t>
        </r>
        <r>
          <rPr>
            <sz val="9"/>
            <color indexed="81"/>
            <rFont val="Tahoma"/>
            <family val="2"/>
          </rPr>
          <t xml:space="preserve">
Hard Coke on the Pad area is being excavated and sent to Marine W/H.</t>
        </r>
      </text>
    </comment>
    <comment ref="QD14" authorId="0" shapeId="0" xr:uid="{00000000-0006-0000-0300-0000C7000000}">
      <text>
        <r>
          <rPr>
            <b/>
            <sz val="9"/>
            <color indexed="81"/>
            <rFont val="Tahoma"/>
            <family val="2"/>
          </rPr>
          <t>MAHIR AL-SIDDIQI:</t>
        </r>
        <r>
          <rPr>
            <sz val="9"/>
            <color indexed="81"/>
            <rFont val="Tahoma"/>
            <family val="2"/>
          </rPr>
          <t xml:space="preserve">
As per PIT PAD Caculation Site view</t>
        </r>
      </text>
    </comment>
    <comment ref="AW15" authorId="0" shapeId="0" xr:uid="{00000000-0006-0000-0300-0000C8000000}">
      <text>
        <r>
          <rPr>
            <b/>
            <sz val="9"/>
            <color indexed="81"/>
            <rFont val="Tahoma"/>
            <family val="2"/>
          </rPr>
          <t>MAHIR AL-SIDDIQI:</t>
        </r>
        <r>
          <rPr>
            <sz val="9"/>
            <color indexed="81"/>
            <rFont val="Tahoma"/>
            <family val="2"/>
          </rPr>
          <t xml:space="preserve">
Total Transfer Coke 
up to 16 March 2015</t>
        </r>
      </text>
    </comment>
    <comment ref="YF15" authorId="2" shapeId="0" xr:uid="{00000000-0006-0000-0300-0000C9000000}">
      <text>
        <r>
          <rPr>
            <b/>
            <sz val="9"/>
            <color indexed="81"/>
            <rFont val="Tahoma"/>
            <family val="2"/>
          </rPr>
          <t>user:</t>
        </r>
        <r>
          <rPr>
            <sz val="9"/>
            <color indexed="81"/>
            <rFont val="Tahoma"/>
            <family val="2"/>
          </rPr>
          <t xml:space="preserve">
Hard Coke may be inside the Pit sumerged underneath Water.</t>
        </r>
      </text>
    </comment>
    <comment ref="YG15" authorId="2" shapeId="0" xr:uid="{00000000-0006-0000-0300-0000CA000000}">
      <text>
        <r>
          <rPr>
            <b/>
            <sz val="9"/>
            <color indexed="81"/>
            <rFont val="Tahoma"/>
            <family val="2"/>
          </rPr>
          <t>user:</t>
        </r>
        <r>
          <rPr>
            <sz val="9"/>
            <color indexed="81"/>
            <rFont val="Tahoma"/>
            <family val="2"/>
          </rPr>
          <t xml:space="preserve">
Hard Coke may be inside the Pit sumerged underneath Water.</t>
        </r>
      </text>
    </comment>
    <comment ref="YH15" authorId="2" shapeId="0" xr:uid="{00000000-0006-0000-0300-0000CB000000}">
      <text>
        <r>
          <rPr>
            <b/>
            <sz val="9"/>
            <color indexed="81"/>
            <rFont val="Tahoma"/>
            <family val="2"/>
          </rPr>
          <t>user:</t>
        </r>
        <r>
          <rPr>
            <sz val="9"/>
            <color indexed="81"/>
            <rFont val="Tahoma"/>
            <family val="2"/>
          </rPr>
          <t xml:space="preserve">
Hard Coke may be inside the Pit sumerged underneath Water.</t>
        </r>
      </text>
    </comment>
    <comment ref="YI15" authorId="2" shapeId="0" xr:uid="{00000000-0006-0000-0300-0000CC000000}">
      <text>
        <r>
          <rPr>
            <b/>
            <sz val="9"/>
            <color indexed="81"/>
            <rFont val="Tahoma"/>
            <family val="2"/>
          </rPr>
          <t>user:</t>
        </r>
        <r>
          <rPr>
            <sz val="9"/>
            <color indexed="81"/>
            <rFont val="Tahoma"/>
            <family val="2"/>
          </rPr>
          <t xml:space="preserve">
Hard Coke may be inside the Pit sumerged underneath Water.</t>
        </r>
      </text>
    </comment>
    <comment ref="YJ15" authorId="2" shapeId="0" xr:uid="{00000000-0006-0000-0300-0000CD000000}">
      <text>
        <r>
          <rPr>
            <b/>
            <sz val="9"/>
            <color indexed="81"/>
            <rFont val="Tahoma"/>
            <family val="2"/>
          </rPr>
          <t>user:</t>
        </r>
        <r>
          <rPr>
            <sz val="9"/>
            <color indexed="81"/>
            <rFont val="Tahoma"/>
            <family val="2"/>
          </rPr>
          <t xml:space="preserve">
Hard Coke may be inside the Pit sumerged underneath Water.</t>
        </r>
      </text>
    </comment>
    <comment ref="YF16" authorId="2" shapeId="0" xr:uid="{00000000-0006-0000-0300-0000CE000000}">
      <text>
        <r>
          <rPr>
            <sz val="9"/>
            <color indexed="81"/>
            <rFont val="Tahoma"/>
            <family val="2"/>
          </rPr>
          <t xml:space="preserve">Estimated visually ~5000 - 6000 MT Hard Coke is in the Pad area.
</t>
        </r>
      </text>
    </comment>
    <comment ref="YG16" authorId="2" shapeId="0" xr:uid="{00000000-0006-0000-0300-0000CF000000}">
      <text>
        <r>
          <rPr>
            <sz val="9"/>
            <color indexed="81"/>
            <rFont val="Tahoma"/>
            <family val="2"/>
          </rPr>
          <t xml:space="preserve"> Hard Coke on the Pad area being excavated and transferred to Marine area.
</t>
        </r>
      </text>
    </comment>
    <comment ref="YH16" authorId="2" shapeId="0" xr:uid="{00000000-0006-0000-0300-0000D0000000}">
      <text>
        <r>
          <rPr>
            <sz val="9"/>
            <color indexed="81"/>
            <rFont val="Tahoma"/>
            <family val="2"/>
          </rPr>
          <t xml:space="preserve"> Hard Coke on the Pad area being excavated and transferred to Marine area.
</t>
        </r>
      </text>
    </comment>
    <comment ref="YI16" authorId="2" shapeId="0" xr:uid="{00000000-0006-0000-0300-0000D1000000}">
      <text>
        <r>
          <rPr>
            <sz val="9"/>
            <color indexed="81"/>
            <rFont val="Tahoma"/>
            <family val="2"/>
          </rPr>
          <t xml:space="preserve"> Hard Coke on the Pad area being excavated and transferred to Marine area.
</t>
        </r>
      </text>
    </comment>
    <comment ref="YJ16" authorId="2" shapeId="0" xr:uid="{00000000-0006-0000-0300-0000D2000000}">
      <text>
        <r>
          <rPr>
            <sz val="9"/>
            <color indexed="81"/>
            <rFont val="Tahoma"/>
            <family val="2"/>
          </rPr>
          <t xml:space="preserve"> Hard Coke on the Pad area being excavated and transferred to Marine area.
</t>
        </r>
      </text>
    </comment>
    <comment ref="YK16" authorId="2" shapeId="0" xr:uid="{00000000-0006-0000-0300-0000D3000000}">
      <text>
        <r>
          <rPr>
            <sz val="9"/>
            <color indexed="81"/>
            <rFont val="Tahoma"/>
            <family val="2"/>
          </rPr>
          <t xml:space="preserve"> Hard Coke on the Pad area being excavated and transferred to Marine area.
</t>
        </r>
      </text>
    </comment>
    <comment ref="YL16" authorId="2" shapeId="0" xr:uid="{00000000-0006-0000-0300-0000D4000000}">
      <text>
        <r>
          <rPr>
            <sz val="9"/>
            <color indexed="81"/>
            <rFont val="Tahoma"/>
            <family val="2"/>
          </rPr>
          <t xml:space="preserve"> Hard Coke on the Pad area being excavated and transferred to Marine area.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L9" authorId="0" shapeId="0" xr:uid="{00000000-0006-0000-0D00-000001000000}">
      <text>
        <r>
          <rPr>
            <b/>
            <sz val="9"/>
            <color indexed="81"/>
            <rFont val="Tahoma"/>
            <family val="2"/>
          </rPr>
          <t>user:</t>
        </r>
        <r>
          <rPr>
            <sz val="9"/>
            <color indexed="81"/>
            <rFont val="Tahoma"/>
            <family val="2"/>
          </rPr>
          <t xml:space="preserve">
SP-3 M/C time= 8hrs for SP-3  403 Conveyers Vulcanization. Loading stopped 8hrs.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MAHIR AL-SIDDIQI</author>
    <author>MAHER ALSIDDIQI</author>
  </authors>
  <commentList>
    <comment ref="B12" authorId="0" shapeId="0" xr:uid="{00000000-0006-0000-1000-000001000000}">
      <text>
        <r>
          <rPr>
            <b/>
            <sz val="9"/>
            <color indexed="81"/>
            <rFont val="Tahoma"/>
            <family val="2"/>
          </rPr>
          <t>MAHIR AL-SIDDIQI:</t>
        </r>
        <r>
          <rPr>
            <sz val="9"/>
            <color indexed="81"/>
            <rFont val="Tahoma"/>
            <family val="2"/>
          </rPr>
          <t xml:space="preserve">
Bulk Density is 0.94
</t>
        </r>
      </text>
    </comment>
    <comment ref="LF12" authorId="1" shapeId="0" xr:uid="{00000000-0006-0000-1000-000002000000}">
      <text>
        <r>
          <rPr>
            <b/>
            <sz val="9"/>
            <color indexed="81"/>
            <rFont val="Tahoma"/>
            <family val="2"/>
          </rPr>
          <t>MAHER ALSIDDIQI:</t>
        </r>
        <r>
          <rPr>
            <sz val="9"/>
            <color indexed="81"/>
            <rFont val="Tahoma"/>
            <family val="2"/>
          </rPr>
          <t xml:space="preserve">
Unit Rate is 50 % at 16 Cycle </t>
        </r>
      </text>
    </comment>
  </commentList>
</comments>
</file>

<file path=xl/sharedStrings.xml><?xml version="1.0" encoding="utf-8"?>
<sst xmlns="http://schemas.openxmlformats.org/spreadsheetml/2006/main" count="3705" uniqueCount="481">
  <si>
    <t>load to coke storage</t>
  </si>
  <si>
    <t>Time</t>
  </si>
  <si>
    <t>AV</t>
  </si>
  <si>
    <t>Coke Temperature (C)</t>
  </si>
  <si>
    <t>PIT to SP-3 (11:00 to 15:00)</t>
  </si>
  <si>
    <t>Date</t>
  </si>
  <si>
    <t>Buckets</t>
  </si>
  <si>
    <t>Quantity Transfer (MT)</t>
  </si>
  <si>
    <t>%</t>
  </si>
  <si>
    <t xml:space="preserve">MT     at  </t>
  </si>
  <si>
    <t>(Total Actual Coke Transfer with Water / Total Actual Coke Transfer with no Water)</t>
  </si>
  <si>
    <t xml:space="preserve">Adjustment of Estimate amount of Water Transfer Scale per day </t>
  </si>
  <si>
    <t>YASREF DCU Unit Rate</t>
  </si>
  <si>
    <t>Unit Rate at 100%,  16 Cycle</t>
  </si>
  <si>
    <t>Unit Rate at around 60 - 80%,  18 Cycle</t>
  </si>
  <si>
    <t>Unit Rate at around 70 - 80%,  18 Cycle</t>
  </si>
  <si>
    <t>Unit Rate at 60%,  18 Cycle</t>
  </si>
  <si>
    <t>Unit Rate at  75%,  18 Cycle</t>
  </si>
  <si>
    <t>Unit Rate at  85 - 95%, 18 Cycle</t>
  </si>
  <si>
    <t>Unit Rate at  100%,  16 Cycle</t>
  </si>
  <si>
    <t xml:space="preserve">  Bulk Density = 0.85,  AV  Moisture = 12%</t>
  </si>
  <si>
    <t>AV Bulk Density = 0.8395,  AV Moisture = 12%</t>
  </si>
  <si>
    <t>Moisture = 14%</t>
  </si>
  <si>
    <t xml:space="preserve">  Moisture = 12%</t>
  </si>
  <si>
    <t xml:space="preserve">  Moisture = 14%</t>
  </si>
  <si>
    <t>Moisture = 13.8%</t>
  </si>
  <si>
    <t>Unit Rate at  90%, 18 Cycle</t>
  </si>
  <si>
    <t>Moisture = 12.75%</t>
  </si>
  <si>
    <t>Unit Rate at around 60 - 70%,  18 Cycle</t>
  </si>
  <si>
    <t>Unit Rate at  80%, 18 Cycle</t>
  </si>
  <si>
    <t>Unit Rate at  90%, 16 Cycle</t>
  </si>
  <si>
    <t>Unit Rate at  70%, 18 Cycle</t>
  </si>
  <si>
    <t>Unit Rate at  100%, 16 Cycle</t>
  </si>
  <si>
    <r>
      <t xml:space="preserve">Unit Rate at 80 </t>
    </r>
    <r>
      <rPr>
        <b/>
        <sz val="14"/>
        <color theme="1"/>
        <rFont val="Calibri"/>
        <family val="2"/>
      </rPr>
      <t>–</t>
    </r>
    <r>
      <rPr>
        <b/>
        <sz val="14"/>
        <color theme="1"/>
        <rFont val="Calibri"/>
        <family val="2"/>
        <scheme val="minor"/>
      </rPr>
      <t xml:space="preserve"> 85%, 16 Cycle</t>
    </r>
  </si>
  <si>
    <t>Unit Rate at 90%, 16 Cycle</t>
  </si>
  <si>
    <t>Unit Rate at 93%, 16 Cycle</t>
  </si>
  <si>
    <t>S/No</t>
  </si>
  <si>
    <t>AV Temp</t>
  </si>
  <si>
    <t>PAD UPPER</t>
  </si>
  <si>
    <t>PAD MIDDLE</t>
  </si>
  <si>
    <t>Mean</t>
  </si>
  <si>
    <t xml:space="preserve">Min </t>
  </si>
  <si>
    <t xml:space="preserve">Max </t>
  </si>
  <si>
    <t>Average</t>
  </si>
  <si>
    <t>Coke Moisture (%)</t>
  </si>
  <si>
    <t>Coke Temp (°C )</t>
  </si>
  <si>
    <t>PAD LOWER</t>
  </si>
  <si>
    <t xml:space="preserve">Total </t>
  </si>
  <si>
    <t>Pile Location</t>
  </si>
  <si>
    <t>Sampling Location</t>
  </si>
  <si>
    <t>H-2 EAST</t>
  </si>
  <si>
    <t>H-2 WEST  COL 10/11</t>
  </si>
  <si>
    <t>H-1 WEST D-1</t>
  </si>
  <si>
    <t>H-1 WEST D-3</t>
  </si>
  <si>
    <t>H-2 EAST D-6</t>
  </si>
  <si>
    <t>H-2 MIDDLE WEST</t>
  </si>
  <si>
    <t>H1-  MIDDLE EAST</t>
  </si>
  <si>
    <t>H-1 WEST</t>
  </si>
  <si>
    <t>H-2 MIDDLE WEST D-4</t>
  </si>
  <si>
    <t>H-2 PIT</t>
  </si>
  <si>
    <t>H-1 MIDDLE EAST</t>
  </si>
  <si>
    <t>H-2 WEST</t>
  </si>
  <si>
    <t>H-1 EAST</t>
  </si>
  <si>
    <t>H-2 FRONT D5</t>
  </si>
  <si>
    <t>H-2 D4 FRONT</t>
  </si>
  <si>
    <t>PAD D6</t>
  </si>
  <si>
    <t>H-1 FRONT D2</t>
  </si>
  <si>
    <t>H-1 D1 D2</t>
  </si>
  <si>
    <t>H-1 FRONT</t>
  </si>
  <si>
    <t>H-2</t>
  </si>
  <si>
    <t>Middle</t>
  </si>
  <si>
    <t>Pad LOWER</t>
  </si>
  <si>
    <t>MIDDLE</t>
  </si>
  <si>
    <t>Unit Rate at  90%, 16 Hour Cycle</t>
  </si>
  <si>
    <t>Unit Rate at  88%, 16 Hour Cycle</t>
  </si>
  <si>
    <t>H-2 FRONT</t>
  </si>
  <si>
    <t>Unit Rate at  89%, 16 Hour Cycle</t>
  </si>
  <si>
    <t>Unit Rate at  65%, 16 Hour Cycle</t>
  </si>
  <si>
    <t>H-2 Front</t>
  </si>
  <si>
    <t>Unit Rate at  98%, 16 Hour Cycle</t>
  </si>
  <si>
    <t>Unit Rate at  91 - 93%, 16 Hour Cycle</t>
  </si>
  <si>
    <t>( Total Actual Transfer SP3 / Coke Production with Moisture)</t>
  </si>
  <si>
    <t>Estimation  PIT + PAD Coke Remaining + Moisture (MT)</t>
  </si>
  <si>
    <t>H-1WEST</t>
  </si>
  <si>
    <t>65% at 24 Cycle</t>
  </si>
  <si>
    <t>H-2EAST</t>
  </si>
  <si>
    <t>H-1EAST</t>
  </si>
  <si>
    <t>Unit Rate at  96-97 %, 16 Hour Cycle</t>
  </si>
  <si>
    <t>87% Rate;  16 hrs. cycle</t>
  </si>
  <si>
    <t xml:space="preserve">PIT PAD Hard Coke </t>
  </si>
  <si>
    <t>H-2WEST</t>
  </si>
  <si>
    <t>Total</t>
  </si>
  <si>
    <t>Sticky/Granular</t>
  </si>
  <si>
    <t>Granular</t>
  </si>
  <si>
    <t>Powder</t>
  </si>
  <si>
    <t>Semi Granular</t>
  </si>
  <si>
    <t>Coke Quality</t>
  </si>
  <si>
    <t>Lumps/Ganular</t>
  </si>
  <si>
    <t>Lumps</t>
  </si>
  <si>
    <t>Lumps/Powder</t>
  </si>
  <si>
    <t>Lumps/Granular</t>
  </si>
  <si>
    <t>PADM</t>
  </si>
  <si>
    <t>Granular/Powder</t>
  </si>
  <si>
    <t>Dry Powder</t>
  </si>
  <si>
    <t>Powder/Granule</t>
  </si>
  <si>
    <t>Granule</t>
  </si>
  <si>
    <t>Dry Powder &amp; Lumps</t>
  </si>
  <si>
    <t>Dry Granules</t>
  </si>
  <si>
    <t>Granules</t>
  </si>
  <si>
    <t>PIT PAD JUNE 2016 STATUS SUMMARY</t>
  </si>
  <si>
    <t>AV Moisture of Coke Sampling</t>
  </si>
  <si>
    <t>Coke  Production as per Outage (MT)</t>
  </si>
  <si>
    <t>Actual Transferring   SP3 118 scale + Moisture (MT)</t>
  </si>
  <si>
    <t>Unit Rate 97 % at 16 hr Cycle</t>
  </si>
  <si>
    <t xml:space="preserve">Date  (Time :  00:00 AM to 00:00 AM) </t>
  </si>
  <si>
    <t>Coke production Qty ( density + moisture  ) (MT)</t>
  </si>
  <si>
    <t xml:space="preserve"> Granules</t>
  </si>
  <si>
    <t>Powder &amp; Lumps</t>
  </si>
  <si>
    <t>H2 EAST</t>
  </si>
  <si>
    <t>Dry Coke</t>
  </si>
  <si>
    <t>97 %  Rate; 16 hrs. Cycle, 6 Drum</t>
  </si>
  <si>
    <t>WET/COKE</t>
  </si>
  <si>
    <t>Wet/Powder</t>
  </si>
  <si>
    <t>WET COKE</t>
  </si>
  <si>
    <t>WET COKE / Lumps</t>
  </si>
  <si>
    <t>Wet Coke</t>
  </si>
  <si>
    <t>66 %  Rate; 16 - 16 hrs. Cycle, 4 Drum, D-1 &amp;2 Down +  Crane #23 Shutdown &amp; Rail Repair On west side</t>
  </si>
  <si>
    <t>98 - 100 %  Rate; 16 hrs. Cycle, 6 Drum</t>
  </si>
  <si>
    <t>Powder/Sticky</t>
  </si>
  <si>
    <t>Fine /Powder</t>
  </si>
  <si>
    <t>Powder / Granule</t>
  </si>
  <si>
    <t>66 %  Rate; 16 - 16 hrs. Cycle, 4 Drum, D-5 &amp;6 Down +  Crane #24 Shutdown &amp; Rail Repair On EAST side</t>
  </si>
  <si>
    <t>Powder coke</t>
  </si>
  <si>
    <t xml:space="preserve"> 100 %  Rate; 16 hrs. Cycle, 6 Drum</t>
  </si>
  <si>
    <t>40 %  Rate; 24 hrs. Cycle, 4 Drum, D-3 &amp; 4 Down + Both  Cranes #23&amp;24 Shutdown &amp; Rail Repair On Middle and all sides</t>
  </si>
  <si>
    <t>Drum to PIT</t>
  </si>
  <si>
    <t>PIT to PAD</t>
  </si>
  <si>
    <t>Actual PIT Level</t>
  </si>
  <si>
    <t>Granules/Powder</t>
  </si>
  <si>
    <t>Granules /Lumps</t>
  </si>
  <si>
    <t>Fine Powder</t>
  </si>
  <si>
    <t>Granules /Powder</t>
  </si>
  <si>
    <t xml:space="preserve"> 102 %  Rate; 16 hrs. Cycle, 6 Drum</t>
  </si>
  <si>
    <t>Powder/Granular</t>
  </si>
  <si>
    <t>Granules/Lumps</t>
  </si>
  <si>
    <t xml:space="preserve"> 103 %  Rate; 16 hrs. Cycle, 6 Drum</t>
  </si>
  <si>
    <t xml:space="preserve">Fine Coke </t>
  </si>
  <si>
    <t>Granules/powder</t>
  </si>
  <si>
    <t>90 %  Rate; 16 hrs. Cycle, 6 Drum</t>
  </si>
  <si>
    <t>Lumps/Franules</t>
  </si>
  <si>
    <t>Lumps/Granules</t>
  </si>
  <si>
    <t>50% Unit Rate / 16hrs. Cycle</t>
  </si>
  <si>
    <t>YASREF TA Turnaround (start 10/Nov/2016: Unit Load = 0%)</t>
  </si>
  <si>
    <t>Dry Coke Per Bucket = 32MT</t>
  </si>
  <si>
    <t>Water WT per Bucket = 26MT</t>
  </si>
  <si>
    <t>Wt of Bucket = 15 to 16.5 MT</t>
  </si>
  <si>
    <t>Coke Moisture</t>
  </si>
  <si>
    <t>Cranes Operational Data</t>
  </si>
  <si>
    <t>Production Outage, MT</t>
  </si>
  <si>
    <t>PIT Quantity Eistimation, MT</t>
  </si>
  <si>
    <t>PIT PAD to Hopper ( Coke Transfer to SP-3) using Crane 23, MT</t>
  </si>
  <si>
    <t>Others ( Basins coke to PAD) using Crane 23, MT</t>
  </si>
  <si>
    <t>PIT PAD to Hopper ( Coke Transfer to SP-3) using Crane 24, MT</t>
  </si>
  <si>
    <t>Others ( Basins coke to PAD) using Crane 24, MT</t>
  </si>
  <si>
    <t>Total Coke Transfer to SP-3, MT</t>
  </si>
  <si>
    <t>Estimation  PIT + PAD Coke Remaining, MT</t>
  </si>
  <si>
    <t>Yasref Production Rate</t>
  </si>
  <si>
    <t>82% Rate/ 6 hrs.cycle/6 Drums</t>
  </si>
  <si>
    <t>82% Rate</t>
  </si>
  <si>
    <t>70% Rate /18 hrs. cycle /6 Drums</t>
  </si>
  <si>
    <t>70% Rate</t>
  </si>
  <si>
    <t>62% Rate /18 hrs. cycle /6 Drums</t>
  </si>
  <si>
    <t>62 % Rate 16 hrs. Cycle, 6 Drum</t>
  </si>
  <si>
    <t>103 %  Rate; 18 hrs. Cycle, 6 Drum</t>
  </si>
  <si>
    <t>To be Update</t>
  </si>
  <si>
    <t>CMS ISSUE</t>
  </si>
  <si>
    <t>100 %  Rate; 18 hrs. Cycle, 6 Drum</t>
  </si>
  <si>
    <t>216,768 </t>
  </si>
  <si>
    <t>105,240 </t>
  </si>
  <si>
    <t> 205,189</t>
  </si>
  <si>
    <t>Lumps/Fines</t>
  </si>
  <si>
    <t>100 %  Rate; 18 hrs. Cycle, 6 Drums</t>
  </si>
  <si>
    <t>To be updated later</t>
  </si>
  <si>
    <t>Crane 24 B/D</t>
  </si>
  <si>
    <t>105% Rate; 18 hrs ; 6 Drums.</t>
  </si>
  <si>
    <t>106% Rate; 16 hrs ; 6 Drums.</t>
  </si>
  <si>
    <t>105 %  Rate; 18 hrs. Cycle, 6 Drum</t>
  </si>
  <si>
    <t>106 %  Rate; 16 hrs. Cycle, 6 Drum</t>
  </si>
  <si>
    <t>Crane 24</t>
  </si>
  <si>
    <t>Crane 23</t>
  </si>
  <si>
    <t>PAD to Hopper</t>
  </si>
  <si>
    <t>Cycle or Bucket</t>
  </si>
  <si>
    <t>T/H</t>
  </si>
  <si>
    <t>Date 2017</t>
  </si>
  <si>
    <t>*Crane 24 CMS failed</t>
  </si>
  <si>
    <t>97% Rate; 16 hrs ; 6 Drums.</t>
  </si>
  <si>
    <t>*Crane 23 wire rope repaired</t>
  </si>
  <si>
    <t>Lumps/granules</t>
  </si>
  <si>
    <t>110% Rate; 16 hrs. 6 Drums.</t>
  </si>
  <si>
    <t>Crane #23 B/D</t>
  </si>
  <si>
    <t>107 %Rate; 16Hrs; 6Drums</t>
  </si>
  <si>
    <t>BF-7 B/D</t>
  </si>
  <si>
    <t>107 %Rate; 16Hrs; 6 Drums</t>
  </si>
  <si>
    <t>Powder/granules</t>
  </si>
  <si>
    <t>Coke Transfer Quantity, MT</t>
  </si>
  <si>
    <t>Loading Stopped@03:30Hrs to 06:00Hrs due to high wind speed &amp; sand storm. (16-20m/s).</t>
  </si>
  <si>
    <t>Loading stopped from 01:00Hrs due to Crane#23 one strand of lifting wire rope broken. Rsume Loading at 01:40 after switching over back to Hooper # 2.</t>
  </si>
  <si>
    <t>Loading stopped from 01:55Hrs to 02:30Hrs due to SP3 103 spillage conveyor overload.</t>
  </si>
  <si>
    <t>Loading stopped from 04:00Hrs to 04:15Hrs due to SP3 401 AFD alarm. Crane 23 shut down due to still invertor and fuse damage. Waiting for spares of Invertor &amp; Fuse. Unit available in Jubail. Unable to Use Hopper # 1 for loading trasfer. Only use Hopper # 2 by crane 24 for full day.</t>
  </si>
  <si>
    <t xml:space="preserve">SP3  tripped 01:05Hrs to 01:40Hrs  due to  CB-116 pull code activated. Loading stopped from 06:10Hrs to 07:00Hrs due to SP3 103 spillage conveyor overload.
Loading stopped from 14:30Hrs to 15:00Hrs due to SP3 103 conveyor pull cord.
Crane 23: At parking area on going trouble shooting for inverter and fuse issue. ( Crane 23: Invertor &amp; Fuse for bridge damaged at 15:35Hrs. , need replacement. Put to parking area at 19:40Hrs). Early Switch over from 15:40Hrs to 17:20Hrs (BF-7/H-1=&gt; BF-8/H-2). 
</t>
  </si>
  <si>
    <t>Crane 23: North gantry abnormal sound, wheel-7/8, deformed outer side, sometimes requesting for reset fault due to PLC and dynatrack control fault near column-4/5/6/7.  Crane-24: Frequently requesting reset fault due to PLC dynatrack control fault, almost back motion reset fault at column- 9/10/11/12/13 and North gantry abnormal sound near basin area.Crane#24 Bridge Tripped@00:50-01:18Hrs between column 9 &amp; 10 due to wheel#6 &amp;7 touched to rail.</t>
  </si>
  <si>
    <t xml:space="preserve">Invertor &amp; Fuse spares arrive at night and replaced the damaged one in Crane 23 then Switch over BF-08 TO BF-07: (00:00Hrs-0100Hrs)to maximize loading trasfer and reduce piling coke.Crane-24: Trolley tripped 04:35-05:00Hrs.Loading stopped from 01:00 to 01:45Hrs due to magnetic separator S-09 misaligned. Loading stopped at 06:00hrs due to PIT cleaning activity to avoid over-flow of basin.
Loading stopped from 13:10Hrs-13:25Hrs due to Magnetic separator- 09 belt misalignment.( 15mins).
Loading stopped from 13:50Hrs-14:20Hrs due to Crane no.23 bridge tripped in between column 5&amp;6.
Loading stopped from 15:30Hrs to 16:00Hrs due to SP3 re-claimer stacker switch-over.
Loading stopped from 17:20Hrs. to 18:00Hrs.due to Crane no.23 bridge tripped at Hopper 1.
</t>
  </si>
  <si>
    <t>Only used Hopper # 2 for full day due to BF-07 Belt rubber layer damage, so hot vulcanizing required as per mechanical. Crane-24:  Bridge tripped from 19:15-19:45Hrs near drum#5 due to wheel flange no.1 &amp; 4 touched the rail. Loading stopped from 22:30 to 23:25Hrs due to Magnetic Separator 009 misalignment.</t>
  </si>
  <si>
    <t xml:space="preserve">Loading stopped from 20:00Hrs to 22:30Hrs due to Belt Feeder #08 not running in Auto ( E/I issue). Found  plug chute HH activated. But unfortunately there is no shown the alarm in DCU side. Therefore if it will be same happened (stopped the Belt Feeder without any alarm).
Resume loading after restarting all conveyors from SP3, resume loading at 23:00Hrs. Crane-23: Bucket hoisting wire rope replacement and installation completed at 18:40Hrs.
</t>
  </si>
  <si>
    <t>SP3 stopped 04:19 To 04:36Hrs due to CB401 pull code problem. Loading stopped from 14:05Hrs to 14:37Hrs due to SP3 116 conveyor overload. Loading stopped 01:25Hrs-02:15Hrs due to BF-08 stopped, checked by E/I but no any alarm shown then start from SP3 DCS normally. Found again plug chute HH activated. But unfortunately there is no shown the alarm in DCU side.Therefore if it will be same happened (stopped the Belt Feeder without any alarm)</t>
  </si>
  <si>
    <t xml:space="preserve">Loading stopped due to Hopper switch-over and conducting Rail survey by Sankyu maintenance from 19:00Hrs-21:20Hrs.( 2Hrs 20Mins)
Loading stopped due to Crane 23 trolley tripped from 22:26Hrs-22:43Hrs.( 17Mins). Crane-24: Bridge tripped at 17:07-17:20Hrs near column 12, circuit breaker tripped H1-F12 alarm. Crane-23: Trolley tripped, sensor limit switch activated.
</t>
  </si>
  <si>
    <t>Loading stopped 12:40-13:00Hrs due to SP3 114 conveyor overload tripped.</t>
  </si>
  <si>
    <t xml:space="preserve">SP3 403 conveyor overload from 14:15Hrs-14:55Hrs.( 40mins).
Crane 24 bridge tripped from 16:35Hrs-16:55Hrs.( 20mins).
Crane 24 bridge tripped from 19:55Hrs-20:20Hrs.(25mins). Loading stopped from 22:30 to 23:30 ( 1hrs) due to SP-3 stacker changeover.
</t>
  </si>
  <si>
    <t>Loading stopped from 15:30-16:35Hrs due to SP3 re-claimer switch over. Loading stopped from 04:25 to 05:00 due to Crusher 03 tripped found local switch fault alarm.</t>
  </si>
  <si>
    <t xml:space="preserve">Obstacles </t>
  </si>
  <si>
    <t>Loading Stopped from 22:45 to 23:12 due to Crusher 03 tripped found DCS side 113-HS-0903A Trip alarm. Crane 23 Boogie wheel abnormal sound from column 6,7,8 &amp; 9 in forward and backward motion. Taking longer time for grabing Hard coke at lower PAD level.</t>
  </si>
  <si>
    <t>Action</t>
  </si>
  <si>
    <t>Hopper-2 choked with big lumps of hard Coke . De-choking of the Hopper manually on-going. Hence Loading of Coke done thru Hopper-1 only. Coke Loaading stopped for ~5hrs (18:30 =&gt; 23:25 hrs)due to low level of Coke around Hopper-1 area.</t>
  </si>
  <si>
    <t>1)SP-3 Conveyer Spillage Conveyer Chain Breakdown. Coke Loading stopped for Repairing: Down  Time : 4 hrs. 35 mins  2)Crane #24: Bridge Motor Lugs burnt affecting loading on Hopper-2: Down Time: 2 hrs. 30 mins..</t>
  </si>
  <si>
    <t xml:space="preserve">BF-7→BF-08 switch over taken 18:30-19:30Hrs but BF-08 not starts due to Tower-105 have chute high high alarm. (161-LSHH-0572 high high alarm in SP3-DCS) SP3 E/I team not enter in DCU due to ID issue so checked by DCU E/I team but problem not solved. So again BF-07 started.
Resume loading at 21:20Hrs. (Using BF-7/H-1).
</t>
  </si>
  <si>
    <t>Morning Meeting Highlight 12 / Mar /2017</t>
  </si>
  <si>
    <t>Issue Highlighted</t>
  </si>
  <si>
    <t>Item no</t>
  </si>
  <si>
    <t>Sprinkler Low Pressure</t>
  </si>
  <si>
    <t>Sprinkler not Rotate</t>
  </si>
  <si>
    <t>Yesterday ( 11/Mar/2017) on Morning shift, Sankyu Operation took Permission  from Yasref Shift Supervisor named Mr. Aziz &amp; Mr.Din to allow them to reduce Pressure of Sprinkler due to Crane 23 Bucket Open-Close wire rope replacement and completed by around at 18:45PM. Forgot to revert back Pressure Sprinkler due to Lack Shift Handover communication.</t>
  </si>
  <si>
    <t>Informed to Sankyu Maintenance team to check and rotate all Sprinklers and fix the rotation No 4. Also, adjust the rotation No 2 &amp; 3 at 90 angle.</t>
  </si>
  <si>
    <t>PIT Coke is full</t>
  </si>
  <si>
    <t>Only in Drum 2,3 &amp; 4 are full due to yesterday ( 11/Mar/2017) Crane 23 Bucket Open-Close Wire rope replacement started from 8:00 AM up to 18:45PM and not enough time to clean in PIT area using crane 23 but we enable to transfer from PIT Drum 2,3 &amp; 4 directly to Hopper #1 at midnight time.</t>
  </si>
  <si>
    <t>Today (12/Mar/2017), will maximize in PIT Cleaning.</t>
  </si>
  <si>
    <t>Piling coke in Crane 24 parking area</t>
  </si>
  <si>
    <t>We suspect the quality coke issue especially furnace #1 &amp; 3 that affect the downtime in D-1,2,5&amp;6 and taking long time in Cutting stage especially at meter from 20 up to 40 m ( Facing very hard to cut) But on Furnace # 2 cutting cokes on D-3&amp;4 are on time and no issue.</t>
  </si>
  <si>
    <t>We will improve our Cutting procedure on Drums 1,2,5&amp;6 and try other methods to reduce defects and Cutting down time.</t>
  </si>
  <si>
    <t xml:space="preserve">Justification </t>
  </si>
  <si>
    <t>To be remind once again to all Sankyu DCU operation that must  be abide to keep all Sprinkler water pressure in full position. If any reduction water pressure that must be justify with informing to Sankyu Engineer and Supervisor including the Yasref Foreman. Also, Must be Improved Sankyu shift handover communication</t>
  </si>
  <si>
    <t xml:space="preserve">Sprinkler No 2 &amp; 3 not rotate and fix in one angle  to avoid water sprinkler showering on both Hopper 1&amp;2 that will affect in SP-3 Conveyors and causing choke or block. This will lead to Coke Transfer down time. However, both Sprinklers No 1 (West Side) and No 4 (East Side) are working well in rotation but observed that sometimes No 4 is rotating very slow. </t>
  </si>
  <si>
    <r>
      <t>This piling coke in Parking area due to routine coke sample every Monday and sent to Yasref lab. Also, Those cokes coming from Coke accumulation In Hopper # 2 as it was choke and affect the housekeeping area. So, we took the coke and pile the nearest parking area to remove those coke by using crane 24.</t>
    </r>
    <r>
      <rPr>
        <b/>
        <sz val="11"/>
        <color rgb="FFFF0000"/>
        <rFont val="Calibri"/>
        <family val="2"/>
        <scheme val="minor"/>
      </rPr>
      <t xml:space="preserve"> Also, No helpers were available to do housekeeping due to ID Access issue from Yasref.</t>
    </r>
  </si>
  <si>
    <t>Yasref should issue the helpers Access ID to resume their housekeeping work. Also, to be remind all sankyu operation to pile coke in Crane 23 parking for coke sampling and other coke accumulation</t>
  </si>
  <si>
    <t>Cutting Downtime</t>
  </si>
  <si>
    <t>1)SP-3 Conveyer -403 Overload tripped. Coke Loading stopped for Repairing: Down  Time : 35 mins  2)SP-3 Conveyer 401 stopped due to Pull Cord activation: Down Time: 45 mins. 3)Crusher #3 tripped. Down Time : 25 mins. Total Time lost in Breakdown: 1 hr. 45 mins.</t>
  </si>
  <si>
    <t>1)Coke Loading affected for 52 mins due to SP-3 Conveyer-401 stopped for 20 mins and Conveyer-118 choked for 17 mins and Crane #23 Trolley tripped for 15 mins .</t>
  </si>
  <si>
    <t>Coke Transfer &amp; Loading affected due to 1)SP-3 103 Conveyer coke accumulation delay: 1 hr 15 mins. 2)Crane #23 Bridge Inverter damaged: 50 m delay 3)Magnetic Separartor #10 under Maintenance preventing Coke Loading on Hopper #2.</t>
  </si>
  <si>
    <r>
      <t xml:space="preserve">Coke Transfer &amp; Loading affected due to : 1)SP-3 Tower-106 Diverter Valve issue: Delay; 1 h 20 m 2)SP-3 Conveyer-116 issues: Delay time= 30 mins.  </t>
    </r>
    <r>
      <rPr>
        <sz val="11"/>
        <color rgb="FFFF0000"/>
        <rFont val="Calibri"/>
        <family val="2"/>
        <scheme val="minor"/>
      </rPr>
      <t>(Total Down Time: 1h 50 m)</t>
    </r>
  </si>
  <si>
    <r>
      <t xml:space="preserve">Coke Transfer &amp; Loading affected due to : 1)SP-3 Conveyer-113 breakdown: Down Time: 30 mins.2)Magnetic Separator issues: Delay: 1 hr. 10 m   </t>
    </r>
    <r>
      <rPr>
        <sz val="11"/>
        <color rgb="FFFF0000"/>
        <rFont val="Calibri"/>
        <family val="2"/>
        <scheme val="minor"/>
      </rPr>
      <t>(Total Down Time: 1h 40 m)</t>
    </r>
  </si>
  <si>
    <r>
      <t xml:space="preserve">Coke Transfer &amp; Loading affected due to  1)Crane #23 JIB Crane Electrical Cable damaged: Down Time: 1hr 15 mins.2)SP-3 Conveyer-114 motor overload: Delay: 1 hr. 3)Magnetic Separartor #10 under Maintenance preventing Coke Loading on Hopper #2. </t>
    </r>
    <r>
      <rPr>
        <sz val="11"/>
        <color rgb="FFFF0000"/>
        <rFont val="Calibri"/>
        <family val="2"/>
        <scheme val="minor"/>
      </rPr>
      <t>(Total Down Time: 2hrs 15 mins).</t>
    </r>
  </si>
  <si>
    <r>
      <t xml:space="preserve">Loading stopped 14:40-15:50Hrs due to Magnetic Separator and Belt Feeder misalignment. (1hrs &amp; 10mins).
Loading Stopped@18:40Hrs due to Magnetic Separator 9 Non drive Roller Bearing damage. Informed E/I @19:20Hrs to bypass magnetic separator motor. E/I hand over 20:50Hrs, Resume loading@21:00Hrs. (02:20Hrs).
</t>
    </r>
    <r>
      <rPr>
        <b/>
        <sz val="11"/>
        <color rgb="FFFF0000"/>
        <rFont val="Calibri"/>
        <family val="2"/>
        <scheme val="minor"/>
      </rPr>
      <t xml:space="preserve"> Whole Day &amp; Night Heavy Sand Storm &amp; Low Visibility.</t>
    </r>
    <r>
      <rPr>
        <sz val="11"/>
        <color theme="1"/>
        <rFont val="Calibri"/>
        <family val="2"/>
        <charset val="128"/>
        <scheme val="minor"/>
      </rPr>
      <t xml:space="preserve">
 </t>
    </r>
    <r>
      <rPr>
        <sz val="11"/>
        <color rgb="FFFF0000"/>
        <rFont val="Calibri"/>
        <family val="2"/>
        <scheme val="minor"/>
      </rPr>
      <t>(Total Down Time: 4h 10 m)</t>
    </r>
  </si>
  <si>
    <t>Loading stopped 01:20-01:40Hrs due to SP-3 Conveyer -104 Take-up pulley sendor issue. (Down Time= 20mins).
Loading affected due to Magnetic Separator # 9 re-installation after Non drive Roller Bearing damage repairing. Coke loading had to be done using Hopper-2 only which affected the Coke transfer rate and Quantity loaded</t>
  </si>
  <si>
    <r>
      <t xml:space="preserve">Loading delay from 12:30-13:05Hrs due to Magnetic Separator installation.
Loading start at 13:00 Hrs using BF-07.
Loading stop from 15:30-15:50Hrs due to Magnetic Separator mechanical adjustment.
Coke Crusher 3 Trip@23:56-00:20Hrs. Loading Resume@00:30Hrs
Coke Crusher 3 Trip@01:35Hrs. Informed DCU supervisor to Call ESO. ESO told to Call Support service.Hopper Switch Over@02:15-02:40Hrs.(H-1→H-2). Loading start@02:45Hrs.  </t>
    </r>
    <r>
      <rPr>
        <b/>
        <sz val="11"/>
        <color rgb="FFFF0000"/>
        <rFont val="Calibri"/>
        <family val="2"/>
        <scheme val="minor"/>
      </rPr>
      <t>(Total Down Time: 2 hr)</t>
    </r>
    <r>
      <rPr>
        <sz val="11"/>
        <color theme="1"/>
        <rFont val="Calibri"/>
        <family val="2"/>
        <charset val="128"/>
        <scheme val="minor"/>
      </rPr>
      <t xml:space="preserve">
</t>
    </r>
  </si>
  <si>
    <r>
      <t xml:space="preserve">Loading delay from 12:30-13:25Hrs ( Down Time= 55 mins) due Crusher -0003 Trip issues.
Loading stop from 21:30-21:45Hrs due to SP-3 Conveyers -116, 114, 104 CSR Communication problems. Down Time = 15 mins.
 </t>
    </r>
    <r>
      <rPr>
        <b/>
        <sz val="11"/>
        <color rgb="FFFF0000"/>
        <rFont val="Calibri"/>
        <family val="2"/>
        <scheme val="minor"/>
      </rPr>
      <t>(Total Down Time: 1 hr 25 mins. )</t>
    </r>
    <r>
      <rPr>
        <sz val="11"/>
        <color theme="1"/>
        <rFont val="Calibri"/>
        <family val="2"/>
        <charset val="128"/>
        <scheme val="minor"/>
      </rPr>
      <t xml:space="preserve">
</t>
    </r>
  </si>
  <si>
    <t>Hopper-1 de-choked during Conveyer Dry Run time. Crane 23 Trolley tripped from 15:45 to 16:00hrs.</t>
  </si>
  <si>
    <t>Loading delayed from 12:30 to 13:15 due to SP3 Maintenance team working on 118 conveyor ( Delay 45 min). Crane 23 Trolley tripped from 17:00 to 17:10hrs.</t>
  </si>
  <si>
    <t>Loading stopped from 02:25 to 02:55 due to magnetic seperator belt adjustment (30Min).</t>
  </si>
  <si>
    <t>1)Loading stopped from 12:00 to 13:00 due to SP-3 Conveyer-116 scrapper failure issues (Down Time: 60Min). 2)Loading stopped from 05:25 hrs to 06:30 hrs. due to SP-3 Connveyer-118 scrapper failure issues. Down Time: 65 mins.  3)Loading affected due to Crane #24 Hoisting Wire Rope failure from 11:05 hrs =&gt; 16:55 hrs.  (5 hrs. 50 mins).</t>
  </si>
  <si>
    <r>
      <t xml:space="preserve">1)Loading stopped from 01:25 to 03:08 </t>
    </r>
    <r>
      <rPr>
        <sz val="11"/>
        <color rgb="FFFF0000"/>
        <rFont val="Calibri"/>
        <family val="2"/>
        <scheme val="minor"/>
      </rPr>
      <t>(Down Time= 1 hr 43 m)</t>
    </r>
    <r>
      <rPr>
        <sz val="11"/>
        <color theme="1"/>
        <rFont val="Calibri"/>
        <family val="2"/>
        <charset val="128"/>
        <scheme val="minor"/>
      </rPr>
      <t xml:space="preserve">  due to SP-3 Conveyer-114 limit switch activated  issues (Down Time: 60Min). 2)Loading stopped from 04:29 hrs to 05:55 hrs. due to SP-3 Connveyer-104 Spillage Motor overload issues. (</t>
    </r>
    <r>
      <rPr>
        <sz val="11"/>
        <color rgb="FFFF0000"/>
        <rFont val="Calibri"/>
        <family val="2"/>
        <scheme val="minor"/>
      </rPr>
      <t>Down Time:01 hr 25 mins.)                                                                          Total Grand   Down Time: 3 hrs 8 mins</t>
    </r>
  </si>
  <si>
    <t>Loaading stopped from 07:05 =&gt; 07:40 hrs. due to BF-8 Local Switch Button not working. Down Time= 35 mins.</t>
  </si>
  <si>
    <t>granules</t>
  </si>
  <si>
    <r>
      <t xml:space="preserve">1)Loaading stopped from 19:15 =&gt; 21:25 hrs. due to SP-3 403 Conveyer Under-Speed Alarm. </t>
    </r>
    <r>
      <rPr>
        <sz val="11"/>
        <color rgb="FFFF0000"/>
        <rFont val="Calibri"/>
        <family val="2"/>
        <scheme val="minor"/>
      </rPr>
      <t>Down Time= 2 hrs. 10 mins</t>
    </r>
    <r>
      <rPr>
        <sz val="11"/>
        <color theme="1"/>
        <rFont val="Calibri"/>
        <family val="2"/>
        <charset val="128"/>
        <scheme val="minor"/>
      </rPr>
      <t>. 2)SP-3 Coke Inventory high.</t>
    </r>
  </si>
  <si>
    <r>
      <t xml:space="preserve">1)Loading stopped from 18:00 =&gt; 18:25 hrs. due to Crane #23 Bridge tripped. </t>
    </r>
    <r>
      <rPr>
        <sz val="11"/>
        <color rgb="FFFF0000"/>
        <rFont val="Calibri"/>
        <family val="2"/>
        <scheme val="minor"/>
      </rPr>
      <t>Down Time= 25 mins</t>
    </r>
    <r>
      <rPr>
        <sz val="11"/>
        <color theme="1"/>
        <rFont val="Calibri"/>
        <family val="2"/>
        <charset val="128"/>
        <scheme val="minor"/>
      </rPr>
      <t>. 2)At 15:30 hrs. Yasref Refinery Shift Manager instruction to reduce the Coke Transfer rate to 50% of normal: ~ 300MT/Hr.</t>
    </r>
  </si>
  <si>
    <t>Coke Transfer rate low due to Marine storage full (00:00 =&gt;08:00 hrs.)</t>
  </si>
  <si>
    <t>Coke Transfer rate low due to Marine Conveyer-116 AFD Faulted. Down Time  (3 hrs.)</t>
  </si>
  <si>
    <t>Coke Transfer rate affected due to 1)Crusher #3 trip. Down Time  (30 mins.) 2)Amount of Coke near Hopper-2 low. 3)Hopper switch-over (H-2 =&gt;H-1)</t>
  </si>
  <si>
    <t>no issues</t>
  </si>
  <si>
    <t>Hopper-1 choked from 23:06 =&gt; 23:35 hrs. Down Time = 29 mins.</t>
  </si>
  <si>
    <t>Pre-Planned Crane #24 Bucket Wire Rope replaced  from 08:00 =&gt;13:30 hrs. (5h 30mins).</t>
  </si>
  <si>
    <t>98 %Rate; 16Hrs; 6 Drums</t>
  </si>
  <si>
    <t>Loading Stopped from 18:40 to 19:05 due to SP-3 116 Conveyor spillage Mechanical issue ( 30 min)</t>
  </si>
  <si>
    <t>loading delay due to marine 401 conveyor repair,Hopper switch over from 22:00-23:00 Hrs.Loading resume at 23:00</t>
  </si>
  <si>
    <t>Loading Stopped from 15:10 to 16:08Hrs to due to 114 Conveyor spillage motor overload ( 52 min)
Loading Stopped from 16:12 to 17:30Hrs due to tower 105 diversion chut high-alarm  ( 1hr &amp; 18 min)  
crusher tripped two times 17:37 Hrs and 17:46 Hrs,loading started after reset of timer of crusher 04 @ 18:45 Hrs</t>
  </si>
  <si>
    <t>lumps - granulas</t>
  </si>
  <si>
    <r>
      <t>12</t>
    </r>
    <r>
      <rPr>
        <sz val="12"/>
        <rFont val="Calibri"/>
        <family val="2"/>
        <scheme val="minor"/>
      </rPr>
      <t>12-Apr</t>
    </r>
  </si>
  <si>
    <t>96 % Rate ; 16 Hrs. cycle; 6 Drums</t>
  </si>
  <si>
    <t>lamps-fine</t>
  </si>
  <si>
    <t>Granules-lamps</t>
  </si>
  <si>
    <t xml:space="preserve">Low PIT PAD level of Coke causing lower grabbing of Coke. Also, caution to slow transfer of wet Coke to avoid SP-3 Choke DownTime in Chute Conveyors. </t>
  </si>
  <si>
    <t>Steady</t>
  </si>
  <si>
    <t>Low PIT PAD level of Coke causing lower grabbing of Coke. Also, caution to slow transfer of wet Coke to avoid SP-3 Choke DownTime in Chute Conveyors.  Extend 2 hrs maintenance Time From 8:00 to 14:00 to maximize the PIT PAD and both basin cleaning.</t>
  </si>
  <si>
    <t>Pit to PAD using Crane 23, MT + Water</t>
  </si>
  <si>
    <t>Pit to PAD using Crane 24, MT + Water</t>
  </si>
  <si>
    <r>
      <t xml:space="preserve">BF-07 change to BF-08 :switch over time 20:30-22:30Hrs
Low PIT PAD level of Coke causing lower grabbing of Coke. Also, caution to slow transfer of wet Coke to avoid SP-3 Choke DownTime in Chute Conveyors.  Extend </t>
    </r>
    <r>
      <rPr>
        <sz val="11"/>
        <color rgb="FFFF0000"/>
        <rFont val="Calibri"/>
        <family val="2"/>
        <scheme val="minor"/>
      </rPr>
      <t>2</t>
    </r>
    <r>
      <rPr>
        <sz val="11"/>
        <color theme="1"/>
        <rFont val="Calibri"/>
        <family val="2"/>
        <charset val="128"/>
        <scheme val="minor"/>
      </rPr>
      <t xml:space="preserve"> hrs maintenance Time From 8:00 to 14:00 to maximize the PIT PAD and both basin cleaning.
loading started at 14:00hrs from BF-07
</t>
    </r>
  </si>
  <si>
    <t xml:space="preserve">Low PIT PAD level of Coke causing lower grabbing of Coke. Also, caution to slow transfer of wet Coke to avoid SP-3
Choke DownTime in Chute Conveyors.  Extend 2 hrs maintenance Time From 8:00 to 14:00 to maximize the PIT PAD
and both basin cleaning.
Crane-23:bridge tripped top of H-01 20:12-20:30Hrs due to wheel no-02 touth the rail.
Crane-24:bridge tripped near of H-02 column no 11 at 00:00-00:20Hrs  due to wheel no-01 touth the rail.
Crane-24:bridge tripped near of H-02 column no 11 at 02:55-03:10:Hrs due to wheel no-02 touth the rail.
</t>
  </si>
  <si>
    <t>Loading stopped from 05:30 hrs onwards due to no dry Coke.
Today SP-3 Request 6 hr Maintenance Time due to replace of coupling gear box of take up bully for conveyor 116.</t>
  </si>
  <si>
    <t xml:space="preserve">Low PIT PAD level of Coke causing lower grabbing of Coke. Also, caution to slow transfer of wet Coke to avoid SP-3
Choke DownTime in Chute Conveyors.  Extend 2 hrs maintenance Time From 8:00 to 14:00 to do SP-3 Conveyers Gear Box Coupling maintenance.
Crane-23:bridge tripped @ 19:42-20:00Hrs due to wheel no-01, 02, 04 touth the rail.
Crane-24:bridge tripped near @ 20:45-21:00Hrs  due to wheel no-01, 02, 03 touth the rail.
Today SP-3 Request 6 hr Maintenance Time due to replace of coupling gear box of take up bully for conveyor 116.
</t>
  </si>
  <si>
    <t>Switchover BF-07 to Bf-08 at 21:00 to 23:00Hrs.
Loading stopped at 05:30-12:00 Hrs due to no dry coke.
Loading start 12:30 from BF-7,H-01
Loading stopped from 05:45Hrs due to un-availlability of dry coke near H-02 Area.</t>
  </si>
  <si>
    <t>maintanance time from 05:45Hrs (near H-2 no dry coke) to 14:00 Hrs
crane no-24 stopped from 08:00Hrs to 16:35 Hrs for wheel no- 5 replacement.(down time:8Hrs &amp; 35mins).
Loading started 14:30Hrs from BF-7,H-01
Loading stopped 05:30Hrs due to un-availlability of dry coke near H-02 area.</t>
  </si>
  <si>
    <t xml:space="preserve">Maintenance time from 05:45Hrs( Near H-2 no dry coke )→13:00Hrs.
Loading start at 13:30Hrs at BF7/H1.
Crane-23: Bridge tripped 14:59-15:20Hrs due to overload.
Crane-23: Bridge tripped 19:33-19:50Hrs due to wheel no 1,4 touched the rail.
Crane-24: Bridge tripped 00:17-00:37Hrs due to wheel no 2,4 touched the rail.
Loading stopped 05:45Hrs due to un-availlability of dry coke near H-02 area.
</t>
  </si>
  <si>
    <t>100 % Rate ; 16 Hrs. cycle; 6 Drums</t>
  </si>
  <si>
    <t>92-95 % Rate ; 16 Hrs. cycle; 6 Drums</t>
  </si>
  <si>
    <t xml:space="preserve">Maintenance time from 05:45Hrs( Near H-2 no dry coke )→12:00Hrs.
Loading delayed from 12:30-13:40Hrs due to Radiographic Test(RT) of pump seal water pipeline at Jet pump area.
Loading start at 13:40Hrs at BF7/H1.
Loading stopped at 05:45Hrs due to no dry coke near hopper-02.
</t>
  </si>
  <si>
    <t xml:space="preserve">powder-lumps </t>
  </si>
  <si>
    <t xml:space="preserve">Maintenance time from 05:45Hrs( Near H-2 no dry coke )→11:30Hrs.
Loading delay due Conveyor 116 tripped and Crusher 03 tripped at 11:25Hrs, loading start at 12:00Hrs..
Loading stopped 05:45Hrs due to no dry coke near H-02.
</t>
  </si>
  <si>
    <t>lumps-fine</t>
  </si>
  <si>
    <t xml:space="preserve">granules-lumps </t>
  </si>
  <si>
    <t xml:space="preserve">Maintenance time from 05:45Hrs( Near H-2 no dry coke )→13:30Hrs. For Rail Alignement and Adjustment.
Crane #23 Bucket out-of-calibration from 04:14 hrs. =&gt; 05:14 hrs. (1 hr).
Loading stopped 05:45Hrs due to no dry coke near H-02.
</t>
  </si>
  <si>
    <t>lumps-Granules</t>
  </si>
  <si>
    <t xml:space="preserve">Maintenance time from 05:30Hrs( Near H-2 no dry coke )→11:00Hrs. 
SP-3 Reclaimer switch over from 11:30 hrs. =&gt; 11:50 hrs. 
Loading stopped 05:30Hrs due to no dry coke near H-02.
</t>
  </si>
  <si>
    <t xml:space="preserve">         lumps-powder </t>
  </si>
  <si>
    <t>Maintenance time from 05:30Hrs-11:00
Dry run from 11:00Hrs at Hopper no.1 BF-07
Loading stopped at 05:30Hrs, no more dry coke at Hopper no.2 pad Area.</t>
  </si>
  <si>
    <t xml:space="preserve">lumps-powder </t>
  </si>
  <si>
    <t xml:space="preserve">Maintenance time from 05:30Hrs.→12:00Hrs.
Dry-run from 12:00Hrs to 12:30Hrs.
Loading started at 12:30Hrs at Hopper no.1, BF-07.
loading stopped at 05:30Hrs due to no more dry coke.
</t>
  </si>
  <si>
    <t xml:space="preserve">Maintenance time from 05:30Hrs.→14:00Hrs.
Dry-run from 14:00Hrs to 14:45Hrs.
Loading started at 14:45Hrs at Hopper no.1
Hopper switch-over including dry run from --Hrs(BF7/H1→BF8/H2).
</t>
  </si>
  <si>
    <t>lumps-powder</t>
  </si>
  <si>
    <t xml:space="preserve">Maintenance time from 05:30Hrs.→14:00Hrs.
Dry-run from 14:00Hrs to 14:30Hrs.
Loading started at 14:30Hrs at H-1, BF-07.
Hopper switch-over including dry -Hrs(BF7/H1→BF8/H2).
Loading resume at 23:00Hrs at Hopper #2
loading stopped at 04:20 Hrs due to no more dry coke at Hopper #2
</t>
  </si>
  <si>
    <t>H1 WEST</t>
  </si>
  <si>
    <t>H2-WEST</t>
  </si>
  <si>
    <t>Maintenance time from 04:20Hrs.→14:00Hrs.
Loading stopped at 05:30 Hrs due to no more dry coke at Hopper no 2 pad area.
DCV still manually operated.opening and closing of DCV will take 50-60 min</t>
  </si>
  <si>
    <t>Maintenance time from 05:30Hrs.→15:00Hrs.
Loading stopped at 05:30 Hrs due to no more dry coke at Hopper no 2 pad area.
DCU Production rate ~80% with 18 hrs. cycle. Coke Production low ~ 5918 MT.</t>
  </si>
  <si>
    <t>80 % Rate ; 18 - 20 Hrs. cycle; 6 Drums</t>
  </si>
  <si>
    <t xml:space="preserve">Maintenance time from 05:30Hrs.→14:00Hrs. (8.5 hrs)
Loading stopped from 21:00 Hrs =&gt;23:00 hrs due to SP-3 114 Conveyer choking.
</t>
  </si>
  <si>
    <t>92 % Rate ; 16 Hrs. cycle; 6 Drums</t>
  </si>
  <si>
    <t xml:space="preserve">Maintenance time from 07:00Hrs.→11:00Hrs.
Loading started at 11:30Hrs at H-1, BF-07.
</t>
  </si>
  <si>
    <t>H1-EAST</t>
  </si>
  <si>
    <t>H2-EAST</t>
  </si>
  <si>
    <t xml:space="preserve">Maintenance time from 05:00Hrs.→14:00Hrs.
Sp3-118 conveyor stopped @12:25 Hrs due to spillage chain came out of the sproket
Loading started at 00:00Hrs with H2
</t>
  </si>
  <si>
    <t xml:space="preserve">Maintenance time from 07:00Hrs to 12:00Hrs. 
Loading started12:30hrs from BF-07/H-01.
Loading stopped 13:19hrs to 18:55 Hrs due to Convyor-116 both side spilllage chain link broken.(5Hrs &amp;34Mins)
loading resume at 18:55 Hrs
crane23:Bocket open-close wire damaged so mechanical cut end of rope.
</t>
  </si>
  <si>
    <t>lamps-Granules</t>
  </si>
  <si>
    <t>Maintenance time from 07:40Hrs.→11:30Hrs.
Loading started12:00Hrs from BF-07/H-01.
Loading stopped at 13:14Hrs-14:18Hrs due CB118 tripped spillage motor overload.
Loading resume at14:18Hrs.
Maintenance time from 07:40Hrs.→11:30Hrs.
Loading started12:00Hrs from BF-07/H-01.
Loading stopped at 13:14Hrs-14:18Hrs due CB118 tripped spillage motor overload.
Loading resume at14:18Hrs.</t>
  </si>
  <si>
    <t xml:space="preserve">Maintenance time from 07:40Hrs.→11:00Hrs.
Loading started11:45Hrs from BF-07/H-01.
</t>
  </si>
  <si>
    <t xml:space="preserve">Maintenance time from 07:00Hrs.→13:30Hrs.
Planned maintenance of SP-3 Conveyer-118 done
</t>
  </si>
  <si>
    <t xml:space="preserve">Maintenance time from 07:00Hrs.→12:00Hrs.  Hopper-1 big lumps noticed; loading stopped ~25 mins.
</t>
  </si>
  <si>
    <t xml:space="preserve">Maintenance time from 05:30Hrs.→12:00Hrs.
Loading started at 12:30Hrs at Hopper no.1
Loading stopped 05:30hrs due to no dry coke near H-02
</t>
  </si>
  <si>
    <t xml:space="preserve">Maintenance time from 05:30Hrs.→12:00Hrs.
Loading started at 12:30Hrs at Hopper no.1.
Loading stopped 05:30hrs due to no dry coke near H-02.
</t>
  </si>
  <si>
    <t xml:space="preserve">Maintenance time from 05:30Hrs.→12:00Hrs.
Loading started at 12:30Hrs at Hopper no.1.
</t>
  </si>
  <si>
    <t>Maintenance time from 07:00Hrs.→12:00Hrs.
Loading started at 12:30Hrs at Hopper no.1.</t>
  </si>
  <si>
    <t>Maintenance time from 07:00Hrs.→12:30Hrs.
Loading started at 13:00Hrs at Hopper no.1.
loading started at23:00Hrs at Hopper no 2
loading stopped at 05:30Hrs due to no more dry coke at Hopper no 2 pad area</t>
  </si>
  <si>
    <t>Maintenance time from 07:00Hrs.→12:00Hrs.
Loading started at 12:30Hrs at Hopper no.1.
loading stopped from 01:00Hrs -1:20 Hrs due to 116 conveyor plug chute high alarm
loading stopped at 05:00Hrs due to no more dry coke at Hopper no 2 pad area</t>
  </si>
  <si>
    <t xml:space="preserve">Maintenance time from 07:00Hrs.→12:00Hrs.
Dry-run from 12:00Hrs to 12:30Hrs.
Loading started at 12:30Hrs at Hopper no.1
SP3 tripped 16:30-17:40Hrs due to conveyor 114 overload tripped.
Switch over 21:30-22:30Hrs BF-07 to BF-08.
</t>
  </si>
  <si>
    <t>85% Rate,16Hrs.Cycle;6 Drums</t>
  </si>
  <si>
    <t>maintanance time from 7:00 to 12:00 Hrs
Dry run from 12:00 to 12:30 Hrs
Loading started at 12 :30 Hrs at Hopper #1/Bf-07
loading resume at 23:00 Hopper #2/BF-08
loading stopped from 03:45-04:45Hrs due to conveyor 114 limit swich over activated.</t>
  </si>
  <si>
    <t xml:space="preserve">Maintenance time from 07:00Hrs.→14:00Hrs.
Loading started at 14:30Hrs at Hopper no.1/BF-07.
Loading stopped from 19:43-19:55hrs due to CB 116 plug chute high high alarm.
Hopper switch over from 21:30Hrs to 23:30Hrs.
Magnetic Separator 010 misaligned from 23:35Hrs to 00:15Hrs.
Loading resume at 00:18Hrs at Hopper no.2/BF-08.
Loading stopped at 01:25Hrs due to Magnetic Separator(S-010) Non-drive Pulley feeder ring coming out.
Hopper switch over again from 02:00Hrs to 02:20Hrs( H2/BF8=&gt;H1/BF7).
Loading resume at 02:25Hrs at Hopper no.1/BF-07.
</t>
  </si>
  <si>
    <t xml:space="preserve">Maintenance time from 07:00Hrs.→13:00Hrs.
Loading started at 13:30Hrs at Hopper no.1/BF-07.
Loading stopped from 23:15Hrs-00:15Hrs due to 403 conveyor stacker high high alarm.
Crane 23 bridged tripped from 02:45Hrs to 03:10Hrs  at column no.9, HMI alarm code H1 F11.
Dry-run from 03:00Hrs to 04:00Hrs for PIT to PAD activity.
Resume loading at 04:00Hrs.
</t>
  </si>
  <si>
    <t xml:space="preserve">Maintenance time from 07:00Hrs.→13:00Hrs.
Dry-run from 13:00Hrs to 13:30Hrs.
Loading started at 13:30Hrs at Hopper no.1/BF-07.
Hopper switch over from 21:00Hrs to 23:00Hrs( H1/BF-07=&gt;H2/BF-08).
Resume loading at 23:35Hrs at Hopper no.2. Delayed for 35mins due to 116 conveyor maintenance activity.
Loading stopped at 05:00Hrs due to no more dry coke at Hopper no.2 pad area.
</t>
  </si>
  <si>
    <t xml:space="preserve">Maintenance time from 07:00Hrs.→15:00Hrs.
Dry-run from 19:00Hrs to 19:30Hrs. ( Coke storage full so loading dalay started.)
Loading started at 19:30Hrs at Hopper no.1/BF-07.
SP3 tripped 20:05 to 20:50 due to CB-118 pull cord activate-coke spillage.
</t>
  </si>
  <si>
    <t xml:space="preserve">Maintenance time from 07:00Hrs.→14:00Hrs.
Hopper no. 2 choke at 06:50Hrs.
Dry-run from 14:00-14:30Hrs.
Loading stopped at 16:35Hrs-17:45Hrs due to 118 conveyor pull cord activated.
Crusher tripped 00:00Hrs at starting time, loading started 00:25Hrs.
</t>
  </si>
  <si>
    <t xml:space="preserve">maintanance time from 07:00 to 14:00 Hrs
loading will start at 14:30 Hrs. Hopper switch over time 00:00 to 01:30 Hrs. loading start 01:30 Hrs Hopper no-2
crane 23:Trolly trip at 22:45 Hrs,operation resume at 22:55 Hrs
</t>
  </si>
  <si>
    <t>70% Rate,16Hrs.Cycle;6 Drums</t>
  </si>
  <si>
    <t>100% Rate,16Hrs.Cycle;6 Drums</t>
  </si>
  <si>
    <t xml:space="preserve">Maintenance time from 07:00Hrs.→12:00Hrs.
Loading started at 12:30Hrs at Hopper no.1
Loding stop at 05:00Hrs no have dry coke.
</t>
  </si>
  <si>
    <t xml:space="preserve">Maintenance time from 07:00Hrs.→12:00Hrs.
Loading delay due to Conveyor 116 trouble shooting activity from 12:00-12:30Hrs.
Dry run from 12:30-13:00Hrs.Loding started at 13:00Hrs Hopper no-1
Hopper switch over time 23:30 to 00:30Hrs.Loding start 00:30Hrs Hopper-2,SP-3 stoped 03:58Hrs BC 401Pull cord.
SP-3 start at 04:25Hrs Loding start at 04:35Hrs. 
</t>
  </si>
  <si>
    <t xml:space="preserve">Maintenance time from 07:00Hrs.→11:30Hrs.Extend 30mins as per SP3 request.
Dry run from 11:30-12:00Hrs. 
Loading started at 12:00Hrs at Hopper no.1,Loding stoped 20:30Hrs for collect coke near hopper area.
Loading started at 00:30 at Hopper no 2, Loding stoped at 04:30Hrs due to pit to pad operation. 
</t>
  </si>
  <si>
    <t>Maintanance time from 07:00Hrs to 12:00 Hrs
loading started at 12:30 Hrs from Hopper no 1
Belt-07 BF-08 switch over taken 17:30 Hrs -20:00Hrs ,Loading started 20:15 Hrs from BF-08/h-02
loading stopped at 03:00 Hrs up to 05:00Hrs due to pit to pad operation.</t>
  </si>
  <si>
    <t>Maintanance time from 09:00Hrs to 13:00 Hrs
Hopper no 1 partially choked from 13:30-13:40Hrs
loading started at 23:30 Hrs from Hopper no 1</t>
  </si>
  <si>
    <t xml:space="preserve">Maintenance time from 07:00Hrs.→11:30Hrs.
Dry run from 11:30-12:00Hrs. 
Loading started at 12:00Hrs at Hopper no.1
Loading stopped 17:30Hrs for kone crane rail survey job by vendor.
Kone crane handover 21:00by vendor, then pit to pad done.Loading start 22:15Hrs from BF-07.
Hopper switch over time 00:00Hrs to01:00Hrs.Loading start at 01:00Hrs Hopper no 02.
</t>
  </si>
  <si>
    <t xml:space="preserve">Maintenance time from 07:00Hrs.→12:00Hrs.
Dry run from 12:00-12:30Hrs.
Loading start at 12:30Hrs.
Hopper Switch Over@21:30-22:30Hrs (H1 to H2).
</t>
  </si>
  <si>
    <t>Maintenance time from 07:00Hrs.→11:00Hrs.
Dry run from 11:00-11:30Hrs.
Loading start at 11:30Hrs.
loading started 23:30Hrs from BF-08/H-2</t>
  </si>
  <si>
    <t>105% Rate,16Hrs.Cycle;6 Drums</t>
  </si>
  <si>
    <t>Maintenance time from 07:00Hrs.→13:00Hrs.
Dry run from 13:00-13:30Hrs.
Loading start at 13:30Hrs.
Hopper switch over time @21:30-22:30 Hrs /(H1 TO H2)
loading started 22:40Hrs from BF-08/H-2</t>
  </si>
  <si>
    <t>maintance time from 07:00 Hrs to 11:00
Loading start 11:30Hrs
loadding stopped from 13:10-13:25 due to crane 23 bridged tripped between colummn 8 &amp; 9(wheel toutch).
SP3 118 conveor stopped @ 14:35-15:30Hrs due to spillge conveor motor over load.
Loading stopped from 17:05-17:25 Hrs due to cran e23 bridged tripped on Hopper #1 (wheel toutch)</t>
  </si>
  <si>
    <t>maintanance time from 7:00 to 11:00
loading start at 11:30
loading stopped at 15:45-16:00 due to crane#23 bridge tripped on Hopper #1(wheel tutching)
Hopper switch over time 21:30-22:30Hrs (H1 to H2) loading stopped at 05:40Hrs due to no have dry coke</t>
  </si>
  <si>
    <t>maintanance time from 7:00 to 11:00
loading start at 11:30
Coke Transfer got affected due to Bridge Crane #23 breakdown: not getting started due to no Power supply to Operator Cabin.
Hopper switch over time 00:00-01:00Hrs (H1 to H2).</t>
  </si>
  <si>
    <t>maintanance time from 7:00 to 11:30
loading start at 12:00
Conveyer-114 tripped from 12:00 hrs=&gt;12:35 hrs. due to scrapper damaged.
Hopper switch over time 18:30-19:3Hrs (H1 to H2).                                                                                                                  Loading stopped from 01:00 =&gt; 01:25 hrs. due to Conveyer-401 pull cord overload.</t>
  </si>
  <si>
    <t>70% Rate/16 hrs. cycle</t>
  </si>
  <si>
    <t>102% Rate/16 hrs. cycle</t>
  </si>
  <si>
    <t xml:space="preserve">    </t>
  </si>
  <si>
    <t>maintenance time from 7:00 to 11:00 Hrs</t>
  </si>
  <si>
    <t>maintanance time from 7:00 to 11Hrs
Loadind started 11:30 Hrs from BF-07/H-01
Loading stopped from 19:30-19:47Hrs due to crane 24 bridged traipped 
loading stopped from 02:30-02:55 Hrs &amp; 04:15-45 Hrs due to Crane 24: bridged tripped</t>
  </si>
  <si>
    <t>maintanance time from 7:00 to 11Hrs
Loadind started 11:30 Hrs from BF-07/H-01
Loading stopped from 20:00-20:15Hrs due to crane 24 bridged traipped.
Loading stopped from 21:45-02:45Hrs due to 116 tower chock and spillage chain brocken.
Loadind started 11:30 Hrs from BF-07/H-01
Loading stopped from 03:45-04:10Hrs due to crane#24 bridge tripped on Hopper2
Loading stopped from04:15-04:40Hrs due to Belt feerde #08 spillage conveor plate 1 polt removed.</t>
  </si>
  <si>
    <t xml:space="preserve">Maintenance time from 07:00Hrs.→11:00Hrs.
Loading started 11:30Hrs from BF-07/H-01.
Loading stopped from 15:12Hrs –15:43 due to 103 conveyor pull-cord.
Loading stopped from 15:55Hrs- 16:50Hrs due to conveyor switching from 103 to 104conveyor.
Loading stopped from 20:20Hrs-20:40Hrs due to Crane 24 bridge tripped at the Hopper no.1, column 7.
</t>
  </si>
  <si>
    <t xml:space="preserve">Maintenance time from 07:00Hrs.→11:00Hrs.
Loading started 11:30Hrs from BF-07/H-01.
Loading stopped from 16:05Hrs –16:20 due to Crane #23 tripped on top of Hopper-1.
Loading stopped from 17:10Hrs- 17:30Hrs due to conveyor 401 Pull Cord problem.
Loading start delay @23:15 hrs. due to Conveyer-118 RIP switch cord problem.
</t>
  </si>
  <si>
    <t xml:space="preserve">Maintenance time from 07:00Hrs.→11:00Hrs.
Loading started 11:30Hrs from BF-07/H-01.
Loading stopped from 13:52Hrs –14:10 due to Crane #23 tripped on top of Hopper-1 due to Wheel #1 touch the rail
</t>
  </si>
  <si>
    <t xml:space="preserve">Maintenance time from 07:00Hrs.→11:00Hrs.
Loading started 11:30Hrs from BF-07/H-01.
Loading stopped 16:30-16:45Hrs due to Crane-23 bridge tripped at H-01- wheel no-1/2/3/4 touch the rail.
Loading stopped 17:40-18:10 : Crane-23 bridge tripped art column no-08 due to breaker tripped.
</t>
  </si>
  <si>
    <t xml:space="preserve">Maintenance time from 07:00Hrs.→11:00Hrs.
Loading started 11:50Hrs from BF-07/H-01.( Started delay-CB118 AFD alarm)
Loading stopped 13:49-14:20Hrs due to CB118 conveyor motor overload tripped.
</t>
  </si>
  <si>
    <t>96% Rate/16 hrs. cycle</t>
  </si>
  <si>
    <t xml:space="preserve">Steady
</t>
  </si>
  <si>
    <t>Loading Started 11:30 Hrs from BF-07/H-01
Loading stopped 12:30-14:15 due to CB118 Spillage conveyor overload (1hr @45 min)</t>
  </si>
  <si>
    <t xml:space="preserve">Maintenance time from 07:00Hrs.→13:00Hrs.
Loading started 13:30Hrs from BF-07/H-01.
Crane #23 Hoist wire replaced
2 hr extended maintenance due to roller replacement in Sp-3 Conveyor.
</t>
  </si>
  <si>
    <t>Loading Started 11:30 Hrs from BF-07/H-01
Loading stopped 16:20-17:17  due to HH Plug Chute alarm (Delay: 57 min)</t>
  </si>
  <si>
    <t>Loading Started 11:30 Hrs from BF-07/H-01
Loading stopped 14:00-14:20  due to Crane #23 Bridge Trip @H-1  (Delay: 20 min) and from 19:05 =&gt; 19:25 hrs. due to H-1 choked (Delay=20 mins).</t>
  </si>
  <si>
    <t>Maintenance time from 07:00Hrs.→11:00Hrs. Loading started @11:30 hrs.  Crane #23 Bridge tripped from 16:20 hrs. =&gt;16:40 hrs (20 mins stoppage)., Trolley tripped from 17:44 hrs.=&gt; 18:00 hrs due to Limit switch de-activated. (16 mins stoppage).</t>
  </si>
  <si>
    <t xml:space="preserve">Planned Maintenance time from 07:00Hrs.→12:00Hrs. (5 hrs).  Loading started @12:30 hrs.   </t>
  </si>
  <si>
    <t>Planned Maintenance time from 04:00Hrs.→12:00Hrs. (8 hrs). Loading started @12:30 hrs.   Loading stopped from 01:00 =&gt; 02:30 hrs (1.5 hrs) due to SP-3 Stacker plug chute Hi-Hi tripped.</t>
  </si>
  <si>
    <t>Planned Maintenance time from 07:00Hrs.→12:00Hrs. (5 hrs).  Loading started @12:30 hrs.    Loading stopped from 20:50 hrs =&gt; 21:30 hrs due to Conveyer-104 spillage conveyer overload, Delay = 40 mins.</t>
  </si>
  <si>
    <t>Planned Maintenance time from 07:00Hrs.→12:00Hrs. (5 hrs).  Loading started @12:30 hrs.    Loading stopped from 15:40 hrs =&gt; 16:00 hrs due to  Delay = 20 mins. Hopper-2 chocked from 04:50 =&gt; 05:05 hrs. Delay = 15 mins.</t>
  </si>
  <si>
    <t>Planned Maintenance time from 07:00Hrs.→11:40Hrs. (4 hrs 40 mins).  Loading started @12:30 hrs.    Loading stopped from 01:40 hrs =&gt; 03:30 hrs due to Hopper-2 choke and non-availability of dry Coke in Hopper-1  area.  Delay = 1 hr 50 mins. Hopper-2 chocked from 01:40 hrs. Under Dechoking.</t>
  </si>
  <si>
    <t>Planned Maintenance time from 07:00Hrs.→11:30Hrs. (4 hrs 30 mins).  Loading started @12:00 hrs.    Loading stopped from 13:00 hrs =&gt; 13:20 hrs &amp; 13:50 hrs=&gt; 14:20 hrs.  due to Conveyer  Belt-403 Motor fault alarm &amp; trip.  Delay = 1 hr 10 mins.  Crusher Tripped from 22:00 =&gt; 22:10 hrs. Hopper -2 de-choked in day time.</t>
  </si>
  <si>
    <t xml:space="preserve">Maintenance time from 08:00-12:00Hrs.
Loading start at 12:30Hrs Hopper no 01.
Loading stopped 20:55-     Hrs due to CB114 local switch alarm tripped.
</t>
  </si>
  <si>
    <t xml:space="preserve">Maintenance time from 08:00-12:00Hrs.
Loading start at 12:30Hrs Hopper no 01.
Loading stopped 02:25-03:20 Hrs due to CB103 Plug Chute Alarm.
</t>
  </si>
  <si>
    <t xml:space="preserve">Maintenance time from 08:00-11:00Hrs.
Loading start at 11:30Hrs Hopper no 02.
Loading stopped from 11:48 hrs=&gt; 12:46 hrs due to CB-116 overload and from  20:18-21:00 Hrs due to CB403 issue and from 22:49=&gt; 23:00 hrs due to CB-114 Belt mislignment: Total Delay = 1 hr and 51 mins
</t>
  </si>
  <si>
    <t xml:space="preserve">Crane24: Wire rope damaged and we repair </t>
  </si>
  <si>
    <t xml:space="preserve">Maintenance Time from 08:00 =&gt; 11:30 hrs (3.5 hrs).  Loading started from 12:00 hrs. </t>
  </si>
  <si>
    <t>SP-3 Plan Maintenance for 116 Conveyor &amp; 118 Tower Pulley lagging took around 18 to 19 hr</t>
  </si>
  <si>
    <t xml:space="preserve">Loading Stop from 9:45 to 11:05 and also 20:23 to 20:40  due to SP-3 403 conveyor plug chute high high alarm. </t>
  </si>
  <si>
    <t>Loading Stop from  11:50 to 14:23 ( 2h 33mins) due to SP-3 118 conveyor splillage chain damaged.</t>
  </si>
  <si>
    <t xml:space="preserve">Loading Stop from  13:50 to 13:45 (  55 mins) due to SP-3 403 Coke Stacker plug chute High-High alarm and from 16:15 =&gt; 17:10 hrs  (55 mins) due to Belt Feeder-8 misalignment. </t>
  </si>
  <si>
    <t xml:space="preserve">Loading stopped 07:30Hrs. Maintenance time 08:00-11:00Hrs. Dry run 11:00-11:30Hrs.
Loading stopped 18:30-18:48Hrs due to B401 pull cord activet.
</t>
  </si>
  <si>
    <t xml:space="preserve">Loading stopped 14:50-16:00Hrs due to SP3 403 boom conveyor relay problem.
Loading stopped 17:05-17:40Hrs due to coke stracker plug chute hi-hi.
</t>
  </si>
  <si>
    <t>93-96% Rate/16 hrs. cycle</t>
  </si>
  <si>
    <t>Loading stop from 00:15-00:35 for Sp3 403 staker con. Chute Hi Hi alarm.</t>
  </si>
  <si>
    <t xml:space="preserve">Loading Stop:  02:20 – 03:15 Hrs.( 55 min.)  Reason:  B/Feeder 007 stop for  RIP-DETECTOR switch removed  
due to heavy coke spillage from skirt rubber
Loading Stop:  04:25 -  05:50 Due to SP3 403 con.plug chute High alarm.     </t>
  </si>
  <si>
    <t>spillage moter over load.Hopper switch over 21:30 to 22:30 H2-H1.
Loading stopped:00:00-00:25 and 01:50-02:15 due to crane 23 Bridge trip near col.6-7. reason: wheel touch to rail.</t>
  </si>
  <si>
    <t>Crane #24 Trolley tripped  from 04:20=&gt;04:45 hrs. Planned SP-3 Conveyer Maintenance for 3 hrs. and planned DCU Hopper switch over for 1 hr and planned Dry Run for 1.5 hrs.  Belt Feeder speed reduced from 85=&gt;83 % due to excessive Coke spillage due to skirt rubber malfunctioning issues.</t>
  </si>
  <si>
    <t>SP-3 Stoppage from 17:10 to 17:25 due to coke falling into pull cord in 401 Belt Conveyor 401. Fromm 00:00 to  00:50 SP-3 Stoppage due to spillage chain motor overload alarm.</t>
  </si>
  <si>
    <t xml:space="preserve">From 14:48 to 15:10 SP-3 Stoppage due to coke falling into pull cord in 401 Belt Conveyor. Also, from 19:20 to 23:30 SP-3 Stoppage due to Belt Conveyor 114 &amp; 116 spillage motor overload (BC 116 spillage plate bend) </t>
  </si>
  <si>
    <t xml:space="preserve">loading stopped 11-:30-12:15 due to B/F#008 due to replacement skirt rubber.  </t>
  </si>
  <si>
    <t xml:space="preserve">Loading start: 12:00Hrs from BF-08/H-02.( BF-08: west side Skirt rubber changed)
Loading stopped 12:50Hrs-13:05Hrs due to bridge tripped on H-02,  due to wheel no-1 and 4 touch the rail.
Loading stop@23:25-02:45Hrs due to 104 Conveyor Pull Cord Activated &amp;107, 114,118 Spillage conveyor motor overload.
Loading Stop@02:57-04:35Hrs due to 403 Plug Chute High High Alarm.(Coke Storage full of Coke).
</t>
  </si>
  <si>
    <t>91-95% Rate/16 hrs. cycle</t>
  </si>
  <si>
    <t xml:space="preserve">Loading stop @01:05-02:10 Hrs due to 114 spillage conveyor motor overload </t>
  </si>
  <si>
    <t xml:space="preserve">Planned Maintenance Time: 07:30 =&gt; 11:30 hrs (4 hrs) and Planned Hopper Switch-Over Time: 21:30 =&gt;22:30 hrs (1 hr). </t>
  </si>
  <si>
    <t xml:space="preserve">Loading stop:  15:40Hrs -16:50Hrs , 19:55 – 20:20HrsFor 403 con.Plug chute High-High alarm.  (01 Hr.35 mins)              
Loading Stop:  02:57-03:20Hrs due to crane 23 bridge trip between column 7 &amp; 8. 
Loading Stop:  04:55-05:15Hrs due to crane 23 bridge trip near column 03.
</t>
  </si>
  <si>
    <t xml:space="preserve">Loading stop: 13:37Hrs BC 118 Spillage con.plate bend/damage.
Loading start: 17:40Hrs. Loading stop:  18:20Hrs for 401 con.pull cord.    Loading start: 18:40Hrs.
Loading Stop: 00:00-01:00Hrs due to Hopper Switch Over. (H2→H1).
Loading Start: 01:20Hrs, Sp3 start@01:15Hrs.
Loading Stop: 04:00-04:20Hrs due to 401 conveyor pull cord activated. 
</t>
  </si>
  <si>
    <t>loading stop: 23:33-04:50 Hrs due to CB-118 spillage conveyor belt chain broken.Again loading stopped 04:55hrs CB118 spillage chain brocken</t>
  </si>
  <si>
    <t xml:space="preserve">Loading stop: 23:33-04:50Hrs due to CB-118 spillage conveyor belt chain broken. Again loading stopped 04:55Hrs, CB118 spillage chain broken. (13 August 2017)
Loading start: 10:30Hrs to 11:00Hrs Dry ran : Loading start at 11:00Hrs Hopper no- 01.(14 August 2017)
Loading stop: 15:45-16:15Hrs due CB 403 plug chute hi hi alarm- chocked.
Crane-23: Trolley tripped 19:30-19:45Hrs due to limit switch deactivate.. 
 Loading stop: 23:30-00:05Hrs.due to 401con. Pull cord.
</t>
  </si>
  <si>
    <t xml:space="preserve">Loading stop: 18:23-20:00Hrs due to CB-114 spillage conveyor motor overload. 
Loading stop 14:35Hrs to 15:00Hrs due to adjustable rollers not rotating of Belt
</t>
  </si>
  <si>
    <t>101% Rate/16 hrs. cycle</t>
  </si>
  <si>
    <t>loading stopped at 05:30Hrs due to no dry coke near H-02</t>
  </si>
  <si>
    <t>98% Rate/16 hrs. cycle</t>
  </si>
  <si>
    <t>Loading stop  05:30 Hrs. due to no dry  coke Near H02 area. Maintenance  time: 07:30-11:00 Hrs. Dry ran 11:00 to 11:30Hrs, 
Loading Stop: 17:45-20:30Hrs due to 104 Spillage Conveyor motor over load.
Loading stop: 22:39- 05:38 Hrs due to Tower314 spillage conveyor chain broken, T107spillage conveyor plate bend so remove and T117 chute hopper coke chocked</t>
  </si>
  <si>
    <t xml:space="preserve">Loading start:  At 06:15Hrs. H-01.    Dry ran: 10:00-10:30 Hrs.
Loading stop:  13:30-14:30Hrs. switch Hopper (H 01→H02)
Loading Stop: 19:00-20:00Hrs &amp; 21:45-22:15Hrs for Dry Run.
</t>
  </si>
  <si>
    <t>93% Rate/16 hrs. cycle</t>
  </si>
  <si>
    <t xml:space="preserve">Loading stop: 06:30 Hrs.Due to 118con.spillage chain damage.Mantainence time 60:30-10:30Hrs. Dry run 10:30-11:00Hrs. 
Hopper Switch Over@21:30-23:30Hrs. (H2 to H1).More time took for coke collected near H-01.
Loading  started at 00:35Hrs, delay due  to ( 23:30-23:50Hrs) CB-116/114 misaligne problem and 23:53-00:25Hrs crusher trip problem.( Crusher trip found 00:10Hrs when went for start)
Loading stopped at 03:43Hrs – 05:30Hrs due to tower -107 coke chocked
</t>
  </si>
  <si>
    <t>Loading stop: 11:40Hrs-14:50Hrs. Due to 107,115, &amp;117 Tower choke.</t>
  </si>
  <si>
    <t xml:space="preserve">Loading start: 06:15Hrs. H-01-B/F 007. Loading Stop: 07:26Hrs. due to 115 &amp; 117 Tower choke. Maintenance time: 07:30-11:30Hrs. 
Loading start:   12:00 Hrs. By H02.
</t>
  </si>
  <si>
    <t>Loading Stop: SP-3 stop at 05:50Hrs due to BC114  motor over load</t>
  </si>
  <si>
    <t xml:space="preserve">Loading stop: SP-3 BC104 stop due to E/I Problem at 01:55 to 03:47Hrs loading start.
Loading stop: 403 staiker stop at 04:27Hrs due to pull cord loading start at 05:00Hrs.
</t>
  </si>
  <si>
    <t xml:space="preserve">BF-08→BF-07: Switch over 19:00-20:00Hrs.Loading started 20:15Hrs due to SP3 stacker cable reel issue.
Loading stop: SP-3 Stop at 01:05Hrs Due to BC 118 spillage conveyor chain Brocken.
Loading start: 04:45Hrs.
</t>
  </si>
  <si>
    <t xml:space="preserve">Loading Stop: 12:10-12:40Hrs due to 116 Pull Cord Activated.
Loading Stop: 13:45-14:30Hrs for Dry run. Dry run 19:00-20:00Hrs. BF-08→BF-07: Switchover time 21:30-22:30Hrs.
Loading stop: SP- 3 BC401 Stop 22:40 To 23:20Hrs &amp; 00:10 to 00:30Hrs . 
</t>
  </si>
  <si>
    <t xml:space="preserve">Loading stop: SP-3 stop due to BC116 Pull cord at 23:15 To 00:00Hrs Loading start.
Loading stop: SP-3 stop due to BC116 Plug chute high-high.at 00:40 to 00:58Hrs Loading start.
</t>
  </si>
  <si>
    <t xml:space="preserve">Loading Stop: 06:50Hrs due to 115 tower spillage motor over load. </t>
  </si>
  <si>
    <t>Loading stop: 03:15-03:45Hrs due to CB 403 plug chute hi-hi alarm.
Loading stop: 04:25-04:45Hrs due to CB 401 pull cord.
Loading stopped 20:15-20:45Hrs due to CB118 pull cord active.</t>
  </si>
  <si>
    <t>85% Rate/16 hrs. cycle</t>
  </si>
  <si>
    <t>Loading stop: 01:00-02:20 Hrs due to CB 118 Overloading.
Loading stop: 12:25-12:50 due to 403 plug chute high high alarm.
Loading stop: SP-3 CB118 stop due to spillage chain problem at 20:20 to 21:00 Hrs (As per SP-3 DCS)
Loading stop: Due to low level and no more dry coke around hopper no.1 area.</t>
  </si>
  <si>
    <t xml:space="preserve">Loading stop: 05:00Hrs - Not have sufficient coke in H-01 area.
Hrs (sp3 operation taken trail of CSR con
</t>
  </si>
  <si>
    <t>64% Rate/16 hrs. cycle</t>
  </si>
  <si>
    <t>92-94% Rate/16 hrs. cycle</t>
  </si>
  <si>
    <t>61% Rate/16 hrs. cycle</t>
  </si>
  <si>
    <t>67% Rate/16 hrs. cycle</t>
  </si>
  <si>
    <t>66% Rate/16 hrs. cycle</t>
  </si>
  <si>
    <t>100% Rate/16 hrs. cycle</t>
  </si>
  <si>
    <t>102% Rate/14 hrs. cycle</t>
  </si>
  <si>
    <t>89% Rate/14 hrs. cycle</t>
  </si>
  <si>
    <t>93% Rate/14 hrs. cycle</t>
  </si>
  <si>
    <t>98% Rate/14 hrs. cycle</t>
  </si>
  <si>
    <t>103% Rate/14 hrs. cycle</t>
  </si>
  <si>
    <t>103% Rate/16 hrs. cycle</t>
  </si>
  <si>
    <t>92% Rate/16 hrs. cycle</t>
  </si>
  <si>
    <t>85% Rate/18 hrs. cycle</t>
  </si>
  <si>
    <t>82% Rate/18 hrs. cycle</t>
  </si>
  <si>
    <t>95% Rate/16 hrs. cycle</t>
  </si>
  <si>
    <t>90% Rate/16 hrs. cycle</t>
  </si>
  <si>
    <t>84% Rate/16 hrs. cycle</t>
  </si>
  <si>
    <t>88% Rate/16 hrs. cycle</t>
  </si>
  <si>
    <t>91% Rate/18 hrs. cycle</t>
  </si>
  <si>
    <t>96% Rate/18 hrs. cycle</t>
  </si>
  <si>
    <t>93% Rate/18 hrs. cycle</t>
  </si>
  <si>
    <t>94% Rate/16 hrs. cycle</t>
  </si>
  <si>
    <t>Production rate 90% Cycle 18 Hr</t>
  </si>
  <si>
    <t>Production rate 80% Cycle 18 Hr</t>
  </si>
  <si>
    <t>Production rate 70% Cycle 18 Hr</t>
  </si>
  <si>
    <t>Production rate 87% Cycle 18 Hr</t>
  </si>
  <si>
    <t>Production rate 92% Cycle 18 Hr</t>
  </si>
  <si>
    <t>Production rate 95% Cycle 16 Hr</t>
  </si>
  <si>
    <t>Production rate 88% Cycle 16Hr</t>
  </si>
  <si>
    <t>Production rate 98% Cycle 16Hr</t>
  </si>
  <si>
    <t>Production rate 65% Cycle 16Hr</t>
  </si>
  <si>
    <t>Production rate 102% Cycle 16Hr</t>
  </si>
  <si>
    <t>Production rate 103% Cycle 14Hr</t>
  </si>
  <si>
    <t>Production rate 93% Cycle 16Hr</t>
  </si>
  <si>
    <t>Production rate 93% Cycle 18Hr</t>
  </si>
  <si>
    <t>Production rate 65% Cycle 18Hr</t>
  </si>
  <si>
    <t>Production rate 102% Cycle 14Hr</t>
  </si>
  <si>
    <t>Production rate 60% Cycle 18Hr</t>
  </si>
  <si>
    <t>Production rate 75% Cycle 18Hr</t>
  </si>
  <si>
    <t>Production rate 96% Cycle 18Hr</t>
  </si>
  <si>
    <t>Production rate 98% Cycle 18Hr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</si>
</sst>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0_ ;[Red]\-0\ "/>
    <numFmt numFmtId="165" formatCode="0.0%"/>
    <numFmt numFmtId="166" formatCode="0.000"/>
    <numFmt numFmtId="167" formatCode="0.0"/>
    <numFmt numFmtId="168" formatCode="#,##0.0"/>
  </numFmts>
  <fonts count="103" x14ac:knownFonts="1">
    <font>
      <sz val="11"/>
      <color theme="1"/>
      <name val="Calibri"/>
      <family val="2"/>
      <charset val="128"/>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charset val="128"/>
      <scheme val="minor"/>
    </font>
    <font>
      <sz val="11"/>
      <color theme="1"/>
      <name val="Calibri"/>
      <family val="2"/>
      <scheme val="minor"/>
    </font>
    <font>
      <sz val="11"/>
      <name val="ＭＳ Ｐゴシック"/>
      <family val="3"/>
      <charset val="128"/>
    </font>
    <font>
      <sz val="11"/>
      <color theme="1"/>
      <name val="Calibri"/>
      <family val="2"/>
      <charset val="178"/>
      <scheme val="minor"/>
    </font>
    <font>
      <b/>
      <sz val="11"/>
      <color theme="0"/>
      <name val="Calibri"/>
      <family val="2"/>
      <charset val="178"/>
      <scheme val="minor"/>
    </font>
    <font>
      <sz val="6"/>
      <name val="Calibri"/>
      <family val="2"/>
      <charset val="128"/>
      <scheme val="minor"/>
    </font>
    <font>
      <sz val="11"/>
      <color theme="1"/>
      <name val="Arial Unicode MS"/>
      <family val="3"/>
      <charset val="128"/>
    </font>
    <font>
      <b/>
      <sz val="11"/>
      <color theme="1"/>
      <name val="Arial Unicode MS"/>
      <family val="3"/>
      <charset val="128"/>
    </font>
    <font>
      <sz val="10"/>
      <color theme="1"/>
      <name val="Arial Unicode MS"/>
      <family val="3"/>
      <charset val="128"/>
    </font>
    <font>
      <b/>
      <sz val="8"/>
      <color indexed="81"/>
      <name val="ＭＳ Ｐゴシック"/>
      <family val="3"/>
      <charset val="128"/>
    </font>
    <font>
      <sz val="9"/>
      <color theme="1"/>
      <name val="Arial Unicode MS"/>
      <family val="3"/>
      <charset val="128"/>
    </font>
    <font>
      <sz val="9"/>
      <color indexed="81"/>
      <name val="ＭＳ Ｐゴシック"/>
      <family val="3"/>
      <charset val="128"/>
    </font>
    <font>
      <b/>
      <sz val="9"/>
      <color indexed="81"/>
      <name val="ＭＳ Ｐゴシック"/>
      <family val="3"/>
      <charset val="128"/>
    </font>
    <font>
      <sz val="10"/>
      <color theme="1"/>
      <name val="Calibri"/>
      <family val="2"/>
      <charset val="128"/>
      <scheme val="minor"/>
    </font>
    <font>
      <sz val="11"/>
      <color theme="1"/>
      <name val="Calibri"/>
      <family val="3"/>
      <charset val="128"/>
      <scheme val="minor"/>
    </font>
    <font>
      <sz val="11"/>
      <color indexed="8"/>
      <name val="ＭＳ Ｐゴシック"/>
      <family val="3"/>
      <charset val="128"/>
    </font>
    <font>
      <u/>
      <sz val="11"/>
      <color theme="10"/>
      <name val="Calibri"/>
      <family val="3"/>
      <charset val="128"/>
      <scheme val="minor"/>
    </font>
    <font>
      <u/>
      <sz val="11"/>
      <color theme="11"/>
      <name val="Calibri"/>
      <family val="3"/>
      <charset val="128"/>
      <scheme val="minor"/>
    </font>
    <font>
      <sz val="9"/>
      <color indexed="81"/>
      <name val="Tahoma"/>
      <family val="2"/>
    </font>
    <font>
      <b/>
      <sz val="9"/>
      <color indexed="81"/>
      <name val="Tahoma"/>
      <family val="2"/>
    </font>
    <font>
      <sz val="10"/>
      <color indexed="81"/>
      <name val="Tahoma"/>
      <family val="2"/>
    </font>
    <font>
      <b/>
      <sz val="12"/>
      <color theme="1"/>
      <name val="Calibri"/>
      <family val="2"/>
      <scheme val="minor"/>
    </font>
    <font>
      <b/>
      <sz val="12"/>
      <color rgb="FF00B050"/>
      <name val="Calibri"/>
      <family val="2"/>
      <scheme val="minor"/>
    </font>
    <font>
      <b/>
      <sz val="10"/>
      <color rgb="FF0000FF"/>
      <name val="Arial Unicode MS"/>
      <family val="3"/>
      <charset val="128"/>
    </font>
    <font>
      <b/>
      <sz val="10"/>
      <color rgb="FFFFC000"/>
      <name val="Calibri"/>
      <family val="2"/>
      <scheme val="minor"/>
    </font>
    <font>
      <b/>
      <sz val="10"/>
      <color rgb="FFFF0000"/>
      <name val="Calibri"/>
      <family val="2"/>
      <scheme val="minor"/>
    </font>
    <font>
      <sz val="12"/>
      <color theme="1"/>
      <name val="Calibri"/>
      <family val="2"/>
      <charset val="128"/>
      <scheme val="minor"/>
    </font>
    <font>
      <b/>
      <sz val="12"/>
      <color theme="1"/>
      <name val="Arial Unicode MS"/>
      <family val="3"/>
      <charset val="128"/>
    </font>
    <font>
      <sz val="12"/>
      <color theme="1"/>
      <name val="Calibri"/>
      <family val="2"/>
      <scheme val="minor"/>
    </font>
    <font>
      <b/>
      <sz val="12"/>
      <color rgb="FFFF0000"/>
      <name val="Calibri"/>
      <family val="2"/>
      <scheme val="minor"/>
    </font>
    <font>
      <b/>
      <sz val="10"/>
      <color indexed="81"/>
      <name val="Tahoma"/>
      <family val="2"/>
    </font>
    <font>
      <b/>
      <sz val="12"/>
      <color indexed="81"/>
      <name val="Tahoma"/>
      <family val="2"/>
    </font>
    <font>
      <sz val="12"/>
      <color indexed="81"/>
      <name val="Tahoma"/>
      <family val="2"/>
    </font>
    <font>
      <sz val="11"/>
      <color indexed="81"/>
      <name val="Tahoma"/>
      <family val="2"/>
    </font>
    <font>
      <b/>
      <sz val="11"/>
      <color theme="1"/>
      <name val="Calibri"/>
      <family val="2"/>
      <scheme val="minor"/>
    </font>
    <font>
      <b/>
      <sz val="11"/>
      <color rgb="FFFF0000"/>
      <name val="Calibri"/>
      <family val="2"/>
      <scheme val="minor"/>
    </font>
    <font>
      <b/>
      <sz val="14"/>
      <color theme="1"/>
      <name val="Calibri"/>
      <family val="2"/>
      <scheme val="minor"/>
    </font>
    <font>
      <b/>
      <sz val="14"/>
      <name val="Calibri"/>
      <family val="2"/>
      <scheme val="minor"/>
    </font>
    <font>
      <b/>
      <sz val="14"/>
      <color theme="1"/>
      <name val="Calibri"/>
      <family val="2"/>
    </font>
    <font>
      <sz val="22"/>
      <color theme="1"/>
      <name val="Calibri"/>
      <family val="2"/>
      <charset val="128"/>
      <scheme val="minor"/>
    </font>
    <font>
      <b/>
      <sz val="16"/>
      <color theme="1"/>
      <name val="Calibri"/>
      <family val="2"/>
      <scheme val="minor"/>
    </font>
    <font>
      <sz val="11"/>
      <color theme="0"/>
      <name val="Calibri"/>
      <family val="2"/>
      <charset val="128"/>
      <scheme val="minor"/>
    </font>
    <font>
      <b/>
      <sz val="11"/>
      <color theme="0"/>
      <name val="Calibri"/>
      <family val="2"/>
      <charset val="128"/>
      <scheme val="minor"/>
    </font>
    <font>
      <sz val="14"/>
      <color theme="1"/>
      <name val="Calibri"/>
      <family val="2"/>
      <charset val="128"/>
      <scheme val="minor"/>
    </font>
    <font>
      <b/>
      <sz val="14"/>
      <color theme="1"/>
      <name val="Arial Unicode MS"/>
      <family val="3"/>
      <charset val="128"/>
    </font>
    <font>
      <sz val="10"/>
      <color theme="0" tint="-4.9989318521683403E-2"/>
      <name val="Calibri"/>
      <family val="2"/>
      <charset val="128"/>
      <scheme val="minor"/>
    </font>
    <font>
      <b/>
      <sz val="10"/>
      <color theme="0" tint="-4.9989318521683403E-2"/>
      <name val="Calibri"/>
      <family val="2"/>
      <charset val="128"/>
      <scheme val="minor"/>
    </font>
    <font>
      <sz val="11"/>
      <color theme="0" tint="-4.9989318521683403E-2"/>
      <name val="Calibri"/>
      <family val="2"/>
      <charset val="128"/>
      <scheme val="minor"/>
    </font>
    <font>
      <b/>
      <sz val="16"/>
      <name val="Calibri"/>
      <family val="2"/>
      <scheme val="minor"/>
    </font>
    <font>
      <sz val="16"/>
      <color theme="1"/>
      <name val="Calibri"/>
      <family val="2"/>
      <charset val="128"/>
      <scheme val="minor"/>
    </font>
    <font>
      <b/>
      <sz val="20"/>
      <color theme="1"/>
      <name val="Calibri"/>
      <family val="2"/>
      <scheme val="minor"/>
    </font>
    <font>
      <b/>
      <sz val="9"/>
      <color rgb="FF0000FF"/>
      <name val="Arial Unicode MS"/>
      <family val="3"/>
      <charset val="128"/>
    </font>
    <font>
      <b/>
      <sz val="11"/>
      <color rgb="FF00B050"/>
      <name val="Calibri"/>
      <family val="2"/>
      <scheme val="minor"/>
    </font>
    <font>
      <sz val="14"/>
      <name val="Calibri"/>
      <family val="2"/>
      <scheme val="minor"/>
    </font>
    <font>
      <sz val="16"/>
      <name val="Calibri"/>
      <family val="2"/>
      <scheme val="minor"/>
    </font>
    <font>
      <sz val="16"/>
      <color theme="1"/>
      <name val="Arial Unicode MS"/>
      <family val="3"/>
      <charset val="128"/>
    </font>
    <font>
      <b/>
      <sz val="12"/>
      <name val="Calibri"/>
      <family val="2"/>
      <scheme val="minor"/>
    </font>
    <font>
      <b/>
      <sz val="11"/>
      <color theme="0" tint="-0.249977111117893"/>
      <name val="Calibri"/>
      <family val="2"/>
      <scheme val="minor"/>
    </font>
    <font>
      <b/>
      <sz val="14"/>
      <color rgb="FFFF0000"/>
      <name val="Calibri"/>
      <family val="2"/>
      <scheme val="minor"/>
    </font>
    <font>
      <b/>
      <sz val="14"/>
      <color theme="1"/>
      <name val="Calibri"/>
      <family val="2"/>
      <charset val="128"/>
      <scheme val="minor"/>
    </font>
    <font>
      <sz val="12"/>
      <name val="Calibri"/>
      <family val="2"/>
      <charset val="128"/>
      <scheme val="minor"/>
    </font>
    <font>
      <b/>
      <sz val="12"/>
      <color rgb="FFFF0000"/>
      <name val="Calibri"/>
      <family val="2"/>
      <charset val="128"/>
      <scheme val="minor"/>
    </font>
    <font>
      <sz val="11"/>
      <color theme="0" tint="-0.14999847407452621"/>
      <name val="Calibri"/>
      <family val="2"/>
      <charset val="128"/>
      <scheme val="minor"/>
    </font>
    <font>
      <b/>
      <sz val="12"/>
      <color theme="1"/>
      <name val="Calibri"/>
      <family val="2"/>
      <charset val="128"/>
      <scheme val="minor"/>
    </font>
    <font>
      <b/>
      <sz val="10"/>
      <color theme="1"/>
      <name val="Calibri"/>
      <family val="2"/>
      <scheme val="minor"/>
    </font>
    <font>
      <sz val="11"/>
      <color rgb="FF000000"/>
      <name val="Calibri"/>
      <family val="2"/>
    </font>
    <font>
      <sz val="8"/>
      <color rgb="FFFF0000"/>
      <name val="Calibri"/>
      <family val="2"/>
      <charset val="128"/>
      <scheme val="minor"/>
    </font>
    <font>
      <b/>
      <sz val="11"/>
      <color rgb="FFFF0066"/>
      <name val="Calibri"/>
      <family val="2"/>
      <scheme val="minor"/>
    </font>
    <font>
      <sz val="11"/>
      <color rgb="FFFF0000"/>
      <name val="Calibri"/>
      <family val="2"/>
      <charset val="128"/>
      <scheme val="minor"/>
    </font>
    <font>
      <sz val="8"/>
      <color theme="1"/>
      <name val="Calibri"/>
      <family val="2"/>
      <charset val="128"/>
      <scheme val="minor"/>
    </font>
    <font>
      <sz val="11"/>
      <color rgb="FF000000"/>
      <name val="Calibri"/>
      <family val="2"/>
      <scheme val="minor"/>
    </font>
    <font>
      <sz val="11"/>
      <color rgb="FFFF0000"/>
      <name val="Calibri"/>
      <family val="2"/>
      <scheme val="minor"/>
    </font>
    <font>
      <b/>
      <sz val="22"/>
      <color theme="1"/>
      <name val="Calibri"/>
      <family val="2"/>
      <scheme val="minor"/>
    </font>
    <font>
      <sz val="12"/>
      <color rgb="FFFF0000"/>
      <name val="Calibri"/>
      <family val="2"/>
      <scheme val="minor"/>
    </font>
    <font>
      <sz val="12"/>
      <name val="Calibri"/>
      <family val="2"/>
      <scheme val="minor"/>
    </font>
    <font>
      <sz val="11"/>
      <name val="Calibri"/>
      <family val="2"/>
      <charset val="128"/>
      <scheme val="minor"/>
    </font>
    <font>
      <sz val="10"/>
      <color rgb="FFFF0000"/>
      <name val="Calibri"/>
      <family val="2"/>
      <charset val="128"/>
      <scheme val="minor"/>
    </font>
    <font>
      <b/>
      <sz val="14"/>
      <color rgb="FFFF0000"/>
      <name val="Calibri"/>
      <family val="2"/>
      <charset val="128"/>
      <scheme val="minor"/>
    </font>
    <font>
      <sz val="10"/>
      <color theme="1"/>
      <name val="Calibri"/>
      <family val="2"/>
    </font>
    <font>
      <b/>
      <sz val="18"/>
      <color theme="1"/>
      <name val="Calibri"/>
      <family val="2"/>
      <scheme val="minor"/>
    </font>
    <font>
      <b/>
      <sz val="11"/>
      <name val="Calibri"/>
      <family val="2"/>
      <scheme val="minor"/>
    </font>
    <font>
      <sz val="10"/>
      <color theme="1"/>
      <name val="Calibri"/>
      <family val="2"/>
      <scheme val="minor"/>
    </font>
    <font>
      <b/>
      <sz val="26"/>
      <color theme="1"/>
      <name val="Calibri"/>
      <family val="2"/>
      <scheme val="minor"/>
    </font>
    <font>
      <b/>
      <sz val="16"/>
      <color theme="1"/>
      <name val="Arial Unicode MS"/>
      <family val="3"/>
      <charset val="128"/>
    </font>
    <font>
      <b/>
      <sz val="16"/>
      <color rgb="FF000000"/>
      <name val="Calibri"/>
      <family val="2"/>
    </font>
    <font>
      <b/>
      <sz val="11"/>
      <color indexed="81"/>
      <name val="Tahoma"/>
      <family val="2"/>
    </font>
    <font>
      <sz val="12.5"/>
      <color theme="1"/>
      <name val="Calibri"/>
      <family val="2"/>
      <charset val="128"/>
      <scheme val="minor"/>
    </font>
    <font>
      <b/>
      <sz val="12.5"/>
      <color theme="1"/>
      <name val="Calibri"/>
      <family val="2"/>
      <scheme val="minor"/>
    </font>
    <font>
      <b/>
      <sz val="12.5"/>
      <name val="Calibri"/>
      <family val="2"/>
      <scheme val="minor"/>
    </font>
    <font>
      <b/>
      <sz val="12.5"/>
      <color theme="1"/>
      <name val="Calibri"/>
      <family val="2"/>
      <charset val="128"/>
      <scheme val="minor"/>
    </font>
    <font>
      <sz val="12.5"/>
      <color theme="0" tint="-4.9989318521683403E-2"/>
      <name val="Calibri"/>
      <family val="2"/>
      <charset val="128"/>
      <scheme val="minor"/>
    </font>
    <font>
      <sz val="12.5"/>
      <color rgb="FFFF0000"/>
      <name val="Calibri"/>
      <family val="2"/>
      <charset val="128"/>
      <scheme val="minor"/>
    </font>
    <font>
      <sz val="14"/>
      <color theme="1"/>
      <name val="Calibri"/>
      <family val="2"/>
      <scheme val="minor"/>
    </font>
    <font>
      <sz val="14"/>
      <color indexed="8"/>
      <name val="Calibri"/>
      <family val="2"/>
      <scheme val="minor"/>
    </font>
    <font>
      <sz val="14"/>
      <color theme="0" tint="-4.9989318521683403E-2"/>
      <name val="Calibri"/>
      <family val="2"/>
      <scheme val="minor"/>
    </font>
    <font>
      <b/>
      <sz val="14"/>
      <color theme="0" tint="-4.9989318521683403E-2"/>
      <name val="Calibri"/>
      <family val="2"/>
      <scheme val="minor"/>
    </font>
  </fonts>
  <fills count="36">
    <fill>
      <patternFill patternType="none"/>
    </fill>
    <fill>
      <patternFill patternType="gray125"/>
    </fill>
    <fill>
      <patternFill patternType="solid">
        <fgColor rgb="FFA5A5A5"/>
      </patternFill>
    </fill>
    <fill>
      <patternFill patternType="solid">
        <fgColor theme="0"/>
        <bgColor indexed="64"/>
      </patternFill>
    </fill>
    <fill>
      <patternFill patternType="solid">
        <fgColor rgb="FFFFFF00"/>
        <bgColor indexed="64"/>
      </patternFill>
    </fill>
    <fill>
      <patternFill patternType="solid">
        <fgColor indexed="9"/>
        <bgColor indexed="64"/>
      </patternFill>
    </fill>
    <fill>
      <patternFill patternType="solid">
        <fgColor rgb="FF00B0F0"/>
        <bgColor indexed="64"/>
      </patternFill>
    </fill>
    <fill>
      <patternFill patternType="solid">
        <fgColor rgb="FF92D050"/>
        <bgColor indexed="64"/>
      </patternFill>
    </fill>
    <fill>
      <patternFill patternType="solid">
        <fgColor theme="5" tint="0.79998168889431442"/>
        <bgColor indexed="64"/>
      </patternFill>
    </fill>
    <fill>
      <patternFill patternType="solid">
        <fgColor rgb="FFFFC000"/>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9" tint="0.59999389629810485"/>
        <bgColor indexed="64"/>
      </patternFill>
    </fill>
    <fill>
      <patternFill patternType="solid">
        <fgColor rgb="FFFF0000"/>
        <bgColor indexed="64"/>
      </patternFill>
    </fill>
    <fill>
      <patternFill patternType="solid">
        <fgColor theme="7" tint="0.39997558519241921"/>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rgb="FF00B050"/>
        <bgColor indexed="64"/>
      </patternFill>
    </fill>
    <fill>
      <patternFill patternType="solid">
        <fgColor rgb="FFCC66FF"/>
        <bgColor indexed="64"/>
      </patternFill>
    </fill>
    <fill>
      <patternFill patternType="solid">
        <fgColor theme="5" tint="0.59999389629810485"/>
        <bgColor indexed="64"/>
      </patternFill>
    </fill>
    <fill>
      <patternFill patternType="solid">
        <fgColor theme="0" tint="-0.249977111117893"/>
        <bgColor indexed="64"/>
      </patternFill>
    </fill>
    <fill>
      <patternFill patternType="solid">
        <fgColor theme="6" tint="0.59999389629810485"/>
        <bgColor indexed="64"/>
      </patternFill>
    </fill>
    <fill>
      <patternFill patternType="solid">
        <fgColor rgb="FFFFFFFF"/>
        <bgColor indexed="64"/>
      </patternFill>
    </fill>
    <fill>
      <patternFill patternType="solid">
        <fgColor theme="7" tint="-0.249977111117893"/>
        <bgColor indexed="64"/>
      </patternFill>
    </fill>
    <fill>
      <patternFill patternType="solid">
        <fgColor theme="6" tint="-0.249977111117893"/>
        <bgColor indexed="64"/>
      </patternFill>
    </fill>
    <fill>
      <patternFill patternType="solid">
        <fgColor rgb="FFFFFF99"/>
        <bgColor indexed="64"/>
      </patternFill>
    </fill>
    <fill>
      <patternFill patternType="solid">
        <fgColor theme="9" tint="-0.249977111117893"/>
        <bgColor indexed="64"/>
      </patternFill>
    </fill>
    <fill>
      <patternFill patternType="solid">
        <fgColor theme="2" tint="-9.9978637043366805E-2"/>
        <bgColor indexed="64"/>
      </patternFill>
    </fill>
    <fill>
      <patternFill patternType="solid">
        <fgColor theme="7" tint="0.79998168889431442"/>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rgb="FFFF00FF"/>
        <bgColor indexed="64"/>
      </patternFill>
    </fill>
    <fill>
      <patternFill patternType="solid">
        <fgColor theme="4" tint="0.79998168889431442"/>
        <bgColor indexed="64"/>
      </patternFill>
    </fill>
    <fill>
      <patternFill patternType="solid">
        <fgColor rgb="FF8DB4E2"/>
        <bgColor rgb="FF000000"/>
      </patternFill>
    </fill>
    <fill>
      <patternFill patternType="solid">
        <fgColor theme="4" tint="0.39997558519241921"/>
        <bgColor indexed="64"/>
      </patternFill>
    </fill>
  </fills>
  <borders count="77">
    <border>
      <left/>
      <right/>
      <top/>
      <bottom/>
      <diagonal/>
    </border>
    <border>
      <left style="double">
        <color rgb="FF3F3F3F"/>
      </left>
      <right style="double">
        <color rgb="FF3F3F3F"/>
      </right>
      <top style="double">
        <color rgb="FF3F3F3F"/>
      </top>
      <bottom style="double">
        <color rgb="FF3F3F3F"/>
      </bottom>
      <diagonal/>
    </border>
    <border>
      <left style="thin">
        <color auto="1"/>
      </left>
      <right style="thin">
        <color auto="1"/>
      </right>
      <top style="thin">
        <color auto="1"/>
      </top>
      <bottom style="thin">
        <color auto="1"/>
      </bottom>
      <diagonal/>
    </border>
    <border>
      <left/>
      <right/>
      <top/>
      <bottom style="thin">
        <color auto="1"/>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style="thin">
        <color auto="1"/>
      </bottom>
      <diagonal/>
    </border>
    <border>
      <left/>
      <right/>
      <top style="thin">
        <color auto="1"/>
      </top>
      <bottom/>
      <diagonal/>
    </border>
    <border>
      <left style="medium">
        <color indexed="64"/>
      </left>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bottom style="thin">
        <color auto="1"/>
      </bottom>
      <diagonal/>
    </border>
    <border>
      <left style="thin">
        <color indexed="64"/>
      </left>
      <right/>
      <top style="thin">
        <color auto="1"/>
      </top>
      <bottom/>
      <diagonal/>
    </border>
    <border>
      <left style="thin">
        <color auto="1"/>
      </left>
      <right/>
      <top/>
      <bottom/>
      <diagonal/>
    </border>
    <border>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style="thin">
        <color auto="1"/>
      </right>
      <top style="thin">
        <color auto="1"/>
      </top>
      <bottom style="thin">
        <color auto="1"/>
      </bottom>
      <diagonal/>
    </border>
    <border>
      <left/>
      <right style="double">
        <color auto="1"/>
      </right>
      <top/>
      <bottom/>
      <diagonal/>
    </border>
    <border>
      <left style="thin">
        <color auto="1"/>
      </left>
      <right style="double">
        <color auto="1"/>
      </right>
      <top style="thin">
        <color auto="1"/>
      </top>
      <bottom style="thin">
        <color auto="1"/>
      </bottom>
      <diagonal/>
    </border>
    <border>
      <left style="double">
        <color auto="1"/>
      </left>
      <right/>
      <top/>
      <bottom style="thin">
        <color auto="1"/>
      </bottom>
      <diagonal/>
    </border>
    <border>
      <left style="double">
        <color auto="1"/>
      </left>
      <right/>
      <top style="thin">
        <color auto="1"/>
      </top>
      <bottom style="thin">
        <color auto="1"/>
      </bottom>
      <diagonal/>
    </border>
    <border>
      <left style="thin">
        <color auto="1"/>
      </left>
      <right style="double">
        <color auto="1"/>
      </right>
      <top/>
      <bottom style="thin">
        <color auto="1"/>
      </bottom>
      <diagonal/>
    </border>
    <border>
      <left style="double">
        <color auto="1"/>
      </left>
      <right/>
      <top style="thin">
        <color auto="1"/>
      </top>
      <bottom style="double">
        <color auto="1"/>
      </bottom>
      <diagonal/>
    </border>
    <border>
      <left style="thin">
        <color auto="1"/>
      </left>
      <right style="thin">
        <color auto="1"/>
      </right>
      <top style="thin">
        <color auto="1"/>
      </top>
      <bottom style="double">
        <color auto="1"/>
      </bottom>
      <diagonal/>
    </border>
    <border>
      <left style="thin">
        <color auto="1"/>
      </left>
      <right style="double">
        <color auto="1"/>
      </right>
      <top style="thin">
        <color auto="1"/>
      </top>
      <bottom style="double">
        <color auto="1"/>
      </bottom>
      <diagonal/>
    </border>
    <border>
      <left style="medium">
        <color rgb="FF7F7F7F"/>
      </left>
      <right style="medium">
        <color rgb="FF7F7F7F"/>
      </right>
      <top style="medium">
        <color rgb="FF7F7F7F"/>
      </top>
      <bottom style="medium">
        <color rgb="FF7F7F7F"/>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bottom/>
      <diagonal/>
    </border>
    <border>
      <left style="thin">
        <color auto="1"/>
      </left>
      <right style="medium">
        <color indexed="64"/>
      </right>
      <top/>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top style="thin">
        <color auto="1"/>
      </top>
      <bottom style="medium">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bottom/>
      <diagonal/>
    </border>
    <border>
      <left style="medium">
        <color indexed="64"/>
      </left>
      <right style="medium">
        <color indexed="64"/>
      </right>
      <top style="thin">
        <color auto="1"/>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thin">
        <color auto="1"/>
      </left>
      <right/>
      <top style="medium">
        <color indexed="64"/>
      </top>
      <bottom style="thin">
        <color auto="1"/>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medium">
        <color indexed="64"/>
      </right>
      <top style="medium">
        <color indexed="64"/>
      </top>
      <bottom/>
      <diagonal/>
    </border>
    <border>
      <left/>
      <right style="thin">
        <color auto="1"/>
      </right>
      <top/>
      <bottom style="thin">
        <color auto="1"/>
      </bottom>
      <diagonal/>
    </border>
    <border>
      <left/>
      <right style="thin">
        <color indexed="64"/>
      </right>
      <top/>
      <bottom/>
      <diagonal/>
    </border>
    <border>
      <left style="medium">
        <color indexed="64"/>
      </left>
      <right/>
      <top style="medium">
        <color indexed="64"/>
      </top>
      <bottom style="thin">
        <color auto="1"/>
      </bottom>
      <diagonal/>
    </border>
    <border>
      <left style="medium">
        <color indexed="64"/>
      </left>
      <right/>
      <top style="thin">
        <color auto="1"/>
      </top>
      <bottom style="medium">
        <color indexed="64"/>
      </bottom>
      <diagonal/>
    </border>
    <border>
      <left/>
      <right style="medium">
        <color indexed="64"/>
      </right>
      <top style="thin">
        <color auto="1"/>
      </top>
      <bottom style="thin">
        <color auto="1"/>
      </bottom>
      <diagonal/>
    </border>
    <border>
      <left style="thin">
        <color auto="1"/>
      </left>
      <right/>
      <top style="medium">
        <color indexed="64"/>
      </top>
      <bottom style="medium">
        <color indexed="64"/>
      </bottom>
      <diagonal/>
    </border>
    <border>
      <left/>
      <right style="thin">
        <color indexed="64"/>
      </right>
      <top style="medium">
        <color indexed="64"/>
      </top>
      <bottom style="medium">
        <color indexed="64"/>
      </bottom>
      <diagonal/>
    </border>
    <border>
      <left style="thin">
        <color rgb="FF999999"/>
      </left>
      <right/>
      <top style="thin">
        <color rgb="FF999999"/>
      </top>
      <bottom/>
      <diagonal/>
    </border>
    <border>
      <left style="thin">
        <color indexed="65"/>
      </left>
      <right/>
      <top style="thin">
        <color rgb="FF999999"/>
      </top>
      <bottom/>
      <diagonal/>
    </border>
    <border>
      <left style="thin">
        <color indexed="65"/>
      </left>
      <right style="thin">
        <color rgb="FF999999"/>
      </right>
      <top style="thin">
        <color rgb="FF999999"/>
      </top>
      <bottom/>
      <diagonal/>
    </border>
    <border>
      <left style="thin">
        <color rgb="FF999999"/>
      </left>
      <right/>
      <top style="thin">
        <color indexed="65"/>
      </top>
      <bottom/>
      <diagonal/>
    </border>
    <border>
      <left style="thin">
        <color indexed="65"/>
      </left>
      <right/>
      <top style="thin">
        <color indexed="65"/>
      </top>
      <bottom/>
      <diagonal/>
    </border>
    <border>
      <left style="thin">
        <color indexed="65"/>
      </left>
      <right style="thin">
        <color rgb="FF999999"/>
      </right>
      <top style="thin">
        <color indexed="65"/>
      </top>
      <bottom/>
      <diagonal/>
    </border>
    <border>
      <left style="thin">
        <color rgb="FF999999"/>
      </left>
      <right/>
      <top style="thin">
        <color indexed="65"/>
      </top>
      <bottom style="thin">
        <color rgb="FF999999"/>
      </bottom>
      <diagonal/>
    </border>
    <border>
      <left style="thin">
        <color indexed="65"/>
      </left>
      <right/>
      <top style="thin">
        <color indexed="65"/>
      </top>
      <bottom style="thin">
        <color rgb="FF999999"/>
      </bottom>
      <diagonal/>
    </border>
    <border>
      <left style="thin">
        <color indexed="65"/>
      </left>
      <right style="thin">
        <color rgb="FF999999"/>
      </right>
      <top style="thin">
        <color indexed="65"/>
      </top>
      <bottom style="thin">
        <color rgb="FF999999"/>
      </bottom>
      <diagonal/>
    </border>
  </borders>
  <cellStyleXfs count="2308">
    <xf numFmtId="0" fontId="0" fillId="0" borderId="0">
      <alignment vertical="center"/>
    </xf>
    <xf numFmtId="0" fontId="7" fillId="0" borderId="0">
      <alignment vertical="center"/>
    </xf>
    <xf numFmtId="0" fontId="8" fillId="0" borderId="0"/>
    <xf numFmtId="0" fontId="9" fillId="0" borderId="0"/>
    <xf numFmtId="0" fontId="8" fillId="0" borderId="0"/>
    <xf numFmtId="0" fontId="10" fillId="0" borderId="0"/>
    <xf numFmtId="0" fontId="11" fillId="2" borderId="1" applyNumberFormat="0" applyAlignment="0" applyProtection="0"/>
    <xf numFmtId="0" fontId="10" fillId="0" borderId="0"/>
    <xf numFmtId="0" fontId="11" fillId="2" borderId="1" applyNumberFormat="0" applyAlignment="0" applyProtection="0"/>
    <xf numFmtId="0" fontId="21" fillId="0" borderId="0">
      <alignment vertical="center"/>
    </xf>
    <xf numFmtId="9" fontId="22" fillId="0" borderId="0" applyFont="0" applyFill="0" applyBorder="0" applyAlignment="0" applyProtection="0">
      <alignment vertical="center"/>
    </xf>
    <xf numFmtId="38" fontId="22" fillId="0" borderId="0" applyFon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43" fontId="21" fillId="0" borderId="0" applyFont="0" applyFill="0" applyBorder="0" applyAlignment="0" applyProtection="0"/>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43" fontId="21" fillId="0" borderId="0" applyFont="0" applyFill="0" applyBorder="0" applyAlignment="0" applyProtection="0"/>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43" fontId="21" fillId="0" borderId="0" applyFont="0" applyFill="0" applyBorder="0" applyAlignment="0" applyProtection="0"/>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43" fontId="21" fillId="0" borderId="0" applyFont="0" applyFill="0" applyBorder="0" applyAlignment="0" applyProtection="0"/>
    <xf numFmtId="0" fontId="7" fillId="0" borderId="0">
      <alignment vertical="center"/>
    </xf>
    <xf numFmtId="0" fontId="23" fillId="0" borderId="0" applyNumberFormat="0" applyFill="0" applyBorder="0" applyAlignment="0" applyProtection="0">
      <alignment vertical="center"/>
    </xf>
    <xf numFmtId="0" fontId="6" fillId="0" borderId="0"/>
    <xf numFmtId="0" fontId="23" fillId="0" borderId="0" applyNumberFormat="0" applyFill="0" applyBorder="0" applyAlignment="0" applyProtection="0">
      <alignment vertical="center"/>
    </xf>
    <xf numFmtId="0" fontId="6" fillId="0" borderId="0"/>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43" fontId="21" fillId="0" borderId="0" applyFont="0" applyFill="0" applyBorder="0" applyAlignment="0" applyProtection="0"/>
    <xf numFmtId="0" fontId="6" fillId="0" borderId="0"/>
    <xf numFmtId="0" fontId="6" fillId="0" borderId="0"/>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43" fontId="21" fillId="0" borderId="0" applyFont="0" applyFill="0" applyBorder="0" applyAlignment="0" applyProtection="0"/>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43" fontId="21" fillId="0" borderId="0" applyFont="0" applyFill="0" applyBorder="0" applyAlignment="0" applyProtection="0"/>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43" fontId="21" fillId="0" borderId="0" applyFont="0" applyFill="0" applyBorder="0" applyAlignment="0" applyProtection="0"/>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43" fontId="21" fillId="0" borderId="0" applyFont="0" applyFill="0" applyBorder="0" applyAlignment="0" applyProtection="0"/>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43" fontId="21" fillId="0" borderId="0" applyFont="0" applyFill="0" applyBorder="0" applyAlignment="0" applyProtection="0"/>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43" fontId="21" fillId="0" borderId="0" applyFont="0" applyFill="0" applyBorder="0" applyAlignment="0" applyProtection="0"/>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43" fontId="21" fillId="0" borderId="0" applyFont="0" applyFill="0" applyBorder="0" applyAlignment="0" applyProtection="0"/>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43" fontId="21" fillId="0" borderId="0" applyFont="0" applyFill="0" applyBorder="0" applyAlignment="0" applyProtection="0"/>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43" fontId="21" fillId="0" borderId="0" applyFont="0" applyFill="0" applyBorder="0" applyAlignment="0" applyProtection="0"/>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43" fontId="21" fillId="0" borderId="0" applyFont="0" applyFill="0" applyBorder="0" applyAlignment="0" applyProtection="0"/>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43" fontId="21" fillId="0" borderId="0" applyFont="0" applyFill="0" applyBorder="0" applyAlignment="0" applyProtection="0"/>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9" fontId="7" fillId="0" borderId="0" applyFont="0" applyFill="0" applyBorder="0" applyAlignment="0" applyProtection="0"/>
    <xf numFmtId="0" fontId="5" fillId="0" borderId="0"/>
    <xf numFmtId="0" fontId="5" fillId="0" borderId="0"/>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5" fillId="0" borderId="0"/>
    <xf numFmtId="0" fontId="23" fillId="0" borderId="0" applyNumberFormat="0" applyFill="0" applyBorder="0" applyAlignment="0" applyProtection="0">
      <alignment vertical="center"/>
    </xf>
    <xf numFmtId="0" fontId="5" fillId="0" borderId="0"/>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5" fillId="0" borderId="0"/>
    <xf numFmtId="0" fontId="5" fillId="0" borderId="0"/>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 fillId="0" borderId="0"/>
    <xf numFmtId="0" fontId="1" fillId="0" borderId="0"/>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 fillId="0" borderId="0"/>
    <xf numFmtId="0" fontId="23" fillId="0" borderId="0" applyNumberFormat="0" applyFill="0" applyBorder="0" applyAlignment="0" applyProtection="0">
      <alignment vertical="center"/>
    </xf>
    <xf numFmtId="0" fontId="1" fillId="0" borderId="0"/>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 fillId="0" borderId="0"/>
    <xf numFmtId="0" fontId="1" fillId="0" borderId="0"/>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 fillId="0" borderId="0"/>
    <xf numFmtId="0" fontId="1" fillId="0" borderId="0"/>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 fillId="0" borderId="0"/>
    <xf numFmtId="0" fontId="23" fillId="0" borderId="0" applyNumberFormat="0" applyFill="0" applyBorder="0" applyAlignment="0" applyProtection="0">
      <alignment vertical="center"/>
    </xf>
    <xf numFmtId="0" fontId="1" fillId="0" borderId="0"/>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 fillId="0" borderId="0"/>
    <xf numFmtId="0" fontId="1" fillId="0" borderId="0"/>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cellStyleXfs>
  <cellXfs count="1322">
    <xf numFmtId="0" fontId="0" fillId="0" borderId="0" xfId="0">
      <alignment vertical="center"/>
    </xf>
    <xf numFmtId="0" fontId="0" fillId="3" borderId="0" xfId="0" applyFill="1">
      <alignment vertical="center"/>
    </xf>
    <xf numFmtId="0" fontId="14" fillId="3" borderId="0" xfId="0" applyFont="1" applyFill="1">
      <alignment vertical="center"/>
    </xf>
    <xf numFmtId="0" fontId="13" fillId="3" borderId="0" xfId="0" applyFont="1" applyFill="1">
      <alignment vertical="center"/>
    </xf>
    <xf numFmtId="0" fontId="15" fillId="3" borderId="0" xfId="0" applyFont="1" applyFill="1">
      <alignment vertical="center"/>
    </xf>
    <xf numFmtId="0" fontId="15" fillId="3" borderId="0" xfId="0" applyFont="1" applyFill="1" applyAlignment="1">
      <alignment horizontal="left" vertical="center"/>
    </xf>
    <xf numFmtId="0" fontId="17" fillId="3" borderId="0" xfId="0" applyFont="1" applyFill="1">
      <alignment vertical="center"/>
    </xf>
    <xf numFmtId="0" fontId="0" fillId="3" borderId="0" xfId="0" applyFill="1" applyBorder="1" applyAlignment="1">
      <alignment vertical="center"/>
    </xf>
    <xf numFmtId="0" fontId="0" fillId="3" borderId="6" xfId="0" applyFill="1" applyBorder="1" applyAlignment="1">
      <alignment vertical="center"/>
    </xf>
    <xf numFmtId="0" fontId="0" fillId="3" borderId="3" xfId="0" applyFill="1" applyBorder="1" applyAlignment="1">
      <alignment vertical="center"/>
    </xf>
    <xf numFmtId="0" fontId="20" fillId="3" borderId="0" xfId="0" applyFont="1" applyFill="1">
      <alignment vertical="center"/>
    </xf>
    <xf numFmtId="38" fontId="34" fillId="3" borderId="2" xfId="0" applyNumberFormat="1" applyFont="1" applyFill="1" applyBorder="1" applyAlignment="1">
      <alignment horizontal="right" vertical="center"/>
    </xf>
    <xf numFmtId="38" fontId="34" fillId="4" borderId="2" xfId="0" applyNumberFormat="1" applyFont="1" applyFill="1" applyBorder="1" applyAlignment="1">
      <alignment horizontal="right" vertical="center"/>
    </xf>
    <xf numFmtId="38" fontId="34" fillId="6" borderId="2" xfId="0" applyNumberFormat="1" applyFont="1" applyFill="1" applyBorder="1" applyAlignment="1">
      <alignment horizontal="right" vertical="center"/>
    </xf>
    <xf numFmtId="20" fontId="0" fillId="0" borderId="0" xfId="0" applyNumberFormat="1">
      <alignment vertical="center"/>
    </xf>
    <xf numFmtId="0" fontId="0" fillId="0" borderId="2" xfId="0" applyBorder="1" applyAlignment="1">
      <alignment horizontal="center" vertical="center"/>
    </xf>
    <xf numFmtId="20" fontId="0" fillId="0" borderId="2" xfId="0" applyNumberFormat="1" applyBorder="1" applyAlignment="1">
      <alignment horizontal="center" vertical="center"/>
    </xf>
    <xf numFmtId="0" fontId="0" fillId="9" borderId="2" xfId="0" applyFill="1" applyBorder="1" applyAlignment="1">
      <alignment horizontal="center" vertical="center"/>
    </xf>
    <xf numFmtId="0" fontId="0" fillId="4" borderId="2" xfId="0" applyFill="1" applyBorder="1" applyAlignment="1">
      <alignment horizontal="center" vertical="center"/>
    </xf>
    <xf numFmtId="0" fontId="0" fillId="7" borderId="2" xfId="0" applyFill="1" applyBorder="1" applyAlignment="1">
      <alignment horizontal="center" vertical="center"/>
    </xf>
    <xf numFmtId="1" fontId="0" fillId="10" borderId="2" xfId="0" applyNumberFormat="1" applyFill="1" applyBorder="1" applyAlignment="1">
      <alignment horizontal="center" vertical="center"/>
    </xf>
    <xf numFmtId="15" fontId="0" fillId="0" borderId="2" xfId="0" applyNumberFormat="1" applyBorder="1" applyAlignment="1">
      <alignment horizontal="center" vertical="center"/>
    </xf>
    <xf numFmtId="0" fontId="0" fillId="8" borderId="2" xfId="0" applyFill="1" applyBorder="1" applyAlignment="1">
      <alignment horizontal="center" vertical="center"/>
    </xf>
    <xf numFmtId="38" fontId="0" fillId="0" borderId="0" xfId="0" applyNumberFormat="1">
      <alignment vertical="center"/>
    </xf>
    <xf numFmtId="0" fontId="41" fillId="4" borderId="0" xfId="0" applyFont="1" applyFill="1" applyBorder="1" applyAlignment="1">
      <alignment vertical="center"/>
    </xf>
    <xf numFmtId="0" fontId="41" fillId="11" borderId="0" xfId="0" applyFont="1" applyFill="1" applyBorder="1" applyAlignment="1">
      <alignment vertical="center"/>
    </xf>
    <xf numFmtId="38" fontId="34" fillId="7" borderId="2" xfId="0" applyNumberFormat="1" applyFont="1" applyFill="1" applyBorder="1" applyAlignment="1">
      <alignment horizontal="right" vertical="center"/>
    </xf>
    <xf numFmtId="16" fontId="33" fillId="3" borderId="15" xfId="0" applyNumberFormat="1" applyFont="1" applyFill="1" applyBorder="1">
      <alignment vertical="center"/>
    </xf>
    <xf numFmtId="16" fontId="33" fillId="13" borderId="15" xfId="0" applyNumberFormat="1" applyFont="1" applyFill="1" applyBorder="1" applyAlignment="1">
      <alignment horizontal="center" vertical="center"/>
    </xf>
    <xf numFmtId="16" fontId="33" fillId="12" borderId="15" xfId="0" applyNumberFormat="1" applyFont="1" applyFill="1" applyBorder="1" applyAlignment="1">
      <alignment horizontal="center" vertical="center"/>
    </xf>
    <xf numFmtId="16" fontId="33" fillId="7" borderId="15" xfId="0" applyNumberFormat="1" applyFont="1" applyFill="1" applyBorder="1" applyAlignment="1">
      <alignment horizontal="center" vertical="center"/>
    </xf>
    <xf numFmtId="0" fontId="0" fillId="3" borderId="2" xfId="0" applyFill="1" applyBorder="1">
      <alignment vertical="center"/>
    </xf>
    <xf numFmtId="9" fontId="44" fillId="6" borderId="2" xfId="0" applyNumberFormat="1" applyFont="1" applyFill="1" applyBorder="1" applyAlignment="1">
      <alignment horizontal="center" vertical="center"/>
    </xf>
    <xf numFmtId="0" fontId="44" fillId="3" borderId="3" xfId="0" applyFont="1" applyFill="1" applyBorder="1" applyAlignment="1">
      <alignment vertical="center"/>
    </xf>
    <xf numFmtId="165" fontId="44" fillId="6" borderId="2" xfId="0" applyNumberFormat="1" applyFont="1" applyFill="1" applyBorder="1" applyAlignment="1">
      <alignment horizontal="center" vertical="center"/>
    </xf>
    <xf numFmtId="166" fontId="42" fillId="4" borderId="0" xfId="0" applyNumberFormat="1" applyFont="1" applyFill="1" applyBorder="1" applyAlignment="1">
      <alignment vertical="center"/>
    </xf>
    <xf numFmtId="16" fontId="33" fillId="16" borderId="15" xfId="0" applyNumberFormat="1" applyFont="1" applyFill="1" applyBorder="1" applyAlignment="1">
      <alignment horizontal="center" vertical="center"/>
    </xf>
    <xf numFmtId="16" fontId="33" fillId="17" borderId="15" xfId="0" applyNumberFormat="1" applyFont="1" applyFill="1" applyBorder="1" applyAlignment="1">
      <alignment horizontal="center" vertical="center"/>
    </xf>
    <xf numFmtId="0" fontId="0" fillId="0" borderId="2" xfId="0" applyBorder="1" applyAlignment="1">
      <alignment horizontal="center" vertical="center"/>
    </xf>
    <xf numFmtId="15" fontId="0" fillId="0" borderId="2" xfId="0" applyNumberFormat="1" applyBorder="1" applyAlignment="1">
      <alignment horizontal="center" vertical="center"/>
    </xf>
    <xf numFmtId="0" fontId="0" fillId="0" borderId="2" xfId="0" applyBorder="1" applyAlignment="1">
      <alignment horizontal="center" vertical="center"/>
    </xf>
    <xf numFmtId="15" fontId="0" fillId="0" borderId="2" xfId="0" applyNumberFormat="1" applyBorder="1" applyAlignment="1">
      <alignment horizontal="center" vertical="center"/>
    </xf>
    <xf numFmtId="0" fontId="0" fillId="0" borderId="2" xfId="0" applyBorder="1" applyAlignment="1">
      <alignment horizontal="center" vertical="center"/>
    </xf>
    <xf numFmtId="15" fontId="0" fillId="0" borderId="2" xfId="0" applyNumberFormat="1" applyBorder="1" applyAlignment="1">
      <alignment horizontal="center" vertical="center"/>
    </xf>
    <xf numFmtId="0" fontId="0" fillId="0" borderId="2" xfId="0" applyBorder="1" applyAlignment="1">
      <alignment horizontal="center" vertical="center"/>
    </xf>
    <xf numFmtId="15" fontId="0" fillId="0" borderId="2" xfId="0" applyNumberFormat="1" applyBorder="1" applyAlignment="1">
      <alignment horizontal="center" vertical="center"/>
    </xf>
    <xf numFmtId="0" fontId="0" fillId="0" borderId="2" xfId="0" applyFill="1" applyBorder="1" applyAlignment="1">
      <alignment horizontal="center" vertical="center"/>
    </xf>
    <xf numFmtId="0" fontId="0" fillId="0" borderId="2" xfId="0" applyBorder="1" applyAlignment="1">
      <alignment horizontal="center" vertical="center"/>
    </xf>
    <xf numFmtId="15" fontId="0" fillId="0" borderId="2" xfId="0" applyNumberFormat="1" applyBorder="1" applyAlignment="1">
      <alignment horizontal="center" vertical="center"/>
    </xf>
    <xf numFmtId="0" fontId="0" fillId="0" borderId="2" xfId="0" applyBorder="1" applyAlignment="1">
      <alignment horizontal="center" vertical="center"/>
    </xf>
    <xf numFmtId="0" fontId="0" fillId="0" borderId="2" xfId="0" applyBorder="1">
      <alignment vertical="center"/>
    </xf>
    <xf numFmtId="0" fontId="0" fillId="0" borderId="2" xfId="0" applyFill="1" applyBorder="1">
      <alignment vertical="center"/>
    </xf>
    <xf numFmtId="0" fontId="0" fillId="0" borderId="2" xfId="0" applyBorder="1" applyAlignment="1">
      <alignment horizontal="center" vertical="center"/>
    </xf>
    <xf numFmtId="0" fontId="0" fillId="0" borderId="2" xfId="0" applyBorder="1" applyAlignment="1">
      <alignment horizontal="center" vertical="center"/>
    </xf>
    <xf numFmtId="15" fontId="0" fillId="0" borderId="2" xfId="0" applyNumberFormat="1" applyBorder="1" applyAlignment="1">
      <alignment horizontal="center" vertical="center"/>
    </xf>
    <xf numFmtId="0" fontId="0" fillId="0" borderId="2" xfId="0" applyBorder="1" applyAlignment="1">
      <alignment horizontal="center" vertical="center"/>
    </xf>
    <xf numFmtId="15" fontId="0" fillId="0" borderId="2" xfId="0" applyNumberFormat="1" applyBorder="1" applyAlignment="1">
      <alignment horizontal="center" vertical="center"/>
    </xf>
    <xf numFmtId="0" fontId="0" fillId="0" borderId="2" xfId="0" applyBorder="1" applyAlignment="1">
      <alignment horizontal="center" vertical="center"/>
    </xf>
    <xf numFmtId="15" fontId="0" fillId="0" borderId="2" xfId="0" applyNumberFormat="1" applyBorder="1" applyAlignment="1">
      <alignment horizontal="center" vertical="center"/>
    </xf>
    <xf numFmtId="0" fontId="0" fillId="0" borderId="16" xfId="0" applyFill="1" applyBorder="1" applyAlignment="1">
      <alignment horizontal="center" vertical="center"/>
    </xf>
    <xf numFmtId="0" fontId="0" fillId="0" borderId="16" xfId="0" applyFill="1" applyBorder="1">
      <alignment vertical="center"/>
    </xf>
    <xf numFmtId="0" fontId="0" fillId="0" borderId="14" xfId="0" applyBorder="1" applyAlignment="1">
      <alignment horizontal="center" vertical="center"/>
    </xf>
    <xf numFmtId="15" fontId="0" fillId="0" borderId="14" xfId="0" applyNumberFormat="1" applyBorder="1" applyAlignment="1">
      <alignment horizontal="center" vertical="center"/>
    </xf>
    <xf numFmtId="0" fontId="0" fillId="0" borderId="2" xfId="0" applyBorder="1" applyAlignment="1">
      <alignment horizontal="center" vertical="center"/>
    </xf>
    <xf numFmtId="15" fontId="0" fillId="0" borderId="2" xfId="0" applyNumberFormat="1" applyBorder="1" applyAlignment="1">
      <alignment horizontal="center" vertical="center"/>
    </xf>
    <xf numFmtId="0" fontId="0" fillId="0" borderId="2" xfId="0" applyBorder="1" applyAlignment="1">
      <alignment horizontal="center" vertical="center"/>
    </xf>
    <xf numFmtId="15" fontId="0" fillId="0" borderId="2" xfId="0" applyNumberFormat="1" applyBorder="1" applyAlignment="1">
      <alignment horizontal="center" vertical="center"/>
    </xf>
    <xf numFmtId="0" fontId="0" fillId="0" borderId="2" xfId="0" applyBorder="1" applyAlignment="1">
      <alignment horizontal="center" vertical="center"/>
    </xf>
    <xf numFmtId="15" fontId="0" fillId="0" borderId="2" xfId="0" applyNumberFormat="1" applyBorder="1" applyAlignment="1">
      <alignment horizontal="center" vertical="center"/>
    </xf>
    <xf numFmtId="0" fontId="0" fillId="0" borderId="2" xfId="0" applyBorder="1" applyAlignment="1">
      <alignment horizontal="center" vertical="center"/>
    </xf>
    <xf numFmtId="15" fontId="0" fillId="0" borderId="2" xfId="0" applyNumberFormat="1" applyBorder="1" applyAlignment="1">
      <alignment horizontal="center" vertical="center"/>
    </xf>
    <xf numFmtId="0" fontId="0" fillId="0" borderId="2" xfId="0" applyBorder="1" applyAlignment="1">
      <alignment horizontal="center" vertical="center"/>
    </xf>
    <xf numFmtId="15" fontId="0" fillId="0" borderId="2" xfId="0" applyNumberFormat="1" applyBorder="1" applyAlignment="1">
      <alignment horizontal="center" vertical="center"/>
    </xf>
    <xf numFmtId="0" fontId="0" fillId="0" borderId="2" xfId="0" applyBorder="1" applyAlignment="1">
      <alignment horizontal="center" vertical="center"/>
    </xf>
    <xf numFmtId="15" fontId="0" fillId="0" borderId="2" xfId="0" applyNumberFormat="1" applyBorder="1" applyAlignment="1">
      <alignment horizontal="center" vertical="center"/>
    </xf>
    <xf numFmtId="0" fontId="0" fillId="0" borderId="2" xfId="0" applyBorder="1" applyAlignment="1">
      <alignment horizontal="center" vertical="center"/>
    </xf>
    <xf numFmtId="15" fontId="0" fillId="0" borderId="2" xfId="0" applyNumberFormat="1" applyBorder="1" applyAlignment="1">
      <alignment horizontal="center" vertical="center"/>
    </xf>
    <xf numFmtId="0" fontId="0" fillId="0" borderId="2" xfId="0" applyBorder="1" applyAlignment="1">
      <alignment horizontal="center" vertical="center"/>
    </xf>
    <xf numFmtId="15" fontId="0" fillId="0" borderId="2" xfId="0" applyNumberFormat="1" applyBorder="1" applyAlignment="1">
      <alignment horizontal="center" vertical="center"/>
    </xf>
    <xf numFmtId="0" fontId="0" fillId="0" borderId="2" xfId="0" applyBorder="1" applyAlignment="1">
      <alignment horizontal="center" vertical="center"/>
    </xf>
    <xf numFmtId="15" fontId="0" fillId="0" borderId="2" xfId="0" applyNumberFormat="1" applyBorder="1" applyAlignment="1">
      <alignment horizontal="center" vertical="center"/>
    </xf>
    <xf numFmtId="0" fontId="0" fillId="0" borderId="2" xfId="0" applyBorder="1" applyAlignment="1">
      <alignment horizontal="center" vertical="center"/>
    </xf>
    <xf numFmtId="15" fontId="0" fillId="0" borderId="2" xfId="0" applyNumberFormat="1" applyBorder="1" applyAlignment="1">
      <alignment horizontal="center" vertical="center"/>
    </xf>
    <xf numFmtId="0" fontId="0" fillId="0" borderId="2" xfId="0" applyBorder="1" applyAlignment="1">
      <alignment horizontal="center" vertical="center"/>
    </xf>
    <xf numFmtId="15" fontId="0" fillId="0" borderId="2" xfId="0" applyNumberFormat="1" applyBorder="1" applyAlignment="1">
      <alignment horizontal="center" vertical="center"/>
    </xf>
    <xf numFmtId="0" fontId="0" fillId="0" borderId="2" xfId="0" applyBorder="1" applyAlignment="1">
      <alignment horizontal="center" vertical="center"/>
    </xf>
    <xf numFmtId="15" fontId="0" fillId="0" borderId="2" xfId="0" applyNumberFormat="1" applyBorder="1" applyAlignment="1">
      <alignment horizontal="center" vertical="center"/>
    </xf>
    <xf numFmtId="0" fontId="0" fillId="0" borderId="2" xfId="0" applyBorder="1" applyAlignment="1">
      <alignment horizontal="center" vertical="center"/>
    </xf>
    <xf numFmtId="15" fontId="0" fillId="0" borderId="2" xfId="0" applyNumberFormat="1" applyBorder="1" applyAlignment="1">
      <alignment horizontal="center" vertical="center"/>
    </xf>
    <xf numFmtId="0" fontId="0" fillId="0" borderId="2" xfId="0" applyBorder="1" applyAlignment="1">
      <alignment horizontal="center" vertical="center"/>
    </xf>
    <xf numFmtId="15" fontId="0" fillId="0" borderId="2" xfId="0" applyNumberFormat="1" applyBorder="1" applyAlignment="1">
      <alignment horizontal="center" vertical="center"/>
    </xf>
    <xf numFmtId="0" fontId="0" fillId="0" borderId="2" xfId="0" applyBorder="1" applyAlignment="1">
      <alignment horizontal="center" vertical="center"/>
    </xf>
    <xf numFmtId="15" fontId="0" fillId="0" borderId="2" xfId="0" applyNumberFormat="1" applyBorder="1" applyAlignment="1">
      <alignment horizontal="center" vertical="center"/>
    </xf>
    <xf numFmtId="0" fontId="0" fillId="0" borderId="2" xfId="0" applyBorder="1" applyAlignment="1">
      <alignment horizontal="center" vertical="center"/>
    </xf>
    <xf numFmtId="15" fontId="0" fillId="0" borderId="2" xfId="0" applyNumberFormat="1" applyBorder="1" applyAlignment="1">
      <alignment horizontal="center" vertical="center"/>
    </xf>
    <xf numFmtId="0" fontId="0" fillId="0" borderId="2" xfId="0" applyBorder="1" applyAlignment="1">
      <alignment horizontal="center" vertical="center"/>
    </xf>
    <xf numFmtId="15" fontId="0" fillId="0" borderId="2" xfId="0" applyNumberFormat="1" applyBorder="1" applyAlignment="1">
      <alignment horizontal="center" vertical="center"/>
    </xf>
    <xf numFmtId="0" fontId="0" fillId="0" borderId="14" xfId="0" applyFill="1" applyBorder="1" applyAlignment="1">
      <alignment horizontal="center" vertical="center"/>
    </xf>
    <xf numFmtId="0" fontId="0" fillId="0" borderId="14" xfId="0" applyFill="1" applyBorder="1">
      <alignment vertical="center"/>
    </xf>
    <xf numFmtId="0" fontId="0" fillId="0" borderId="2" xfId="0" applyBorder="1" applyAlignment="1">
      <alignment horizontal="center" vertical="center"/>
    </xf>
    <xf numFmtId="15" fontId="0" fillId="0" borderId="2" xfId="0" applyNumberFormat="1" applyBorder="1" applyAlignment="1">
      <alignment horizontal="center" vertical="center"/>
    </xf>
    <xf numFmtId="0" fontId="0" fillId="0" borderId="2" xfId="0" applyBorder="1" applyAlignment="1">
      <alignment horizontal="center" vertical="center"/>
    </xf>
    <xf numFmtId="15" fontId="0" fillId="0" borderId="2" xfId="0" applyNumberFormat="1" applyBorder="1" applyAlignment="1">
      <alignment horizontal="center" vertical="center"/>
    </xf>
    <xf numFmtId="167" fontId="0" fillId="4" borderId="2" xfId="0" applyNumberFormat="1" applyFill="1" applyBorder="1" applyAlignment="1">
      <alignment horizontal="center" vertical="center"/>
    </xf>
    <xf numFmtId="0" fontId="0" fillId="0" borderId="2" xfId="0" applyBorder="1" applyAlignment="1">
      <alignment horizontal="center" vertical="center"/>
    </xf>
    <xf numFmtId="15" fontId="0" fillId="0" borderId="2" xfId="0" applyNumberFormat="1" applyBorder="1" applyAlignment="1">
      <alignment horizontal="center" vertical="center"/>
    </xf>
    <xf numFmtId="0" fontId="0" fillId="0" borderId="2" xfId="0" applyBorder="1" applyAlignment="1">
      <alignment horizontal="center" vertical="center"/>
    </xf>
    <xf numFmtId="15" fontId="0" fillId="0" borderId="2" xfId="0" applyNumberFormat="1" applyBorder="1" applyAlignment="1">
      <alignment horizontal="center" vertical="center"/>
    </xf>
    <xf numFmtId="167" fontId="0" fillId="7" borderId="2" xfId="0" applyNumberFormat="1" applyFill="1" applyBorder="1" applyAlignment="1">
      <alignment horizontal="center" vertical="center"/>
    </xf>
    <xf numFmtId="167" fontId="0" fillId="0" borderId="0" xfId="0" applyNumberFormat="1">
      <alignment vertical="center"/>
    </xf>
    <xf numFmtId="0" fontId="0" fillId="0" borderId="2" xfId="0" applyBorder="1" applyAlignment="1">
      <alignment horizontal="center" vertical="center"/>
    </xf>
    <xf numFmtId="15" fontId="0" fillId="0" borderId="2" xfId="0" applyNumberFormat="1" applyBorder="1" applyAlignment="1">
      <alignment horizontal="center" vertical="center"/>
    </xf>
    <xf numFmtId="9" fontId="0" fillId="3" borderId="2" xfId="597" applyFont="1" applyFill="1" applyBorder="1" applyAlignment="1">
      <alignment vertical="center"/>
    </xf>
    <xf numFmtId="9" fontId="43" fillId="3" borderId="2" xfId="597" applyFont="1" applyFill="1" applyBorder="1" applyAlignment="1">
      <alignment horizontal="center" vertical="center"/>
    </xf>
    <xf numFmtId="9" fontId="44" fillId="3" borderId="2" xfId="597" applyFont="1" applyFill="1" applyBorder="1" applyAlignment="1">
      <alignment horizontal="center" vertical="center"/>
    </xf>
    <xf numFmtId="9" fontId="44" fillId="15" borderId="2" xfId="597" applyFont="1" applyFill="1" applyBorder="1" applyAlignment="1">
      <alignment horizontal="center" vertical="center"/>
    </xf>
    <xf numFmtId="38" fontId="34" fillId="18" borderId="2" xfId="0" applyNumberFormat="1" applyFont="1" applyFill="1" applyBorder="1" applyAlignment="1">
      <alignment horizontal="right" vertical="center"/>
    </xf>
    <xf numFmtId="167" fontId="0" fillId="4" borderId="14" xfId="0" applyNumberFormat="1" applyFill="1" applyBorder="1" applyAlignment="1">
      <alignment horizontal="center" vertical="center"/>
    </xf>
    <xf numFmtId="15" fontId="0" fillId="0" borderId="12" xfId="0" applyNumberFormat="1" applyBorder="1" applyAlignment="1">
      <alignment horizontal="center" vertical="center"/>
    </xf>
    <xf numFmtId="167" fontId="0" fillId="4" borderId="20" xfId="0" applyNumberFormat="1" applyFill="1" applyBorder="1" applyAlignment="1">
      <alignment horizontal="center" vertical="center"/>
    </xf>
    <xf numFmtId="0" fontId="0" fillId="0" borderId="15" xfId="0" applyFill="1" applyBorder="1" applyAlignment="1">
      <alignment horizontal="center" vertical="center"/>
    </xf>
    <xf numFmtId="3" fontId="0" fillId="0" borderId="0" xfId="0" applyNumberFormat="1">
      <alignment vertical="center"/>
    </xf>
    <xf numFmtId="0" fontId="0" fillId="0" borderId="2" xfId="0" applyBorder="1" applyAlignment="1">
      <alignment horizontal="center" vertical="center"/>
    </xf>
    <xf numFmtId="15" fontId="0" fillId="0" borderId="2" xfId="0" applyNumberFormat="1" applyBorder="1" applyAlignment="1">
      <alignment horizontal="center" vertical="center"/>
    </xf>
    <xf numFmtId="20" fontId="0" fillId="0" borderId="0" xfId="0" applyNumberFormat="1" applyAlignment="1">
      <alignment horizontal="center" vertical="center"/>
    </xf>
    <xf numFmtId="20" fontId="0" fillId="0" borderId="14" xfId="0" applyNumberFormat="1" applyBorder="1" applyAlignment="1">
      <alignment horizontal="center" vertical="center"/>
    </xf>
    <xf numFmtId="20" fontId="0" fillId="0" borderId="15" xfId="0" applyNumberFormat="1" applyBorder="1" applyAlignment="1">
      <alignment horizontal="center" vertical="center"/>
    </xf>
    <xf numFmtId="20" fontId="0" fillId="0" borderId="2" xfId="0" applyNumberFormat="1" applyFill="1" applyBorder="1" applyAlignment="1">
      <alignment horizontal="center" vertical="center"/>
    </xf>
    <xf numFmtId="9" fontId="0" fillId="0" borderId="0" xfId="597" applyFont="1" applyAlignment="1">
      <alignment vertical="center"/>
    </xf>
    <xf numFmtId="0" fontId="0" fillId="0" borderId="2" xfId="0" applyBorder="1" applyAlignment="1">
      <alignment horizontal="center" vertical="center"/>
    </xf>
    <xf numFmtId="15" fontId="0" fillId="0" borderId="2" xfId="0" applyNumberFormat="1" applyBorder="1" applyAlignment="1">
      <alignment horizontal="center" vertical="center"/>
    </xf>
    <xf numFmtId="0" fontId="0" fillId="0" borderId="2" xfId="0" applyBorder="1" applyAlignment="1">
      <alignment horizontal="center" vertical="center"/>
    </xf>
    <xf numFmtId="15" fontId="0" fillId="0" borderId="2" xfId="0" applyNumberFormat="1" applyBorder="1" applyAlignment="1">
      <alignment horizontal="center" vertical="center"/>
    </xf>
    <xf numFmtId="0" fontId="0" fillId="0" borderId="2" xfId="0" applyBorder="1" applyAlignment="1">
      <alignment horizontal="center" vertical="center"/>
    </xf>
    <xf numFmtId="15" fontId="0" fillId="0" borderId="2" xfId="0" applyNumberFormat="1" applyBorder="1" applyAlignment="1">
      <alignment horizontal="center" vertical="center"/>
    </xf>
    <xf numFmtId="0" fontId="0" fillId="0" borderId="2" xfId="0" applyBorder="1" applyAlignment="1">
      <alignment horizontal="center" vertical="center"/>
    </xf>
    <xf numFmtId="15" fontId="0" fillId="0" borderId="2" xfId="0" applyNumberFormat="1" applyBorder="1" applyAlignment="1">
      <alignment horizontal="center" vertical="center"/>
    </xf>
    <xf numFmtId="0" fontId="48" fillId="0" borderId="0" xfId="0" applyFont="1">
      <alignment vertical="center"/>
    </xf>
    <xf numFmtId="1" fontId="49" fillId="4" borderId="0" xfId="0" applyNumberFormat="1" applyFont="1" applyFill="1" applyBorder="1" applyAlignment="1">
      <alignment vertical="center"/>
    </xf>
    <xf numFmtId="0" fontId="49" fillId="4" borderId="0" xfId="0" applyFont="1" applyFill="1" applyBorder="1" applyAlignment="1">
      <alignment vertical="center"/>
    </xf>
    <xf numFmtId="0" fontId="49" fillId="11" borderId="0" xfId="0" applyFont="1" applyFill="1" applyBorder="1" applyAlignment="1">
      <alignment vertical="center"/>
    </xf>
    <xf numFmtId="166" fontId="49" fillId="4" borderId="0" xfId="0" applyNumberFormat="1" applyFont="1" applyFill="1" applyBorder="1" applyAlignment="1">
      <alignment vertical="center"/>
    </xf>
    <xf numFmtId="3" fontId="50" fillId="0" borderId="2" xfId="0" applyNumberFormat="1" applyFont="1" applyBorder="1" applyAlignment="1">
      <alignment horizontal="center" vertical="center"/>
    </xf>
    <xf numFmtId="38" fontId="43" fillId="9" borderId="2" xfId="0" applyNumberFormat="1" applyFont="1" applyFill="1" applyBorder="1" applyAlignment="1">
      <alignment horizontal="center" vertical="center"/>
    </xf>
    <xf numFmtId="0" fontId="50" fillId="0" borderId="2" xfId="0" applyFont="1" applyBorder="1" applyAlignment="1">
      <alignment horizontal="center" vertical="center"/>
    </xf>
    <xf numFmtId="165" fontId="44" fillId="6" borderId="12" xfId="0" applyNumberFormat="1" applyFont="1" applyFill="1" applyBorder="1" applyAlignment="1">
      <alignment horizontal="center" vertical="center"/>
    </xf>
    <xf numFmtId="16" fontId="33" fillId="13" borderId="17" xfId="0" applyNumberFormat="1" applyFont="1" applyFill="1" applyBorder="1" applyAlignment="1">
      <alignment horizontal="center" vertical="center"/>
    </xf>
    <xf numFmtId="38" fontId="34" fillId="3" borderId="12" xfId="0" applyNumberFormat="1" applyFont="1" applyFill="1" applyBorder="1" applyAlignment="1">
      <alignment horizontal="right" vertical="center"/>
    </xf>
    <xf numFmtId="16" fontId="33" fillId="16" borderId="2" xfId="0" applyNumberFormat="1" applyFont="1" applyFill="1" applyBorder="1" applyAlignment="1">
      <alignment horizontal="center" vertical="center"/>
    </xf>
    <xf numFmtId="16" fontId="33" fillId="7" borderId="2" xfId="0" applyNumberFormat="1" applyFont="1" applyFill="1" applyBorder="1" applyAlignment="1">
      <alignment horizontal="center" vertical="center"/>
    </xf>
    <xf numFmtId="0" fontId="50" fillId="0" borderId="2" xfId="0" applyFont="1" applyFill="1" applyBorder="1" applyAlignment="1">
      <alignment horizontal="center" vertical="center"/>
    </xf>
    <xf numFmtId="0" fontId="0" fillId="0" borderId="2" xfId="0" applyBorder="1" applyAlignment="1">
      <alignment horizontal="center" vertical="center"/>
    </xf>
    <xf numFmtId="15" fontId="0" fillId="0" borderId="2" xfId="0" applyNumberFormat="1" applyBorder="1" applyAlignment="1">
      <alignment horizontal="center" vertical="center"/>
    </xf>
    <xf numFmtId="0" fontId="0" fillId="0" borderId="2" xfId="0" applyBorder="1" applyAlignment="1">
      <alignment horizontal="center" vertical="center"/>
    </xf>
    <xf numFmtId="15" fontId="0" fillId="0" borderId="2" xfId="0" applyNumberFormat="1" applyBorder="1" applyAlignment="1">
      <alignment horizontal="center" vertical="center"/>
    </xf>
    <xf numFmtId="0" fontId="0" fillId="0" borderId="15" xfId="0" applyBorder="1">
      <alignment vertical="center"/>
    </xf>
    <xf numFmtId="0" fontId="47" fillId="7" borderId="23" xfId="0" applyFont="1" applyFill="1" applyBorder="1" applyAlignment="1">
      <alignment vertical="center" wrapText="1"/>
    </xf>
    <xf numFmtId="0" fontId="0" fillId="0" borderId="2" xfId="0" applyBorder="1" applyAlignment="1">
      <alignment horizontal="center" vertical="center"/>
    </xf>
    <xf numFmtId="15" fontId="0" fillId="0" borderId="2" xfId="0" applyNumberFormat="1" applyBorder="1" applyAlignment="1">
      <alignment horizontal="center" vertical="center"/>
    </xf>
    <xf numFmtId="0" fontId="0" fillId="0" borderId="2" xfId="0" applyBorder="1" applyAlignment="1">
      <alignment horizontal="center" vertical="center"/>
    </xf>
    <xf numFmtId="15" fontId="0" fillId="0" borderId="2" xfId="0" applyNumberFormat="1" applyBorder="1" applyAlignment="1">
      <alignment horizontal="center" vertical="center"/>
    </xf>
    <xf numFmtId="15" fontId="0" fillId="0" borderId="2" xfId="0" applyNumberFormat="1" applyBorder="1" applyAlignment="1">
      <alignment horizontal="center" vertical="center"/>
    </xf>
    <xf numFmtId="15" fontId="0" fillId="0" borderId="2" xfId="0" applyNumberFormat="1" applyBorder="1" applyAlignment="1">
      <alignment horizontal="center" vertical="center"/>
    </xf>
    <xf numFmtId="38" fontId="34" fillId="3" borderId="2" xfId="0" applyNumberFormat="1" applyFont="1" applyFill="1" applyBorder="1" applyAlignment="1">
      <alignment horizontal="center" vertical="center"/>
    </xf>
    <xf numFmtId="38" fontId="51" fillId="3" borderId="2" xfId="0" applyNumberFormat="1" applyFont="1" applyFill="1" applyBorder="1" applyAlignment="1">
      <alignment horizontal="center" vertical="center"/>
    </xf>
    <xf numFmtId="16" fontId="50" fillId="13" borderId="2" xfId="0" applyNumberFormat="1" applyFont="1" applyFill="1" applyBorder="1" applyAlignment="1">
      <alignment horizontal="center" vertical="center"/>
    </xf>
    <xf numFmtId="16" fontId="50" fillId="16" borderId="2" xfId="0" applyNumberFormat="1" applyFont="1" applyFill="1" applyBorder="1" applyAlignment="1">
      <alignment horizontal="center" vertical="center"/>
    </xf>
    <xf numFmtId="15" fontId="0" fillId="0" borderId="2" xfId="0" applyNumberFormat="1" applyBorder="1" applyAlignment="1">
      <alignment horizontal="center" vertical="center"/>
    </xf>
    <xf numFmtId="0" fontId="0" fillId="0" borderId="2" xfId="0" applyBorder="1" applyAlignment="1">
      <alignment horizontal="center" vertical="center"/>
    </xf>
    <xf numFmtId="15" fontId="0" fillId="0" borderId="2" xfId="0" applyNumberFormat="1" applyBorder="1" applyAlignment="1">
      <alignment horizontal="center" vertical="center"/>
    </xf>
    <xf numFmtId="0" fontId="52" fillId="3" borderId="0" xfId="0" applyFont="1" applyFill="1">
      <alignment vertical="center"/>
    </xf>
    <xf numFmtId="0" fontId="54" fillId="3" borderId="0" xfId="0" applyFont="1" applyFill="1">
      <alignment vertical="center"/>
    </xf>
    <xf numFmtId="0" fontId="0" fillId="0" borderId="2" xfId="0" applyBorder="1" applyAlignment="1">
      <alignment horizontal="center" vertical="center"/>
    </xf>
    <xf numFmtId="15" fontId="0" fillId="0" borderId="2" xfId="0" applyNumberFormat="1" applyBorder="1" applyAlignment="1">
      <alignment horizontal="center" vertical="center"/>
    </xf>
    <xf numFmtId="167" fontId="0" fillId="0" borderId="2" xfId="0" applyNumberFormat="1" applyBorder="1" applyAlignment="1">
      <alignment horizontal="center" vertical="center"/>
    </xf>
    <xf numFmtId="15" fontId="0" fillId="0" borderId="2" xfId="0" applyNumberFormat="1" applyBorder="1" applyAlignment="1">
      <alignment horizontal="center" vertical="center"/>
    </xf>
    <xf numFmtId="0" fontId="0" fillId="0" borderId="2" xfId="0" applyBorder="1" applyAlignment="1">
      <alignment horizontal="center" vertical="center"/>
    </xf>
    <xf numFmtId="15" fontId="0" fillId="0" borderId="2" xfId="0" applyNumberFormat="1" applyBorder="1" applyAlignment="1">
      <alignment horizontal="center" vertical="center"/>
    </xf>
    <xf numFmtId="0" fontId="0" fillId="0" borderId="2" xfId="0" applyBorder="1" applyAlignment="1">
      <alignment horizontal="center" vertical="center"/>
    </xf>
    <xf numFmtId="15" fontId="0" fillId="0" borderId="2" xfId="0" applyNumberFormat="1" applyBorder="1" applyAlignment="1">
      <alignment horizontal="center" vertical="center"/>
    </xf>
    <xf numFmtId="3" fontId="50" fillId="0" borderId="2" xfId="0" applyNumberFormat="1" applyFont="1" applyFill="1" applyBorder="1" applyAlignment="1">
      <alignment horizontal="center" vertical="center"/>
    </xf>
    <xf numFmtId="0" fontId="0" fillId="0" borderId="13" xfId="0" applyBorder="1" applyAlignment="1">
      <alignment horizontal="center" vertical="center"/>
    </xf>
    <xf numFmtId="20" fontId="0" fillId="0" borderId="12" xfId="0" applyNumberFormat="1" applyBorder="1" applyAlignment="1">
      <alignment horizontal="center" vertical="center"/>
    </xf>
    <xf numFmtId="0" fontId="0" fillId="0" borderId="2" xfId="0" applyBorder="1" applyAlignment="1">
      <alignment horizontal="center" vertical="center"/>
    </xf>
    <xf numFmtId="15" fontId="0" fillId="0" borderId="2" xfId="0" applyNumberFormat="1" applyBorder="1" applyAlignment="1">
      <alignment horizontal="center" vertical="center"/>
    </xf>
    <xf numFmtId="0" fontId="0" fillId="0" borderId="2" xfId="0" applyBorder="1" applyAlignment="1">
      <alignment horizontal="center" vertical="center"/>
    </xf>
    <xf numFmtId="15" fontId="0" fillId="0" borderId="2" xfId="0" applyNumberFormat="1" applyBorder="1" applyAlignment="1">
      <alignment horizontal="center" vertical="center"/>
    </xf>
    <xf numFmtId="0" fontId="44" fillId="3" borderId="16" xfId="0" applyFont="1" applyFill="1" applyBorder="1" applyAlignment="1">
      <alignment horizontal="center" vertical="center"/>
    </xf>
    <xf numFmtId="15" fontId="0" fillId="0" borderId="2" xfId="0" applyNumberFormat="1" applyBorder="1" applyAlignment="1">
      <alignment horizontal="center" vertical="center"/>
    </xf>
    <xf numFmtId="15" fontId="0" fillId="0" borderId="2" xfId="0" applyNumberFormat="1" applyBorder="1" applyAlignment="1">
      <alignment horizontal="center" vertical="center"/>
    </xf>
    <xf numFmtId="15" fontId="0" fillId="0" borderId="2" xfId="0" applyNumberFormat="1" applyBorder="1" applyAlignment="1">
      <alignment horizontal="center" vertical="center"/>
    </xf>
    <xf numFmtId="0" fontId="44" fillId="13" borderId="16" xfId="0" applyFont="1" applyFill="1" applyBorder="1" applyAlignment="1">
      <alignment horizontal="center" vertical="center"/>
    </xf>
    <xf numFmtId="15" fontId="0" fillId="0" borderId="2" xfId="0" applyNumberFormat="1" applyBorder="1" applyAlignment="1">
      <alignment horizontal="center" vertical="center"/>
    </xf>
    <xf numFmtId="0" fontId="43" fillId="18" borderId="16" xfId="0" applyFont="1" applyFill="1" applyBorder="1" applyAlignment="1">
      <alignment horizontal="center" vertical="center"/>
    </xf>
    <xf numFmtId="0" fontId="0" fillId="0" borderId="2" xfId="0" applyBorder="1" applyAlignment="1">
      <alignment horizontal="center" vertical="center"/>
    </xf>
    <xf numFmtId="15" fontId="0" fillId="0" borderId="2" xfId="0" applyNumberFormat="1" applyBorder="1" applyAlignment="1">
      <alignment horizontal="center" vertical="center"/>
    </xf>
    <xf numFmtId="15" fontId="0" fillId="0" borderId="2" xfId="0" applyNumberFormat="1" applyBorder="1" applyAlignment="1">
      <alignment horizontal="center" vertical="center"/>
    </xf>
    <xf numFmtId="167" fontId="0" fillId="0" borderId="2" xfId="0" applyNumberFormat="1" applyBorder="1">
      <alignment vertical="center"/>
    </xf>
    <xf numFmtId="0" fontId="44" fillId="7" borderId="16" xfId="0" applyFont="1" applyFill="1" applyBorder="1" applyAlignment="1">
      <alignment horizontal="center" vertical="center"/>
    </xf>
    <xf numFmtId="0" fontId="0" fillId="0" borderId="2" xfId="0" applyBorder="1" applyAlignment="1">
      <alignment horizontal="center" vertical="center"/>
    </xf>
    <xf numFmtId="15" fontId="0" fillId="0" borderId="2" xfId="0" applyNumberFormat="1" applyBorder="1" applyAlignment="1">
      <alignment horizontal="center" vertical="center"/>
    </xf>
    <xf numFmtId="3" fontId="0" fillId="4" borderId="2" xfId="0" applyNumberFormat="1" applyFill="1" applyBorder="1" applyAlignment="1">
      <alignment horizontal="center" vertical="center"/>
    </xf>
    <xf numFmtId="15" fontId="0" fillId="0" borderId="2" xfId="0" applyNumberFormat="1" applyBorder="1" applyAlignment="1">
      <alignment horizontal="center" vertical="center"/>
    </xf>
    <xf numFmtId="15" fontId="0" fillId="0" borderId="2" xfId="0" applyNumberFormat="1" applyBorder="1" applyAlignment="1">
      <alignment horizontal="center" vertical="center"/>
    </xf>
    <xf numFmtId="16" fontId="33" fillId="13" borderId="2" xfId="0" applyNumberFormat="1" applyFont="1" applyFill="1" applyBorder="1" applyAlignment="1">
      <alignment horizontal="center" vertical="center"/>
    </xf>
    <xf numFmtId="15" fontId="0" fillId="0" borderId="2" xfId="0" applyNumberFormat="1" applyBorder="1" applyAlignment="1">
      <alignment horizontal="center" vertical="center"/>
    </xf>
    <xf numFmtId="15" fontId="0" fillId="0" borderId="2" xfId="0" applyNumberFormat="1" applyBorder="1" applyAlignment="1">
      <alignment horizontal="center" vertical="center"/>
    </xf>
    <xf numFmtId="15" fontId="0" fillId="0" borderId="2" xfId="0" applyNumberFormat="1" applyBorder="1" applyAlignment="1">
      <alignment horizontal="center" vertical="center"/>
    </xf>
    <xf numFmtId="0" fontId="0" fillId="0" borderId="2" xfId="0" applyBorder="1" applyAlignment="1">
      <alignment horizontal="center" vertical="center"/>
    </xf>
    <xf numFmtId="15" fontId="0" fillId="0" borderId="2" xfId="0" applyNumberFormat="1" applyBorder="1" applyAlignment="1">
      <alignment horizontal="center" vertical="center"/>
    </xf>
    <xf numFmtId="0" fontId="0" fillId="0" borderId="2" xfId="0" applyBorder="1" applyAlignment="1">
      <alignment horizontal="center" vertical="center"/>
    </xf>
    <xf numFmtId="15" fontId="0" fillId="0" borderId="2" xfId="0" applyNumberFormat="1" applyBorder="1" applyAlignment="1">
      <alignment horizontal="center" vertical="center"/>
    </xf>
    <xf numFmtId="0" fontId="0" fillId="0" borderId="2" xfId="0" applyBorder="1" applyAlignment="1">
      <alignment horizontal="center" vertical="center"/>
    </xf>
    <xf numFmtId="15" fontId="0" fillId="0" borderId="2" xfId="0" applyNumberFormat="1" applyBorder="1" applyAlignment="1">
      <alignment horizontal="center" vertical="center"/>
    </xf>
    <xf numFmtId="0" fontId="0" fillId="0" borderId="15" xfId="0" applyBorder="1" applyAlignment="1">
      <alignment horizontal="center" vertical="center"/>
    </xf>
    <xf numFmtId="0" fontId="0" fillId="0" borderId="2" xfId="0" applyBorder="1" applyAlignment="1">
      <alignment horizontal="center" vertical="center"/>
    </xf>
    <xf numFmtId="15" fontId="0" fillId="0" borderId="2" xfId="0" applyNumberFormat="1" applyBorder="1" applyAlignment="1">
      <alignment horizontal="center" vertical="center"/>
    </xf>
    <xf numFmtId="0" fontId="0" fillId="0" borderId="2" xfId="0" applyBorder="1" applyAlignment="1">
      <alignment horizontal="center" vertical="center"/>
    </xf>
    <xf numFmtId="15" fontId="0" fillId="0" borderId="2" xfId="0" applyNumberFormat="1" applyBorder="1" applyAlignment="1">
      <alignment horizontal="center" vertical="center"/>
    </xf>
    <xf numFmtId="15" fontId="0" fillId="0" borderId="2" xfId="0" applyNumberFormat="1" applyBorder="1" applyAlignment="1">
      <alignment horizontal="center" vertical="center"/>
    </xf>
    <xf numFmtId="15" fontId="0" fillId="0" borderId="2" xfId="0" applyNumberFormat="1" applyBorder="1" applyAlignment="1">
      <alignment horizontal="center" vertical="center"/>
    </xf>
    <xf numFmtId="15" fontId="0" fillId="0" borderId="2" xfId="0" applyNumberFormat="1" applyBorder="1" applyAlignment="1">
      <alignment horizontal="center" vertical="center"/>
    </xf>
    <xf numFmtId="15" fontId="0" fillId="0" borderId="2" xfId="0" applyNumberFormat="1" applyBorder="1" applyAlignment="1">
      <alignment horizontal="center" vertical="center"/>
    </xf>
    <xf numFmtId="0" fontId="0" fillId="0" borderId="2" xfId="0" applyBorder="1" applyAlignment="1">
      <alignment horizontal="center" vertical="center"/>
    </xf>
    <xf numFmtId="15" fontId="0" fillId="0" borderId="2" xfId="0" applyNumberFormat="1" applyBorder="1" applyAlignment="1">
      <alignment horizontal="center" vertical="center"/>
    </xf>
    <xf numFmtId="0" fontId="0" fillId="0" borderId="2" xfId="0" applyBorder="1" applyAlignment="1">
      <alignment horizontal="center" vertical="center"/>
    </xf>
    <xf numFmtId="15" fontId="0" fillId="0" borderId="2" xfId="0" applyNumberFormat="1" applyBorder="1" applyAlignment="1">
      <alignment horizontal="center" vertical="center"/>
    </xf>
    <xf numFmtId="0" fontId="0" fillId="0" borderId="2" xfId="0" applyBorder="1" applyAlignment="1">
      <alignment horizontal="center" vertical="center"/>
    </xf>
    <xf numFmtId="15" fontId="0" fillId="0" borderId="2" xfId="0" applyNumberFormat="1" applyBorder="1" applyAlignment="1">
      <alignment horizontal="center" vertical="center"/>
    </xf>
    <xf numFmtId="15" fontId="0" fillId="0" borderId="2" xfId="0" applyNumberFormat="1" applyBorder="1" applyAlignment="1">
      <alignment horizontal="center" vertical="center"/>
    </xf>
    <xf numFmtId="0" fontId="0" fillId="0" borderId="2" xfId="0" applyBorder="1" applyAlignment="1">
      <alignment horizontal="center" vertical="center"/>
    </xf>
    <xf numFmtId="15" fontId="0" fillId="0" borderId="2" xfId="0" applyNumberFormat="1" applyBorder="1" applyAlignment="1">
      <alignment horizontal="center" vertical="center"/>
    </xf>
    <xf numFmtId="15" fontId="0" fillId="0" borderId="2" xfId="0" applyNumberFormat="1" applyBorder="1" applyAlignment="1">
      <alignment horizontal="center" vertical="center"/>
    </xf>
    <xf numFmtId="0" fontId="28" fillId="0" borderId="0" xfId="0" applyFont="1" applyAlignment="1">
      <alignment vertical="center"/>
    </xf>
    <xf numFmtId="0" fontId="0" fillId="0" borderId="2" xfId="0" applyBorder="1" applyAlignment="1">
      <alignment horizontal="center" vertical="center"/>
    </xf>
    <xf numFmtId="15" fontId="0" fillId="0" borderId="2" xfId="0" applyNumberFormat="1" applyBorder="1" applyAlignment="1">
      <alignment horizontal="center" vertical="center"/>
    </xf>
    <xf numFmtId="0" fontId="0" fillId="0" borderId="2" xfId="0" applyBorder="1" applyAlignment="1">
      <alignment horizontal="center" vertical="center"/>
    </xf>
    <xf numFmtId="15" fontId="0" fillId="0" borderId="2" xfId="0" applyNumberFormat="1" applyBorder="1" applyAlignment="1">
      <alignment horizontal="center" vertical="center"/>
    </xf>
    <xf numFmtId="0" fontId="0" fillId="0" borderId="2" xfId="0" applyBorder="1" applyAlignment="1">
      <alignment horizontal="center" vertical="center"/>
    </xf>
    <xf numFmtId="15" fontId="0" fillId="0" borderId="2" xfId="0" applyNumberFormat="1" applyBorder="1" applyAlignment="1">
      <alignment horizontal="center" vertical="center"/>
    </xf>
    <xf numFmtId="0" fontId="0" fillId="0" borderId="2" xfId="0" applyBorder="1" applyAlignment="1">
      <alignment horizontal="center" vertical="center"/>
    </xf>
    <xf numFmtId="15" fontId="0" fillId="0" borderId="2" xfId="0" applyNumberFormat="1" applyBorder="1" applyAlignment="1">
      <alignment horizontal="center" vertical="center"/>
    </xf>
    <xf numFmtId="0" fontId="0" fillId="0" borderId="2" xfId="0" applyBorder="1" applyAlignment="1">
      <alignment horizontal="center" vertical="center"/>
    </xf>
    <xf numFmtId="15" fontId="0" fillId="0" borderId="2" xfId="0" applyNumberFormat="1" applyBorder="1" applyAlignment="1">
      <alignment horizontal="center" vertical="center"/>
    </xf>
    <xf numFmtId="15" fontId="0" fillId="0" borderId="2" xfId="0" applyNumberFormat="1" applyBorder="1" applyAlignment="1">
      <alignment horizontal="center" vertical="center"/>
    </xf>
    <xf numFmtId="15" fontId="0" fillId="0" borderId="2" xfId="0" applyNumberFormat="1" applyBorder="1" applyAlignment="1">
      <alignment horizontal="center" vertical="center"/>
    </xf>
    <xf numFmtId="15" fontId="0" fillId="0" borderId="2" xfId="0" applyNumberFormat="1" applyBorder="1" applyAlignment="1">
      <alignment horizontal="center" vertical="center"/>
    </xf>
    <xf numFmtId="0" fontId="0" fillId="0" borderId="2" xfId="0" applyBorder="1" applyAlignment="1">
      <alignment horizontal="center" vertical="center"/>
    </xf>
    <xf numFmtId="15" fontId="0" fillId="0" borderId="2" xfId="0" applyNumberFormat="1" applyBorder="1" applyAlignment="1">
      <alignment horizontal="center" vertical="center"/>
    </xf>
    <xf numFmtId="15" fontId="0" fillId="4" borderId="2" xfId="0" applyNumberFormat="1" applyFill="1" applyBorder="1" applyAlignment="1">
      <alignment horizontal="center" vertical="center"/>
    </xf>
    <xf numFmtId="15" fontId="0" fillId="0" borderId="2" xfId="0" applyNumberFormat="1" applyBorder="1" applyAlignment="1">
      <alignment horizontal="center" vertical="center"/>
    </xf>
    <xf numFmtId="15" fontId="0" fillId="0" borderId="2" xfId="0" applyNumberFormat="1" applyBorder="1" applyAlignment="1">
      <alignment horizontal="center" vertical="center"/>
    </xf>
    <xf numFmtId="0" fontId="0" fillId="0" borderId="2" xfId="0" applyBorder="1" applyAlignment="1">
      <alignment horizontal="center" vertical="center"/>
    </xf>
    <xf numFmtId="15" fontId="0" fillId="0" borderId="2" xfId="0" applyNumberFormat="1" applyBorder="1" applyAlignment="1">
      <alignment horizontal="center" vertical="center"/>
    </xf>
    <xf numFmtId="167" fontId="4" fillId="4" borderId="2" xfId="0" applyNumberFormat="1" applyFont="1" applyFill="1" applyBorder="1" applyAlignment="1">
      <alignment horizontal="center" vertical="center"/>
    </xf>
    <xf numFmtId="0" fontId="0" fillId="0" borderId="2" xfId="0" applyBorder="1" applyAlignment="1">
      <alignment horizontal="center" vertical="center"/>
    </xf>
    <xf numFmtId="15" fontId="0" fillId="0" borderId="2" xfId="0" applyNumberFormat="1" applyBorder="1" applyAlignment="1">
      <alignment horizontal="center" vertical="center"/>
    </xf>
    <xf numFmtId="0" fontId="0" fillId="0" borderId="0" xfId="0" applyAlignment="1">
      <alignment horizontal="center" vertical="center"/>
    </xf>
    <xf numFmtId="0" fontId="0" fillId="0" borderId="2" xfId="0" applyBorder="1" applyAlignment="1">
      <alignment horizontal="center" vertical="center"/>
    </xf>
    <xf numFmtId="15" fontId="0" fillId="0" borderId="2" xfId="0" applyNumberFormat="1" applyBorder="1" applyAlignment="1">
      <alignment horizontal="center" vertical="center"/>
    </xf>
    <xf numFmtId="0" fontId="0" fillId="0" borderId="2" xfId="0" applyBorder="1" applyAlignment="1">
      <alignment horizontal="center" vertical="center"/>
    </xf>
    <xf numFmtId="15" fontId="0" fillId="0" borderId="2" xfId="0" applyNumberFormat="1" applyBorder="1" applyAlignment="1">
      <alignment horizontal="center" vertical="center"/>
    </xf>
    <xf numFmtId="0" fontId="0" fillId="0" borderId="2" xfId="0" applyBorder="1" applyAlignment="1">
      <alignment horizontal="center" vertical="center"/>
    </xf>
    <xf numFmtId="15" fontId="0" fillId="0" borderId="2" xfId="0" applyNumberFormat="1" applyBorder="1" applyAlignment="1">
      <alignment horizontal="center" vertical="center"/>
    </xf>
    <xf numFmtId="0" fontId="0" fillId="0" borderId="2" xfId="0" applyBorder="1" applyAlignment="1">
      <alignment horizontal="center" vertical="center"/>
    </xf>
    <xf numFmtId="15" fontId="0" fillId="0" borderId="2" xfId="0" applyNumberFormat="1" applyBorder="1" applyAlignment="1">
      <alignment horizontal="center" vertical="center"/>
    </xf>
    <xf numFmtId="0" fontId="0" fillId="0" borderId="2" xfId="0" applyBorder="1" applyAlignment="1">
      <alignment horizontal="center" vertical="center"/>
    </xf>
    <xf numFmtId="15" fontId="0" fillId="0" borderId="2" xfId="0" applyNumberFormat="1" applyBorder="1" applyAlignment="1">
      <alignment horizontal="center" vertical="center"/>
    </xf>
    <xf numFmtId="0" fontId="0" fillId="0" borderId="2" xfId="0" applyBorder="1" applyAlignment="1">
      <alignment horizontal="center" vertical="center"/>
    </xf>
    <xf numFmtId="15" fontId="0" fillId="0" borderId="2" xfId="0" applyNumberFormat="1" applyBorder="1" applyAlignment="1">
      <alignment horizontal="center" vertical="center"/>
    </xf>
    <xf numFmtId="0" fontId="43" fillId="0" borderId="31" xfId="0" applyFont="1" applyBorder="1" applyAlignment="1">
      <alignment horizontal="center" vertical="center" wrapText="1"/>
    </xf>
    <xf numFmtId="0" fontId="28" fillId="6" borderId="31" xfId="0" applyFont="1" applyFill="1" applyBorder="1" applyAlignment="1">
      <alignment horizontal="center" vertical="center" wrapText="1"/>
    </xf>
    <xf numFmtId="165" fontId="44" fillId="6" borderId="33" xfId="0" applyNumberFormat="1" applyFont="1" applyFill="1" applyBorder="1" applyAlignment="1">
      <alignment horizontal="center" vertical="center"/>
    </xf>
    <xf numFmtId="0" fontId="0" fillId="3" borderId="34" xfId="0" applyFill="1" applyBorder="1" applyAlignment="1">
      <alignment horizontal="center" vertical="center" wrapText="1"/>
    </xf>
    <xf numFmtId="16" fontId="50" fillId="13" borderId="33" xfId="0" applyNumberFormat="1" applyFont="1" applyFill="1" applyBorder="1" applyAlignment="1">
      <alignment horizontal="center" vertical="center"/>
    </xf>
    <xf numFmtId="0" fontId="31" fillId="3" borderId="35" xfId="0" applyFont="1" applyFill="1" applyBorder="1" applyAlignment="1">
      <alignment horizontal="center" vertical="center" wrapText="1"/>
    </xf>
    <xf numFmtId="0" fontId="32" fillId="8" borderId="37" xfId="0" applyFont="1" applyFill="1" applyBorder="1" applyAlignment="1">
      <alignment horizontal="center" vertical="center" wrapText="1"/>
    </xf>
    <xf numFmtId="38" fontId="36" fillId="8" borderId="38" xfId="0" applyNumberFormat="1" applyFont="1" applyFill="1" applyBorder="1" applyAlignment="1">
      <alignment horizontal="center" vertical="center"/>
    </xf>
    <xf numFmtId="38" fontId="36" fillId="8" borderId="39" xfId="0" applyNumberFormat="1" applyFont="1" applyFill="1" applyBorder="1" applyAlignment="1">
      <alignment horizontal="center" vertical="center"/>
    </xf>
    <xf numFmtId="0" fontId="58" fillId="3" borderId="35" xfId="0" applyFont="1" applyFill="1" applyBorder="1" applyAlignment="1">
      <alignment horizontal="center" vertical="center" wrapText="1"/>
    </xf>
    <xf numFmtId="0" fontId="59" fillId="3" borderId="35" xfId="0" applyFont="1" applyFill="1" applyBorder="1" applyAlignment="1">
      <alignment horizontal="left" vertical="center" wrapText="1"/>
    </xf>
    <xf numFmtId="0" fontId="60" fillId="3" borderId="16" xfId="0" applyFont="1" applyFill="1" applyBorder="1" applyAlignment="1">
      <alignment horizontal="center" vertical="center"/>
    </xf>
    <xf numFmtId="0" fontId="61" fillId="3" borderId="15" xfId="0" applyFont="1" applyFill="1" applyBorder="1" applyAlignment="1">
      <alignment horizontal="center" vertical="center"/>
    </xf>
    <xf numFmtId="0" fontId="61" fillId="7" borderId="15" xfId="0" applyFont="1" applyFill="1" applyBorder="1" applyAlignment="1">
      <alignment horizontal="center" vertical="center"/>
    </xf>
    <xf numFmtId="0" fontId="61" fillId="4" borderId="15" xfId="0" applyFont="1" applyFill="1" applyBorder="1" applyAlignment="1">
      <alignment horizontal="center" vertical="center"/>
    </xf>
    <xf numFmtId="0" fontId="61" fillId="7" borderId="36" xfId="0" applyFont="1" applyFill="1" applyBorder="1" applyAlignment="1">
      <alignment horizontal="center" vertical="center"/>
    </xf>
    <xf numFmtId="1" fontId="62" fillId="3" borderId="2" xfId="0" applyNumberFormat="1" applyFont="1" applyFill="1" applyBorder="1" applyAlignment="1">
      <alignment horizontal="center" vertical="center"/>
    </xf>
    <xf numFmtId="1" fontId="62" fillId="3" borderId="33" xfId="0" applyNumberFormat="1" applyFont="1" applyFill="1" applyBorder="1" applyAlignment="1">
      <alignment horizontal="center" vertical="center"/>
    </xf>
    <xf numFmtId="1" fontId="56" fillId="0" borderId="2" xfId="0" applyNumberFormat="1" applyFont="1" applyFill="1" applyBorder="1" applyAlignment="1">
      <alignment horizontal="center" vertical="center"/>
    </xf>
    <xf numFmtId="1" fontId="56" fillId="0" borderId="33" xfId="0" applyNumberFormat="1" applyFont="1" applyFill="1" applyBorder="1" applyAlignment="1">
      <alignment horizontal="center" vertical="center"/>
    </xf>
    <xf numFmtId="0" fontId="0" fillId="0" borderId="2" xfId="0" applyBorder="1" applyAlignment="1">
      <alignment horizontal="center" vertical="center"/>
    </xf>
    <xf numFmtId="15" fontId="0" fillId="0" borderId="2" xfId="0" applyNumberFormat="1" applyBorder="1" applyAlignment="1">
      <alignment horizontal="center" vertical="center"/>
    </xf>
    <xf numFmtId="0" fontId="0" fillId="0" borderId="2" xfId="0" applyBorder="1" applyAlignment="1">
      <alignment horizontal="center" vertical="center"/>
    </xf>
    <xf numFmtId="15" fontId="0" fillId="0" borderId="2" xfId="0" applyNumberFormat="1" applyBorder="1" applyAlignment="1">
      <alignment horizontal="center" vertical="center"/>
    </xf>
    <xf numFmtId="0" fontId="0" fillId="0" borderId="2" xfId="0" applyBorder="1" applyAlignment="1">
      <alignment horizontal="center" vertical="center"/>
    </xf>
    <xf numFmtId="15" fontId="0" fillId="0" borderId="2" xfId="0" applyNumberFormat="1" applyBorder="1" applyAlignment="1">
      <alignment horizontal="center" vertical="center"/>
    </xf>
    <xf numFmtId="0" fontId="0" fillId="0" borderId="2" xfId="0" applyBorder="1" applyAlignment="1">
      <alignment horizontal="center" vertical="center"/>
    </xf>
    <xf numFmtId="15" fontId="0" fillId="0" borderId="2" xfId="0" applyNumberFormat="1" applyBorder="1" applyAlignment="1">
      <alignment horizontal="center" vertical="center"/>
    </xf>
    <xf numFmtId="0" fontId="0" fillId="0" borderId="2" xfId="0" applyBorder="1" applyAlignment="1">
      <alignment horizontal="center" vertical="center"/>
    </xf>
    <xf numFmtId="15" fontId="0" fillId="0" borderId="2" xfId="0" applyNumberFormat="1" applyBorder="1" applyAlignment="1">
      <alignment horizontal="center" vertical="center"/>
    </xf>
    <xf numFmtId="16" fontId="50" fillId="7" borderId="2" xfId="0" applyNumberFormat="1" applyFont="1" applyFill="1" applyBorder="1" applyAlignment="1">
      <alignment horizontal="center" vertical="center"/>
    </xf>
    <xf numFmtId="0" fontId="0" fillId="0" borderId="2" xfId="0" applyBorder="1" applyAlignment="1">
      <alignment horizontal="center" vertical="center"/>
    </xf>
    <xf numFmtId="15" fontId="0" fillId="0" borderId="2" xfId="0" applyNumberFormat="1" applyBorder="1" applyAlignment="1">
      <alignment horizontal="center" vertical="center"/>
    </xf>
    <xf numFmtId="0" fontId="0" fillId="0" borderId="2" xfId="0" applyBorder="1" applyAlignment="1">
      <alignment horizontal="center" vertical="center"/>
    </xf>
    <xf numFmtId="15" fontId="0" fillId="0" borderId="2" xfId="0" applyNumberFormat="1" applyBorder="1" applyAlignment="1">
      <alignment horizontal="center" vertical="center"/>
    </xf>
    <xf numFmtId="0" fontId="0" fillId="0" borderId="2" xfId="0" applyBorder="1" applyAlignment="1">
      <alignment horizontal="center" vertical="center"/>
    </xf>
    <xf numFmtId="15" fontId="0" fillId="0" borderId="2" xfId="0" applyNumberFormat="1" applyBorder="1" applyAlignment="1">
      <alignment horizontal="center" vertical="center"/>
    </xf>
    <xf numFmtId="0" fontId="0" fillId="0" borderId="2" xfId="0" applyBorder="1" applyAlignment="1">
      <alignment horizontal="center" vertical="center"/>
    </xf>
    <xf numFmtId="15" fontId="0" fillId="0" borderId="2" xfId="0" applyNumberFormat="1" applyBorder="1" applyAlignment="1">
      <alignment horizontal="center" vertical="center"/>
    </xf>
    <xf numFmtId="0" fontId="0" fillId="0" borderId="2" xfId="0" applyBorder="1" applyAlignment="1">
      <alignment horizontal="center" vertical="center"/>
    </xf>
    <xf numFmtId="15" fontId="0" fillId="0" borderId="2" xfId="0" applyNumberFormat="1" applyBorder="1" applyAlignment="1">
      <alignment horizontal="center" vertical="center"/>
    </xf>
    <xf numFmtId="0" fontId="0" fillId="0" borderId="2" xfId="0" applyBorder="1" applyAlignment="1">
      <alignment horizontal="center" vertical="center"/>
    </xf>
    <xf numFmtId="15" fontId="0" fillId="0" borderId="2" xfId="0" applyNumberFormat="1" applyBorder="1" applyAlignment="1">
      <alignment horizontal="center" vertical="center"/>
    </xf>
    <xf numFmtId="0" fontId="0" fillId="0" borderId="2" xfId="0" applyBorder="1" applyAlignment="1">
      <alignment horizontal="center" vertical="center"/>
    </xf>
    <xf numFmtId="15" fontId="0" fillId="0" borderId="2" xfId="0" applyNumberFormat="1" applyBorder="1" applyAlignment="1">
      <alignment horizontal="center" vertical="center"/>
    </xf>
    <xf numFmtId="0" fontId="0" fillId="0" borderId="2" xfId="0" applyBorder="1" applyAlignment="1">
      <alignment horizontal="center" vertical="center"/>
    </xf>
    <xf numFmtId="15" fontId="0" fillId="0" borderId="2" xfId="0" applyNumberFormat="1" applyBorder="1" applyAlignment="1">
      <alignment horizontal="center" vertical="center"/>
    </xf>
    <xf numFmtId="0" fontId="0" fillId="0" borderId="2" xfId="0" applyBorder="1" applyAlignment="1">
      <alignment horizontal="center" vertical="center"/>
    </xf>
    <xf numFmtId="15" fontId="0" fillId="0" borderId="2" xfId="0" applyNumberFormat="1" applyBorder="1" applyAlignment="1">
      <alignment horizontal="center" vertical="center"/>
    </xf>
    <xf numFmtId="0" fontId="0" fillId="0" borderId="2" xfId="0" applyBorder="1" applyAlignment="1">
      <alignment horizontal="center" vertical="center"/>
    </xf>
    <xf numFmtId="15" fontId="0" fillId="0" borderId="2" xfId="0" applyNumberFormat="1" applyBorder="1" applyAlignment="1">
      <alignment horizontal="center" vertical="center"/>
    </xf>
    <xf numFmtId="0" fontId="0" fillId="0" borderId="2" xfId="0" applyBorder="1" applyAlignment="1">
      <alignment horizontal="center" vertical="center"/>
    </xf>
    <xf numFmtId="15" fontId="0" fillId="0" borderId="2" xfId="0" applyNumberFormat="1" applyBorder="1" applyAlignment="1">
      <alignment horizontal="center" vertical="center"/>
    </xf>
    <xf numFmtId="0" fontId="0" fillId="0" borderId="2" xfId="0" applyBorder="1" applyAlignment="1">
      <alignment horizontal="center" vertical="center"/>
    </xf>
    <xf numFmtId="15" fontId="0" fillId="0" borderId="2" xfId="0" applyNumberFormat="1" applyBorder="1" applyAlignment="1">
      <alignment horizontal="center" vertical="center"/>
    </xf>
    <xf numFmtId="0" fontId="0" fillId="0" borderId="2" xfId="0" applyBorder="1" applyAlignment="1">
      <alignment horizontal="center" vertical="center"/>
    </xf>
    <xf numFmtId="15" fontId="0" fillId="0" borderId="2" xfId="0" applyNumberFormat="1" applyBorder="1" applyAlignment="1">
      <alignment horizontal="center" vertical="center"/>
    </xf>
    <xf numFmtId="15" fontId="0" fillId="0" borderId="2" xfId="0" applyNumberFormat="1" applyBorder="1" applyAlignment="1">
      <alignment horizontal="center" vertical="center"/>
    </xf>
    <xf numFmtId="0" fontId="0" fillId="0" borderId="2" xfId="0" applyBorder="1" applyAlignment="1">
      <alignment horizontal="center" vertical="center"/>
    </xf>
    <xf numFmtId="15" fontId="0" fillId="0" borderId="2" xfId="0" applyNumberFormat="1" applyBorder="1" applyAlignment="1">
      <alignment horizontal="center" vertical="center"/>
    </xf>
    <xf numFmtId="0" fontId="0" fillId="0" borderId="2" xfId="0" applyBorder="1" applyAlignment="1">
      <alignment horizontal="center" vertical="center"/>
    </xf>
    <xf numFmtId="15" fontId="0" fillId="0" borderId="2" xfId="0" applyNumberFormat="1" applyBorder="1" applyAlignment="1">
      <alignment horizontal="center" vertical="center"/>
    </xf>
    <xf numFmtId="15" fontId="0" fillId="0" borderId="2" xfId="0" applyNumberFormat="1" applyBorder="1" applyAlignment="1">
      <alignment horizontal="center" vertical="center"/>
    </xf>
    <xf numFmtId="0" fontId="0" fillId="0" borderId="2" xfId="0" applyBorder="1" applyAlignment="1">
      <alignment horizontal="center" vertical="center"/>
    </xf>
    <xf numFmtId="15" fontId="0" fillId="0" borderId="2" xfId="0" applyNumberFormat="1" applyBorder="1" applyAlignment="1">
      <alignment horizontal="center" vertical="center"/>
    </xf>
    <xf numFmtId="0" fontId="0" fillId="0" borderId="2" xfId="0" applyBorder="1" applyAlignment="1">
      <alignment horizontal="center" vertical="center"/>
    </xf>
    <xf numFmtId="15" fontId="0" fillId="0" borderId="2" xfId="0" applyNumberFormat="1" applyBorder="1" applyAlignment="1">
      <alignment horizontal="center" vertical="center"/>
    </xf>
    <xf numFmtId="0" fontId="0" fillId="0" borderId="0" xfId="0" applyAlignment="1">
      <alignment horizontal="center" vertical="center"/>
    </xf>
    <xf numFmtId="15" fontId="0" fillId="0" borderId="2" xfId="0" applyNumberFormat="1" applyBorder="1" applyAlignment="1">
      <alignment horizontal="center" vertical="center"/>
    </xf>
    <xf numFmtId="0" fontId="0" fillId="0" borderId="0" xfId="0" applyAlignment="1">
      <alignment horizontal="center" vertical="center"/>
    </xf>
    <xf numFmtId="15" fontId="0" fillId="0" borderId="2" xfId="0" applyNumberFormat="1" applyBorder="1" applyAlignment="1">
      <alignment horizontal="center" vertical="center"/>
    </xf>
    <xf numFmtId="0" fontId="0" fillId="0" borderId="0" xfId="0" applyAlignment="1">
      <alignment horizontal="center" vertical="center"/>
    </xf>
    <xf numFmtId="15" fontId="0" fillId="0" borderId="2" xfId="0" applyNumberFormat="1" applyBorder="1" applyAlignment="1">
      <alignment horizontal="center" vertical="center"/>
    </xf>
    <xf numFmtId="0" fontId="0" fillId="0" borderId="0" xfId="0" applyAlignment="1">
      <alignment horizontal="center" vertical="center"/>
    </xf>
    <xf numFmtId="15" fontId="0" fillId="0" borderId="2" xfId="0" applyNumberFormat="1" applyBorder="1" applyAlignment="1">
      <alignment horizontal="center" vertical="center"/>
    </xf>
    <xf numFmtId="0" fontId="0" fillId="0" borderId="0" xfId="0" applyAlignment="1">
      <alignment horizontal="center" vertical="center"/>
    </xf>
    <xf numFmtId="0" fontId="0" fillId="0" borderId="0" xfId="0" applyFill="1" applyBorder="1" applyAlignment="1">
      <alignment horizontal="center" vertical="center"/>
    </xf>
    <xf numFmtId="0" fontId="0" fillId="0" borderId="2" xfId="0" applyBorder="1" applyAlignment="1">
      <alignment horizontal="center" vertical="center"/>
    </xf>
    <xf numFmtId="15" fontId="0" fillId="0" borderId="2" xfId="0" applyNumberFormat="1" applyBorder="1" applyAlignment="1">
      <alignment horizontal="center" vertical="center"/>
    </xf>
    <xf numFmtId="0" fontId="0" fillId="0" borderId="0" xfId="0" applyAlignment="1">
      <alignment horizontal="center" vertical="center"/>
    </xf>
    <xf numFmtId="15" fontId="0" fillId="0" borderId="2" xfId="0" applyNumberFormat="1" applyBorder="1" applyAlignment="1">
      <alignment horizontal="center" vertical="center"/>
    </xf>
    <xf numFmtId="0" fontId="0" fillId="0" borderId="0" xfId="0" applyAlignment="1">
      <alignment horizontal="center" vertical="center"/>
    </xf>
    <xf numFmtId="0" fontId="64" fillId="0" borderId="0" xfId="0" applyFont="1">
      <alignment vertical="center"/>
    </xf>
    <xf numFmtId="3" fontId="64" fillId="0" borderId="0" xfId="0" applyNumberFormat="1" applyFont="1">
      <alignment vertical="center"/>
    </xf>
    <xf numFmtId="15" fontId="0" fillId="0" borderId="2" xfId="0" applyNumberFormat="1" applyBorder="1" applyAlignment="1">
      <alignment horizontal="center" vertical="center"/>
    </xf>
    <xf numFmtId="0" fontId="0" fillId="0" borderId="0" xfId="0" applyAlignment="1">
      <alignment horizontal="center" vertical="center"/>
    </xf>
    <xf numFmtId="15" fontId="0" fillId="0" borderId="2" xfId="0" applyNumberFormat="1" applyBorder="1" applyAlignment="1">
      <alignment horizontal="center" vertical="center"/>
    </xf>
    <xf numFmtId="0" fontId="0" fillId="0" borderId="0" xfId="0" applyAlignment="1">
      <alignment horizontal="center" vertical="center"/>
    </xf>
    <xf numFmtId="15" fontId="0" fillId="0" borderId="2" xfId="0" applyNumberFormat="1" applyBorder="1" applyAlignment="1">
      <alignment horizontal="center" vertical="center"/>
    </xf>
    <xf numFmtId="0" fontId="0" fillId="0" borderId="0" xfId="0" applyAlignment="1">
      <alignment horizontal="center" vertical="center"/>
    </xf>
    <xf numFmtId="38" fontId="43" fillId="0" borderId="2" xfId="0" applyNumberFormat="1" applyFont="1" applyBorder="1" applyAlignment="1">
      <alignment horizontal="center" vertical="center"/>
    </xf>
    <xf numFmtId="167" fontId="0" fillId="4" borderId="0" xfId="0" applyNumberFormat="1" applyFill="1" applyAlignment="1">
      <alignment horizontal="center" vertical="center"/>
    </xf>
    <xf numFmtId="15" fontId="0" fillId="0" borderId="2" xfId="0" applyNumberFormat="1" applyBorder="1" applyAlignment="1">
      <alignment horizontal="center" vertical="center"/>
    </xf>
    <xf numFmtId="0" fontId="0" fillId="0" borderId="0" xfId="0" applyAlignment="1">
      <alignment horizontal="center" vertical="center"/>
    </xf>
    <xf numFmtId="16" fontId="66" fillId="13" borderId="2" xfId="0" applyNumberFormat="1" applyFont="1" applyFill="1" applyBorder="1" applyAlignment="1">
      <alignment horizontal="center" vertical="center"/>
    </xf>
    <xf numFmtId="38" fontId="43" fillId="3" borderId="2" xfId="0" applyNumberFormat="1" applyFont="1" applyFill="1" applyBorder="1" applyAlignment="1">
      <alignment horizontal="center" vertical="center"/>
    </xf>
    <xf numFmtId="15" fontId="0" fillId="0" borderId="2" xfId="0" applyNumberFormat="1" applyBorder="1" applyAlignment="1">
      <alignment horizontal="center" vertical="center"/>
    </xf>
    <xf numFmtId="0" fontId="0" fillId="0" borderId="0" xfId="0" applyAlignment="1">
      <alignment horizontal="center" vertical="center"/>
    </xf>
    <xf numFmtId="0" fontId="0" fillId="0" borderId="2" xfId="0" applyBorder="1" applyAlignment="1">
      <alignment horizontal="center" vertical="center"/>
    </xf>
    <xf numFmtId="15" fontId="0" fillId="0" borderId="2" xfId="0" applyNumberFormat="1" applyBorder="1" applyAlignment="1">
      <alignment horizontal="center" vertical="center"/>
    </xf>
    <xf numFmtId="0" fontId="0" fillId="0" borderId="0" xfId="0" applyAlignment="1">
      <alignment horizontal="center" vertical="center"/>
    </xf>
    <xf numFmtId="0" fontId="0" fillId="0" borderId="2" xfId="0" applyBorder="1" applyAlignment="1">
      <alignment horizontal="center" vertical="center"/>
    </xf>
    <xf numFmtId="15" fontId="0" fillId="0" borderId="2" xfId="0" applyNumberFormat="1" applyBorder="1" applyAlignment="1">
      <alignment horizontal="center" vertical="center"/>
    </xf>
    <xf numFmtId="0" fontId="0" fillId="0" borderId="0" xfId="0" applyAlignment="1">
      <alignment horizontal="center" vertical="center"/>
    </xf>
    <xf numFmtId="0" fontId="0" fillId="0" borderId="2" xfId="0" applyBorder="1" applyAlignment="1">
      <alignment horizontal="center" vertical="center"/>
    </xf>
    <xf numFmtId="15" fontId="0" fillId="0" borderId="2" xfId="0" applyNumberFormat="1" applyBorder="1" applyAlignment="1">
      <alignment horizontal="center" vertical="center"/>
    </xf>
    <xf numFmtId="0" fontId="0" fillId="0" borderId="0" xfId="0" applyAlignment="1">
      <alignment horizontal="center" vertical="center"/>
    </xf>
    <xf numFmtId="10" fontId="0" fillId="0" borderId="0" xfId="597" applyNumberFormat="1" applyFont="1" applyAlignment="1">
      <alignment vertical="center"/>
    </xf>
    <xf numFmtId="10" fontId="0" fillId="0" borderId="0" xfId="0" applyNumberFormat="1">
      <alignment vertical="center"/>
    </xf>
    <xf numFmtId="15" fontId="0" fillId="0" borderId="2" xfId="0" applyNumberFormat="1" applyBorder="1" applyAlignment="1">
      <alignment horizontal="center" vertical="center"/>
    </xf>
    <xf numFmtId="0" fontId="0" fillId="0" borderId="0" xfId="0" applyAlignment="1">
      <alignment horizontal="center" vertical="center"/>
    </xf>
    <xf numFmtId="15" fontId="0" fillId="0" borderId="2" xfId="0" applyNumberFormat="1" applyBorder="1" applyAlignment="1">
      <alignment horizontal="center" vertical="center"/>
    </xf>
    <xf numFmtId="0" fontId="0" fillId="0" borderId="2" xfId="0" applyBorder="1" applyAlignment="1">
      <alignment horizontal="center" vertical="center"/>
    </xf>
    <xf numFmtId="15" fontId="0" fillId="0" borderId="2" xfId="0" applyNumberFormat="1" applyBorder="1" applyAlignment="1">
      <alignment horizontal="center" vertical="center"/>
    </xf>
    <xf numFmtId="0" fontId="0" fillId="0" borderId="0" xfId="0" applyAlignment="1">
      <alignment horizontal="center" vertical="center"/>
    </xf>
    <xf numFmtId="15" fontId="0" fillId="0" borderId="2" xfId="0" applyNumberFormat="1" applyBorder="1" applyAlignment="1">
      <alignment horizontal="center" vertical="center"/>
    </xf>
    <xf numFmtId="0" fontId="0" fillId="0" borderId="0" xfId="0" applyAlignment="1">
      <alignment horizontal="center" vertical="center"/>
    </xf>
    <xf numFmtId="15" fontId="0" fillId="0" borderId="2" xfId="0" applyNumberFormat="1" applyBorder="1" applyAlignment="1">
      <alignment horizontal="center" vertical="center"/>
    </xf>
    <xf numFmtId="0" fontId="0" fillId="0" borderId="0" xfId="0" applyAlignment="1">
      <alignment horizontal="center" vertical="center"/>
    </xf>
    <xf numFmtId="15" fontId="0" fillId="0" borderId="2" xfId="0" applyNumberFormat="1" applyBorder="1" applyAlignment="1">
      <alignment horizontal="center" vertical="center"/>
    </xf>
    <xf numFmtId="0" fontId="0" fillId="0" borderId="0" xfId="0" applyAlignment="1">
      <alignment horizontal="center" vertical="center"/>
    </xf>
    <xf numFmtId="15" fontId="0" fillId="0" borderId="2" xfId="0" applyNumberFormat="1" applyBorder="1" applyAlignment="1">
      <alignment horizontal="center" vertical="center"/>
    </xf>
    <xf numFmtId="0" fontId="0" fillId="0" borderId="0" xfId="0" applyAlignment="1">
      <alignment horizontal="center" vertical="center"/>
    </xf>
    <xf numFmtId="15" fontId="0" fillId="0" borderId="2" xfId="0" applyNumberFormat="1" applyBorder="1" applyAlignment="1">
      <alignment horizontal="center" vertical="center"/>
    </xf>
    <xf numFmtId="0" fontId="0" fillId="0" borderId="0" xfId="0" applyAlignment="1">
      <alignment horizontal="center" vertical="center"/>
    </xf>
    <xf numFmtId="38" fontId="43" fillId="7" borderId="2" xfId="0" applyNumberFormat="1" applyFont="1" applyFill="1" applyBorder="1" applyAlignment="1">
      <alignment horizontal="center" vertical="center"/>
    </xf>
    <xf numFmtId="15" fontId="0" fillId="0" borderId="2" xfId="0" applyNumberFormat="1" applyBorder="1" applyAlignment="1">
      <alignment horizontal="center" vertical="center"/>
    </xf>
    <xf numFmtId="0" fontId="0" fillId="0" borderId="0" xfId="0" applyAlignment="1">
      <alignment horizontal="center" vertical="center"/>
    </xf>
    <xf numFmtId="15" fontId="0" fillId="0" borderId="2" xfId="0" applyNumberFormat="1" applyBorder="1" applyAlignment="1">
      <alignment horizontal="center" vertical="center"/>
    </xf>
    <xf numFmtId="0" fontId="0" fillId="0" borderId="0" xfId="0" applyAlignment="1">
      <alignment horizontal="center" vertical="center"/>
    </xf>
    <xf numFmtId="15" fontId="0" fillId="0" borderId="2" xfId="0" applyNumberFormat="1" applyBorder="1" applyAlignment="1">
      <alignment horizontal="center" vertical="center"/>
    </xf>
    <xf numFmtId="0" fontId="0" fillId="0" borderId="0" xfId="0" applyAlignment="1">
      <alignment horizontal="center" vertical="center"/>
    </xf>
    <xf numFmtId="15" fontId="0" fillId="0" borderId="2" xfId="0" applyNumberFormat="1" applyBorder="1" applyAlignment="1">
      <alignment horizontal="center" vertical="center"/>
    </xf>
    <xf numFmtId="0" fontId="0" fillId="0" borderId="0" xfId="0" applyAlignment="1">
      <alignment horizontal="center" vertical="center"/>
    </xf>
    <xf numFmtId="15" fontId="0" fillId="0" borderId="2" xfId="0" applyNumberFormat="1" applyBorder="1" applyAlignment="1">
      <alignment horizontal="center" vertical="center"/>
    </xf>
    <xf numFmtId="0" fontId="0" fillId="0" borderId="0" xfId="0" applyAlignment="1">
      <alignment horizontal="center" vertical="center"/>
    </xf>
    <xf numFmtId="38" fontId="65" fillId="4" borderId="2" xfId="0" applyNumberFormat="1" applyFont="1" applyFill="1" applyBorder="1" applyAlignment="1">
      <alignment horizontal="center" vertical="center"/>
    </xf>
    <xf numFmtId="38" fontId="60" fillId="3" borderId="2" xfId="0" applyNumberFormat="1" applyFont="1" applyFill="1" applyBorder="1" applyAlignment="1">
      <alignment horizontal="center" vertical="center"/>
    </xf>
    <xf numFmtId="38" fontId="60" fillId="18" borderId="2" xfId="0" applyNumberFormat="1" applyFont="1" applyFill="1" applyBorder="1" applyAlignment="1">
      <alignment horizontal="center" vertical="center"/>
    </xf>
    <xf numFmtId="38" fontId="43" fillId="18" borderId="2" xfId="0" applyNumberFormat="1" applyFont="1" applyFill="1" applyBorder="1" applyAlignment="1">
      <alignment horizontal="center" vertical="center"/>
    </xf>
    <xf numFmtId="15" fontId="0" fillId="0" borderId="2" xfId="0" applyNumberFormat="1" applyBorder="1" applyAlignment="1">
      <alignment horizontal="center" vertical="center"/>
    </xf>
    <xf numFmtId="0" fontId="0" fillId="0" borderId="0" xfId="0" applyAlignment="1">
      <alignment horizontal="center" vertical="center"/>
    </xf>
    <xf numFmtId="15" fontId="0" fillId="0" borderId="2" xfId="0" applyNumberFormat="1" applyBorder="1" applyAlignment="1">
      <alignment horizontal="center" vertical="center"/>
    </xf>
    <xf numFmtId="0" fontId="0" fillId="0" borderId="0" xfId="0" applyAlignment="1">
      <alignment horizontal="center" vertical="center"/>
    </xf>
    <xf numFmtId="15" fontId="0" fillId="0" borderId="2" xfId="0" applyNumberFormat="1" applyBorder="1" applyAlignment="1">
      <alignment horizontal="center" vertical="center"/>
    </xf>
    <xf numFmtId="0" fontId="0" fillId="0" borderId="0" xfId="0" applyAlignment="1">
      <alignment horizontal="center" vertical="center"/>
    </xf>
    <xf numFmtId="15" fontId="0" fillId="0" borderId="2" xfId="0" applyNumberFormat="1" applyBorder="1" applyAlignment="1">
      <alignment horizontal="center" vertical="center"/>
    </xf>
    <xf numFmtId="0" fontId="0" fillId="0" borderId="0" xfId="0" applyAlignment="1">
      <alignment horizontal="center" vertical="center"/>
    </xf>
    <xf numFmtId="38" fontId="60" fillId="7" borderId="2" xfId="0" applyNumberFormat="1" applyFont="1" applyFill="1" applyBorder="1" applyAlignment="1">
      <alignment horizontal="center" vertical="center"/>
    </xf>
    <xf numFmtId="0" fontId="0" fillId="0" borderId="0" xfId="0" applyAlignment="1">
      <alignment horizontal="center" vertical="center"/>
    </xf>
    <xf numFmtId="15" fontId="0" fillId="0" borderId="2" xfId="0" applyNumberFormat="1" applyBorder="1" applyAlignment="1">
      <alignment horizontal="center" vertical="center"/>
    </xf>
    <xf numFmtId="0" fontId="0" fillId="0" borderId="0" xfId="0" applyAlignment="1">
      <alignment horizontal="center" vertical="center"/>
    </xf>
    <xf numFmtId="15" fontId="0" fillId="0" borderId="2" xfId="0" applyNumberFormat="1" applyBorder="1" applyAlignment="1">
      <alignment horizontal="center" vertical="center"/>
    </xf>
    <xf numFmtId="0" fontId="0" fillId="0" borderId="0" xfId="0" applyAlignment="1">
      <alignment horizontal="center" vertical="center"/>
    </xf>
    <xf numFmtId="15" fontId="0" fillId="0" borderId="2" xfId="0" applyNumberFormat="1" applyBorder="1" applyAlignment="1">
      <alignment horizontal="center" vertical="center"/>
    </xf>
    <xf numFmtId="0" fontId="0" fillId="0" borderId="0" xfId="0" applyAlignment="1">
      <alignment horizontal="center" vertical="center"/>
    </xf>
    <xf numFmtId="15" fontId="0" fillId="0" borderId="2" xfId="0" applyNumberFormat="1" applyBorder="1" applyAlignment="1">
      <alignment horizontal="center" vertical="center"/>
    </xf>
    <xf numFmtId="0" fontId="0" fillId="0" borderId="0" xfId="0" applyAlignment="1">
      <alignment horizontal="center" vertical="center"/>
    </xf>
    <xf numFmtId="15" fontId="0" fillId="0" borderId="2" xfId="0" applyNumberFormat="1" applyBorder="1" applyAlignment="1">
      <alignment horizontal="center" vertical="center"/>
    </xf>
    <xf numFmtId="0" fontId="0" fillId="0" borderId="0" xfId="0" applyAlignment="1">
      <alignment horizontal="center" vertical="center"/>
    </xf>
    <xf numFmtId="15" fontId="0" fillId="0" borderId="2" xfId="0" applyNumberFormat="1" applyBorder="1" applyAlignment="1">
      <alignment horizontal="center" vertical="center"/>
    </xf>
    <xf numFmtId="0" fontId="0" fillId="0" borderId="0" xfId="0" applyAlignment="1">
      <alignment horizontal="center" vertical="center"/>
    </xf>
    <xf numFmtId="15" fontId="0" fillId="0" borderId="2" xfId="0" applyNumberFormat="1" applyBorder="1" applyAlignment="1">
      <alignment horizontal="center" vertical="center"/>
    </xf>
    <xf numFmtId="0" fontId="0" fillId="0" borderId="0" xfId="0" applyAlignment="1">
      <alignment horizontal="center" vertical="center"/>
    </xf>
    <xf numFmtId="38" fontId="44" fillId="7" borderId="2" xfId="0" applyNumberFormat="1" applyFont="1" applyFill="1" applyBorder="1" applyAlignment="1">
      <alignment horizontal="center" vertical="center"/>
    </xf>
    <xf numFmtId="15" fontId="0" fillId="0" borderId="2" xfId="0" applyNumberFormat="1" applyBorder="1" applyAlignment="1">
      <alignment horizontal="center" vertical="center"/>
    </xf>
    <xf numFmtId="0" fontId="0" fillId="0" borderId="0" xfId="0" applyAlignment="1">
      <alignment horizontal="center" vertical="center"/>
    </xf>
    <xf numFmtId="38" fontId="44" fillId="3" borderId="2" xfId="0" applyNumberFormat="1" applyFont="1" applyFill="1" applyBorder="1" applyAlignment="1">
      <alignment horizontal="center" vertical="center"/>
    </xf>
    <xf numFmtId="15" fontId="0" fillId="0" borderId="2" xfId="0" applyNumberFormat="1" applyBorder="1" applyAlignment="1">
      <alignment horizontal="center" vertical="center"/>
    </xf>
    <xf numFmtId="0" fontId="0" fillId="0" borderId="0" xfId="0" applyAlignment="1">
      <alignment horizontal="center" vertical="center"/>
    </xf>
    <xf numFmtId="15" fontId="0" fillId="0" borderId="2" xfId="0" applyNumberFormat="1" applyBorder="1" applyAlignment="1">
      <alignment horizontal="center" vertical="center"/>
    </xf>
    <xf numFmtId="0" fontId="0" fillId="0" borderId="0" xfId="0" applyAlignment="1">
      <alignment horizontal="center" vertical="center"/>
    </xf>
    <xf numFmtId="15" fontId="0" fillId="0" borderId="2" xfId="0" applyNumberFormat="1" applyBorder="1" applyAlignment="1">
      <alignment horizontal="center" vertical="center"/>
    </xf>
    <xf numFmtId="0" fontId="0" fillId="0" borderId="0" xfId="0" applyAlignment="1">
      <alignment horizontal="center" vertical="center"/>
    </xf>
    <xf numFmtId="15" fontId="0" fillId="0" borderId="2" xfId="0" applyNumberFormat="1" applyBorder="1" applyAlignment="1">
      <alignment horizontal="center" vertical="center"/>
    </xf>
    <xf numFmtId="0" fontId="0" fillId="0" borderId="0" xfId="0" applyAlignment="1">
      <alignment horizontal="center" vertical="center"/>
    </xf>
    <xf numFmtId="15" fontId="0" fillId="0" borderId="2" xfId="0" applyNumberFormat="1" applyBorder="1" applyAlignment="1">
      <alignment horizontal="center" vertical="center"/>
    </xf>
    <xf numFmtId="0" fontId="0" fillId="0" borderId="0" xfId="0" applyAlignment="1">
      <alignment horizontal="center" vertical="center"/>
    </xf>
    <xf numFmtId="15" fontId="0" fillId="0" borderId="2" xfId="0" applyNumberFormat="1" applyBorder="1" applyAlignment="1">
      <alignment horizontal="center" vertical="center"/>
    </xf>
    <xf numFmtId="0" fontId="0" fillId="0" borderId="0" xfId="0" applyAlignment="1">
      <alignment horizontal="center" vertical="center"/>
    </xf>
    <xf numFmtId="15" fontId="0" fillId="0" borderId="2" xfId="0" applyNumberFormat="1" applyBorder="1" applyAlignment="1">
      <alignment horizontal="center" vertical="center"/>
    </xf>
    <xf numFmtId="0" fontId="0" fillId="0" borderId="0" xfId="0" applyAlignment="1">
      <alignment horizontal="center" vertical="center"/>
    </xf>
    <xf numFmtId="15" fontId="0" fillId="0" borderId="2" xfId="0" applyNumberFormat="1" applyBorder="1" applyAlignment="1">
      <alignment horizontal="center" vertical="center"/>
    </xf>
    <xf numFmtId="0" fontId="0" fillId="0" borderId="0" xfId="0" applyAlignment="1">
      <alignment horizontal="center" vertical="center"/>
    </xf>
    <xf numFmtId="15" fontId="0" fillId="0" borderId="2" xfId="0" applyNumberFormat="1" applyBorder="1" applyAlignment="1">
      <alignment horizontal="center" vertical="center"/>
    </xf>
    <xf numFmtId="0" fontId="0" fillId="0" borderId="0" xfId="0" applyAlignment="1">
      <alignment horizontal="center" vertical="center"/>
    </xf>
    <xf numFmtId="38" fontId="44" fillId="18" borderId="2" xfId="0" applyNumberFormat="1" applyFont="1" applyFill="1" applyBorder="1" applyAlignment="1">
      <alignment horizontal="center" vertical="center"/>
    </xf>
    <xf numFmtId="15" fontId="0" fillId="0" borderId="2" xfId="0" applyNumberFormat="1" applyBorder="1" applyAlignment="1">
      <alignment horizontal="center" vertical="center"/>
    </xf>
    <xf numFmtId="0" fontId="0" fillId="0" borderId="0" xfId="0" applyAlignment="1">
      <alignment horizontal="center" vertical="center"/>
    </xf>
    <xf numFmtId="15" fontId="0" fillId="0" borderId="2" xfId="0" applyNumberFormat="1" applyBorder="1" applyAlignment="1">
      <alignment horizontal="center" vertical="center"/>
    </xf>
    <xf numFmtId="0" fontId="0" fillId="0" borderId="0" xfId="0" applyAlignment="1">
      <alignment horizontal="center" vertical="center"/>
    </xf>
    <xf numFmtId="38" fontId="44" fillId="4" borderId="2" xfId="0" applyNumberFormat="1" applyFont="1" applyFill="1" applyBorder="1" applyAlignment="1">
      <alignment horizontal="center" vertical="center"/>
    </xf>
    <xf numFmtId="15" fontId="0" fillId="0" borderId="2" xfId="0" applyNumberFormat="1" applyBorder="1" applyAlignment="1">
      <alignment horizontal="center" vertical="center"/>
    </xf>
    <xf numFmtId="0" fontId="0" fillId="0" borderId="0" xfId="0" applyAlignment="1">
      <alignment horizontal="center" vertical="center"/>
    </xf>
    <xf numFmtId="15" fontId="0" fillId="0" borderId="2" xfId="0" applyNumberFormat="1" applyBorder="1" applyAlignment="1">
      <alignment horizontal="center" vertical="center"/>
    </xf>
    <xf numFmtId="0" fontId="0" fillId="0" borderId="0" xfId="0" applyAlignment="1">
      <alignment horizontal="center" vertical="center"/>
    </xf>
    <xf numFmtId="15" fontId="0" fillId="0" borderId="2" xfId="0" applyNumberFormat="1" applyBorder="1" applyAlignment="1">
      <alignment horizontal="center" vertical="center"/>
    </xf>
    <xf numFmtId="0" fontId="0" fillId="0" borderId="0" xfId="0" applyAlignment="1">
      <alignment horizontal="center" vertical="center"/>
    </xf>
    <xf numFmtId="0" fontId="0" fillId="18" borderId="2" xfId="0" applyFill="1" applyBorder="1" applyAlignment="1">
      <alignment horizontal="center" vertical="center"/>
    </xf>
    <xf numFmtId="15" fontId="0" fillId="0" borderId="2" xfId="0" applyNumberFormat="1" applyBorder="1" applyAlignment="1">
      <alignment horizontal="center" vertical="center"/>
    </xf>
    <xf numFmtId="0" fontId="0" fillId="0" borderId="0" xfId="0" applyAlignment="1">
      <alignment horizontal="center" vertical="center"/>
    </xf>
    <xf numFmtId="15" fontId="0" fillId="0" borderId="2" xfId="0" applyNumberFormat="1" applyBorder="1" applyAlignment="1">
      <alignment horizontal="center" vertical="center"/>
    </xf>
    <xf numFmtId="0" fontId="0" fillId="0" borderId="0" xfId="0" applyAlignment="1">
      <alignment horizontal="center" vertical="center"/>
    </xf>
    <xf numFmtId="15" fontId="0" fillId="0" borderId="2" xfId="0" applyNumberFormat="1" applyBorder="1" applyAlignment="1">
      <alignment horizontal="center" vertical="center"/>
    </xf>
    <xf numFmtId="0" fontId="0" fillId="0" borderId="0" xfId="0" applyAlignment="1">
      <alignment horizontal="center" vertical="center"/>
    </xf>
    <xf numFmtId="0" fontId="43" fillId="16" borderId="23" xfId="0" applyFont="1" applyFill="1" applyBorder="1" applyAlignment="1">
      <alignment vertical="center" wrapText="1"/>
    </xf>
    <xf numFmtId="16" fontId="66" fillId="7" borderId="2" xfId="0" applyNumberFormat="1" applyFont="1" applyFill="1" applyBorder="1" applyAlignment="1">
      <alignment horizontal="center" vertical="center"/>
    </xf>
    <xf numFmtId="16" fontId="66" fillId="16" borderId="2" xfId="0" applyNumberFormat="1" applyFont="1" applyFill="1" applyBorder="1" applyAlignment="1">
      <alignment horizontal="center" vertical="center"/>
    </xf>
    <xf numFmtId="9" fontId="43" fillId="7" borderId="0" xfId="0" applyNumberFormat="1" applyFont="1" applyFill="1" applyBorder="1" applyAlignment="1">
      <alignment vertical="center" wrapText="1"/>
    </xf>
    <xf numFmtId="9" fontId="43" fillId="16" borderId="0" xfId="0" applyNumberFormat="1" applyFont="1" applyFill="1" applyBorder="1" applyAlignment="1">
      <alignment vertical="center" wrapText="1"/>
    </xf>
    <xf numFmtId="0" fontId="0" fillId="0" borderId="0" xfId="0" applyAlignment="1">
      <alignment horizontal="center" vertical="center"/>
    </xf>
    <xf numFmtId="15" fontId="0" fillId="0" borderId="2" xfId="0" applyNumberFormat="1" applyBorder="1" applyAlignment="1">
      <alignment horizontal="center" vertical="center"/>
    </xf>
    <xf numFmtId="0" fontId="0" fillId="0" borderId="0" xfId="0" applyAlignment="1">
      <alignment horizontal="center" vertical="center"/>
    </xf>
    <xf numFmtId="165" fontId="67" fillId="6" borderId="12" xfId="0" applyNumberFormat="1" applyFont="1" applyFill="1" applyBorder="1" applyAlignment="1">
      <alignment horizontal="left" vertical="center"/>
    </xf>
    <xf numFmtId="0" fontId="33" fillId="0" borderId="0" xfId="0" applyFont="1" applyAlignment="1">
      <alignment horizontal="left" vertical="center"/>
    </xf>
    <xf numFmtId="0" fontId="68" fillId="8" borderId="11" xfId="0" applyFont="1" applyFill="1" applyBorder="1" applyAlignment="1">
      <alignment horizontal="left" vertical="center" wrapText="1"/>
    </xf>
    <xf numFmtId="0" fontId="0" fillId="0" borderId="0" xfId="0" applyAlignment="1">
      <alignment horizontal="left" vertical="center"/>
    </xf>
    <xf numFmtId="0" fontId="0" fillId="0" borderId="0" xfId="0" applyAlignment="1">
      <alignment horizontal="center" vertical="center"/>
    </xf>
    <xf numFmtId="15" fontId="0" fillId="0" borderId="2" xfId="0" applyNumberFormat="1" applyBorder="1" applyAlignment="1">
      <alignment horizontal="center" vertical="center"/>
    </xf>
    <xf numFmtId="0" fontId="69" fillId="0" borderId="0" xfId="0" applyFont="1" applyAlignment="1">
      <alignment horizontal="center" vertical="center"/>
    </xf>
    <xf numFmtId="0" fontId="70" fillId="7" borderId="11" xfId="0" applyFont="1" applyFill="1" applyBorder="1" applyAlignment="1">
      <alignment horizontal="left" vertical="center" wrapText="1"/>
    </xf>
    <xf numFmtId="3" fontId="41" fillId="0" borderId="2" xfId="0" applyNumberFormat="1" applyFont="1" applyBorder="1" applyAlignment="1">
      <alignment horizontal="center" vertical="center"/>
    </xf>
    <xf numFmtId="3" fontId="41" fillId="3" borderId="2" xfId="0" applyNumberFormat="1" applyFont="1" applyFill="1" applyBorder="1" applyAlignment="1">
      <alignment horizontal="center" vertical="center"/>
    </xf>
    <xf numFmtId="3" fontId="0" fillId="3" borderId="2" xfId="0" applyNumberFormat="1" applyFill="1" applyBorder="1" applyAlignment="1">
      <alignment horizontal="center" vertical="center"/>
    </xf>
    <xf numFmtId="3" fontId="42" fillId="19" borderId="2" xfId="0" applyNumberFormat="1" applyFont="1" applyFill="1" applyBorder="1" applyAlignment="1">
      <alignment horizontal="center" vertical="center"/>
    </xf>
    <xf numFmtId="0" fontId="0" fillId="0" borderId="0" xfId="0" applyAlignment="1">
      <alignment horizontal="center" vertical="center"/>
    </xf>
    <xf numFmtId="15" fontId="0" fillId="0" borderId="2" xfId="0" applyNumberFormat="1" applyBorder="1" applyAlignment="1">
      <alignment horizontal="center" vertical="center"/>
    </xf>
    <xf numFmtId="3" fontId="41" fillId="21" borderId="2" xfId="0" applyNumberFormat="1" applyFont="1" applyFill="1" applyBorder="1" applyAlignment="1">
      <alignment horizontal="center" vertical="center"/>
    </xf>
    <xf numFmtId="0" fontId="0" fillId="0" borderId="0" xfId="0" applyAlignment="1">
      <alignment horizontal="center" vertical="center"/>
    </xf>
    <xf numFmtId="15" fontId="0" fillId="0" borderId="2" xfId="0" applyNumberFormat="1" applyBorder="1" applyAlignment="1">
      <alignment horizontal="center" vertical="center"/>
    </xf>
    <xf numFmtId="0" fontId="0" fillId="0" borderId="0" xfId="0" applyAlignment="1">
      <alignment horizontal="center" vertical="center"/>
    </xf>
    <xf numFmtId="15" fontId="0" fillId="0" borderId="2" xfId="0" applyNumberFormat="1" applyBorder="1" applyAlignment="1">
      <alignment horizontal="center" vertical="center"/>
    </xf>
    <xf numFmtId="0" fontId="0" fillId="0" borderId="0" xfId="0" applyAlignment="1">
      <alignment horizontal="center" vertical="center"/>
    </xf>
    <xf numFmtId="15" fontId="0" fillId="0" borderId="2" xfId="0" applyNumberFormat="1" applyBorder="1" applyAlignment="1">
      <alignment horizontal="center" vertical="center"/>
    </xf>
    <xf numFmtId="0" fontId="0" fillId="0" borderId="0" xfId="0" applyAlignment="1">
      <alignment horizontal="center" vertical="center"/>
    </xf>
    <xf numFmtId="15" fontId="0" fillId="0" borderId="2" xfId="0" applyNumberFormat="1" applyBorder="1" applyAlignment="1">
      <alignment horizontal="center" vertical="center"/>
    </xf>
    <xf numFmtId="0" fontId="0" fillId="0" borderId="0" xfId="0" applyAlignment="1">
      <alignment horizontal="center" vertical="center"/>
    </xf>
    <xf numFmtId="15" fontId="0" fillId="0" borderId="2" xfId="0" applyNumberFormat="1" applyBorder="1" applyAlignment="1">
      <alignment horizontal="center" vertical="center"/>
    </xf>
    <xf numFmtId="0" fontId="0" fillId="0" borderId="0" xfId="0" applyAlignment="1">
      <alignment horizontal="center" vertical="center"/>
    </xf>
    <xf numFmtId="15" fontId="0" fillId="0" borderId="2" xfId="0" applyNumberFormat="1" applyBorder="1" applyAlignment="1">
      <alignment horizontal="center" vertical="center"/>
    </xf>
    <xf numFmtId="0" fontId="43" fillId="7" borderId="2" xfId="0" applyFont="1" applyFill="1" applyBorder="1" applyAlignment="1">
      <alignment horizontal="center" vertical="center" wrapText="1"/>
    </xf>
    <xf numFmtId="16" fontId="66" fillId="12" borderId="2" xfId="0" applyNumberFormat="1" applyFont="1" applyFill="1" applyBorder="1" applyAlignment="1">
      <alignment horizontal="center" vertical="center"/>
    </xf>
    <xf numFmtId="165" fontId="69" fillId="0" borderId="0" xfId="0" applyNumberFormat="1" applyFont="1" applyAlignment="1">
      <alignment horizontal="center" vertical="center"/>
    </xf>
    <xf numFmtId="9" fontId="69" fillId="0" borderId="0" xfId="0" applyNumberFormat="1" applyFont="1" applyAlignment="1">
      <alignment horizontal="center" vertical="center"/>
    </xf>
    <xf numFmtId="0" fontId="0" fillId="0" borderId="0" xfId="0" applyAlignment="1">
      <alignment horizontal="center" vertical="center"/>
    </xf>
    <xf numFmtId="15" fontId="0" fillId="0" borderId="2" xfId="0" applyNumberFormat="1" applyBorder="1" applyAlignment="1">
      <alignment horizontal="center" vertical="center"/>
    </xf>
    <xf numFmtId="0" fontId="0" fillId="0" borderId="0" xfId="0" applyAlignment="1">
      <alignment horizontal="center" vertical="center"/>
    </xf>
    <xf numFmtId="15" fontId="0" fillId="0" borderId="2" xfId="0" applyNumberFormat="1" applyBorder="1" applyAlignment="1">
      <alignment horizontal="center" vertical="center"/>
    </xf>
    <xf numFmtId="0" fontId="0" fillId="0" borderId="0" xfId="0" applyAlignment="1">
      <alignment horizontal="center" vertical="center"/>
    </xf>
    <xf numFmtId="15" fontId="0" fillId="0" borderId="2" xfId="0" applyNumberFormat="1" applyBorder="1" applyAlignment="1">
      <alignment horizontal="center" vertical="center"/>
    </xf>
    <xf numFmtId="0" fontId="0" fillId="0" borderId="0" xfId="0" applyAlignment="1">
      <alignment horizontal="center" vertical="center"/>
    </xf>
    <xf numFmtId="15" fontId="0" fillId="0" borderId="2" xfId="0" applyNumberFormat="1" applyBorder="1" applyAlignment="1">
      <alignment horizontal="center" vertical="center"/>
    </xf>
    <xf numFmtId="0" fontId="0" fillId="0" borderId="0" xfId="0" applyAlignment="1">
      <alignment horizontal="center" vertical="center"/>
    </xf>
    <xf numFmtId="15" fontId="0" fillId="0" borderId="2" xfId="0" applyNumberFormat="1" applyBorder="1" applyAlignment="1">
      <alignment horizontal="center" vertical="center"/>
    </xf>
    <xf numFmtId="0" fontId="0" fillId="0" borderId="0" xfId="0" applyAlignment="1">
      <alignment horizontal="center" vertical="center"/>
    </xf>
    <xf numFmtId="15" fontId="0" fillId="0" borderId="2" xfId="0" applyNumberFormat="1" applyBorder="1" applyAlignment="1">
      <alignment horizontal="center" vertical="center"/>
    </xf>
    <xf numFmtId="0" fontId="0" fillId="0" borderId="0" xfId="0" applyAlignment="1">
      <alignment horizontal="center" vertical="center"/>
    </xf>
    <xf numFmtId="15" fontId="0" fillId="0" borderId="2" xfId="0" applyNumberFormat="1" applyBorder="1" applyAlignment="1">
      <alignment horizontal="center" vertical="center"/>
    </xf>
    <xf numFmtId="0" fontId="0" fillId="0" borderId="0" xfId="0" applyAlignment="1">
      <alignment horizontal="center" vertical="center"/>
    </xf>
    <xf numFmtId="15" fontId="0" fillId="0" borderId="2" xfId="0" applyNumberFormat="1" applyBorder="1" applyAlignment="1">
      <alignment horizontal="center" vertical="center"/>
    </xf>
    <xf numFmtId="0" fontId="0" fillId="0" borderId="0" xfId="0" applyAlignment="1">
      <alignment horizontal="center" vertical="center"/>
    </xf>
    <xf numFmtId="15" fontId="0" fillId="0" borderId="2" xfId="0" applyNumberFormat="1" applyBorder="1" applyAlignment="1">
      <alignment horizontal="center" vertical="center"/>
    </xf>
    <xf numFmtId="0" fontId="0" fillId="0" borderId="0" xfId="0" applyAlignment="1">
      <alignment horizontal="center" vertical="center"/>
    </xf>
    <xf numFmtId="15" fontId="0" fillId="0" borderId="2" xfId="0" applyNumberFormat="1" applyBorder="1" applyAlignment="1">
      <alignment horizontal="center" vertical="center"/>
    </xf>
    <xf numFmtId="0" fontId="0" fillId="0" borderId="0" xfId="0" applyAlignment="1">
      <alignment horizontal="center" vertical="center"/>
    </xf>
    <xf numFmtId="15" fontId="0" fillId="0" borderId="2" xfId="0" applyNumberFormat="1" applyBorder="1" applyAlignment="1">
      <alignment horizontal="center" vertical="center"/>
    </xf>
    <xf numFmtId="0" fontId="0" fillId="0" borderId="0" xfId="0" applyAlignment="1">
      <alignment horizontal="center" vertical="center"/>
    </xf>
    <xf numFmtId="15" fontId="0" fillId="0" borderId="2" xfId="0" applyNumberFormat="1" applyBorder="1" applyAlignment="1">
      <alignment horizontal="center" vertical="center"/>
    </xf>
    <xf numFmtId="0" fontId="0" fillId="0" borderId="0" xfId="0" applyAlignment="1">
      <alignment horizontal="center" vertical="center"/>
    </xf>
    <xf numFmtId="15" fontId="0" fillId="0" borderId="2" xfId="0" applyNumberFormat="1" applyBorder="1" applyAlignment="1">
      <alignment horizontal="center" vertical="center"/>
    </xf>
    <xf numFmtId="0" fontId="0" fillId="0" borderId="0" xfId="0" applyAlignment="1">
      <alignment horizontal="center" vertical="center"/>
    </xf>
    <xf numFmtId="15" fontId="0" fillId="0" borderId="2" xfId="0" applyNumberFormat="1" applyBorder="1" applyAlignment="1">
      <alignment horizontal="center" vertical="center"/>
    </xf>
    <xf numFmtId="165" fontId="0" fillId="0" borderId="0" xfId="0" applyNumberFormat="1">
      <alignment vertical="center"/>
    </xf>
    <xf numFmtId="3" fontId="72" fillId="22" borderId="40" xfId="0" applyNumberFormat="1" applyFont="1" applyFill="1" applyBorder="1" applyAlignment="1">
      <alignment horizontal="center" wrapText="1" readingOrder="1"/>
    </xf>
    <xf numFmtId="3" fontId="72" fillId="22" borderId="40" xfId="0" applyNumberFormat="1" applyFont="1" applyFill="1" applyBorder="1" applyAlignment="1">
      <alignment horizontal="center" vertical="center" wrapText="1" readingOrder="1"/>
    </xf>
    <xf numFmtId="0" fontId="72" fillId="22" borderId="40" xfId="0" applyFont="1" applyFill="1" applyBorder="1" applyAlignment="1">
      <alignment horizontal="center" vertical="center" wrapText="1" readingOrder="1"/>
    </xf>
    <xf numFmtId="168" fontId="0" fillId="0" borderId="0" xfId="0" applyNumberFormat="1">
      <alignment vertical="center"/>
    </xf>
    <xf numFmtId="0" fontId="0" fillId="0" borderId="0" xfId="0" applyAlignment="1">
      <alignment horizontal="center" vertical="center"/>
    </xf>
    <xf numFmtId="15" fontId="0" fillId="0" borderId="2" xfId="0" applyNumberFormat="1" applyBorder="1" applyAlignment="1">
      <alignment horizontal="center" vertical="center"/>
    </xf>
    <xf numFmtId="0" fontId="0" fillId="0" borderId="0" xfId="0" applyAlignment="1">
      <alignment horizontal="center" vertical="center"/>
    </xf>
    <xf numFmtId="15" fontId="0" fillId="0" borderId="2" xfId="0" applyNumberFormat="1" applyBorder="1" applyAlignment="1">
      <alignment horizontal="center" vertical="center"/>
    </xf>
    <xf numFmtId="0" fontId="0" fillId="0" borderId="0" xfId="0" applyAlignment="1">
      <alignment horizontal="center" vertical="center"/>
    </xf>
    <xf numFmtId="15" fontId="0" fillId="0" borderId="2" xfId="0" applyNumberFormat="1" applyBorder="1" applyAlignment="1">
      <alignment horizontal="center" vertical="center"/>
    </xf>
    <xf numFmtId="0" fontId="0" fillId="0" borderId="0" xfId="0" applyAlignment="1">
      <alignment horizontal="center" vertical="center"/>
    </xf>
    <xf numFmtId="0" fontId="0" fillId="0" borderId="2" xfId="0" applyBorder="1" applyAlignment="1">
      <alignment horizontal="center" vertical="center"/>
    </xf>
    <xf numFmtId="15" fontId="0" fillId="0" borderId="2" xfId="0" applyNumberFormat="1" applyBorder="1" applyAlignment="1">
      <alignment horizontal="center" vertical="center"/>
    </xf>
    <xf numFmtId="0" fontId="0" fillId="0" borderId="0" xfId="0" applyAlignment="1">
      <alignment horizontal="center" vertical="center"/>
    </xf>
    <xf numFmtId="0" fontId="0" fillId="0" borderId="2" xfId="0" applyBorder="1" applyAlignment="1">
      <alignment horizontal="center" vertical="center"/>
    </xf>
    <xf numFmtId="15" fontId="0" fillId="0" borderId="2" xfId="0" applyNumberFormat="1" applyBorder="1" applyAlignment="1">
      <alignment horizontal="center" vertical="center"/>
    </xf>
    <xf numFmtId="0" fontId="0" fillId="0" borderId="0" xfId="0" applyAlignment="1">
      <alignment horizontal="center" vertical="center"/>
    </xf>
    <xf numFmtId="15" fontId="0" fillId="0" borderId="2" xfId="0" applyNumberFormat="1" applyBorder="1" applyAlignment="1">
      <alignment horizontal="center" vertical="center"/>
    </xf>
    <xf numFmtId="0" fontId="0" fillId="0" borderId="0" xfId="0" applyAlignment="1">
      <alignment horizontal="center" vertical="center"/>
    </xf>
    <xf numFmtId="15" fontId="0" fillId="0" borderId="2" xfId="0" applyNumberFormat="1" applyBorder="1" applyAlignment="1">
      <alignment horizontal="center" vertical="center"/>
    </xf>
    <xf numFmtId="0" fontId="0" fillId="0" borderId="0" xfId="0" applyAlignment="1">
      <alignment horizontal="center" vertical="center"/>
    </xf>
    <xf numFmtId="0" fontId="0" fillId="0" borderId="2" xfId="0" applyBorder="1" applyAlignment="1">
      <alignment horizontal="center" vertical="center"/>
    </xf>
    <xf numFmtId="15" fontId="0" fillId="0" borderId="2" xfId="0" applyNumberFormat="1" applyBorder="1" applyAlignment="1">
      <alignment horizontal="center" vertical="center"/>
    </xf>
    <xf numFmtId="0" fontId="0" fillId="0" borderId="0" xfId="0" applyAlignment="1">
      <alignment horizontal="center" vertical="center"/>
    </xf>
    <xf numFmtId="0" fontId="0" fillId="0" borderId="2" xfId="0" applyBorder="1" applyAlignment="1">
      <alignment horizontal="center" vertical="center"/>
    </xf>
    <xf numFmtId="15" fontId="0" fillId="0" borderId="2" xfId="0" applyNumberFormat="1" applyBorder="1" applyAlignment="1">
      <alignment horizontal="center" vertical="center"/>
    </xf>
    <xf numFmtId="0" fontId="0" fillId="0" borderId="0" xfId="0" applyAlignment="1">
      <alignment horizontal="center" vertical="center"/>
    </xf>
    <xf numFmtId="15" fontId="0" fillId="0" borderId="2" xfId="0" applyNumberFormat="1" applyBorder="1" applyAlignment="1">
      <alignment horizontal="center" vertical="center"/>
    </xf>
    <xf numFmtId="0" fontId="0" fillId="0" borderId="0" xfId="0" applyAlignment="1">
      <alignment horizontal="center" vertical="center"/>
    </xf>
    <xf numFmtId="15" fontId="0" fillId="0" borderId="2" xfId="0" applyNumberFormat="1" applyBorder="1" applyAlignment="1">
      <alignment horizontal="center" vertical="center"/>
    </xf>
    <xf numFmtId="0" fontId="0" fillId="0" borderId="0" xfId="0" applyAlignment="1">
      <alignment horizontal="center" vertical="center"/>
    </xf>
    <xf numFmtId="15" fontId="0" fillId="0" borderId="2" xfId="0" applyNumberFormat="1" applyBorder="1" applyAlignment="1">
      <alignment horizontal="center" vertical="center"/>
    </xf>
    <xf numFmtId="0" fontId="0" fillId="0" borderId="2" xfId="0" applyBorder="1" applyAlignment="1">
      <alignment horizontal="center" vertical="center"/>
    </xf>
    <xf numFmtId="0" fontId="0" fillId="0" borderId="0" xfId="0" applyAlignment="1">
      <alignment horizontal="center" vertical="center"/>
    </xf>
    <xf numFmtId="0" fontId="0" fillId="0" borderId="2" xfId="0" applyBorder="1" applyAlignment="1">
      <alignment horizontal="center" vertical="center"/>
    </xf>
    <xf numFmtId="15" fontId="0" fillId="0" borderId="2" xfId="0" applyNumberFormat="1" applyBorder="1" applyAlignment="1">
      <alignment horizontal="center" vertical="center"/>
    </xf>
    <xf numFmtId="0" fontId="0" fillId="0" borderId="0" xfId="0" applyAlignment="1">
      <alignment horizontal="center" vertical="center"/>
    </xf>
    <xf numFmtId="0" fontId="0" fillId="0" borderId="2" xfId="0" applyBorder="1" applyAlignment="1">
      <alignment horizontal="center" vertical="center"/>
    </xf>
    <xf numFmtId="15" fontId="0" fillId="0" borderId="2" xfId="0" applyNumberFormat="1" applyBorder="1" applyAlignment="1">
      <alignment horizontal="center" vertical="center"/>
    </xf>
    <xf numFmtId="0" fontId="73" fillId="0" borderId="0" xfId="0" applyFont="1" applyAlignment="1">
      <alignment horizontal="center" vertical="center"/>
    </xf>
    <xf numFmtId="0" fontId="0" fillId="0" borderId="0" xfId="0" applyAlignment="1">
      <alignment horizontal="center" vertical="center"/>
    </xf>
    <xf numFmtId="15" fontId="0" fillId="0" borderId="2" xfId="0" applyNumberFormat="1" applyBorder="1" applyAlignment="1">
      <alignment horizontal="center" vertical="center"/>
    </xf>
    <xf numFmtId="0" fontId="0" fillId="0" borderId="0" xfId="0" applyAlignment="1">
      <alignment horizontal="center" vertical="center"/>
    </xf>
    <xf numFmtId="15" fontId="0" fillId="0" borderId="2" xfId="0" applyNumberFormat="1" applyBorder="1" applyAlignment="1">
      <alignment horizontal="center" vertical="center"/>
    </xf>
    <xf numFmtId="0" fontId="0" fillId="0" borderId="0" xfId="0" applyAlignment="1">
      <alignment horizontal="center" vertical="center"/>
    </xf>
    <xf numFmtId="0" fontId="0" fillId="0" borderId="2" xfId="0" applyBorder="1" applyAlignment="1">
      <alignment horizontal="center" vertical="center"/>
    </xf>
    <xf numFmtId="15" fontId="0" fillId="0" borderId="2" xfId="0" applyNumberFormat="1" applyBorder="1" applyAlignment="1">
      <alignment horizontal="center" vertical="center"/>
    </xf>
    <xf numFmtId="0" fontId="0" fillId="0" borderId="0" xfId="0" applyAlignment="1">
      <alignment horizontal="center" vertical="center"/>
    </xf>
    <xf numFmtId="0" fontId="0" fillId="0" borderId="2" xfId="0" applyBorder="1" applyAlignment="1">
      <alignment horizontal="center" vertical="center"/>
    </xf>
    <xf numFmtId="15" fontId="0" fillId="0" borderId="2" xfId="0" applyNumberFormat="1" applyBorder="1" applyAlignment="1">
      <alignment horizontal="center" vertical="center"/>
    </xf>
    <xf numFmtId="0" fontId="0" fillId="0" borderId="0" xfId="0" applyAlignment="1">
      <alignment horizontal="center" vertical="center"/>
    </xf>
    <xf numFmtId="15" fontId="0" fillId="0" borderId="2" xfId="0" applyNumberFormat="1" applyBorder="1" applyAlignment="1">
      <alignment horizontal="center" vertical="center"/>
    </xf>
    <xf numFmtId="0" fontId="0" fillId="0" borderId="0" xfId="0" applyAlignment="1">
      <alignment horizontal="center" vertical="center"/>
    </xf>
    <xf numFmtId="0" fontId="0" fillId="0" borderId="2" xfId="0" applyBorder="1" applyAlignment="1">
      <alignment horizontal="center" vertical="center"/>
    </xf>
    <xf numFmtId="15" fontId="0" fillId="0" borderId="2" xfId="0" applyNumberFormat="1" applyBorder="1" applyAlignment="1">
      <alignment horizontal="center" vertical="center"/>
    </xf>
    <xf numFmtId="0" fontId="0" fillId="0" borderId="0" xfId="0" applyAlignment="1">
      <alignment horizontal="center" vertical="center"/>
    </xf>
    <xf numFmtId="0" fontId="0" fillId="0" borderId="2" xfId="0" applyBorder="1" applyAlignment="1">
      <alignment horizontal="center" vertical="center"/>
    </xf>
    <xf numFmtId="15" fontId="0" fillId="0" borderId="2" xfId="0" applyNumberFormat="1" applyBorder="1" applyAlignment="1">
      <alignment horizontal="center" vertical="center"/>
    </xf>
    <xf numFmtId="0" fontId="0" fillId="0" borderId="0" xfId="0" applyAlignment="1">
      <alignment horizontal="center" vertical="center"/>
    </xf>
    <xf numFmtId="0" fontId="0" fillId="0" borderId="2" xfId="0" applyBorder="1" applyAlignment="1">
      <alignment horizontal="center" vertical="center"/>
    </xf>
    <xf numFmtId="15" fontId="0" fillId="0" borderId="2" xfId="0" applyNumberFormat="1" applyBorder="1" applyAlignment="1">
      <alignment horizontal="center" vertical="center"/>
    </xf>
    <xf numFmtId="0" fontId="0" fillId="0" borderId="0" xfId="0" applyAlignment="1">
      <alignment horizontal="center" vertical="center"/>
    </xf>
    <xf numFmtId="0" fontId="0" fillId="0" borderId="2" xfId="0" applyBorder="1" applyAlignment="1">
      <alignment horizontal="center" vertical="center"/>
    </xf>
    <xf numFmtId="15" fontId="0" fillId="0" borderId="2" xfId="0" applyNumberFormat="1" applyBorder="1" applyAlignment="1">
      <alignment horizontal="center" vertical="center"/>
    </xf>
    <xf numFmtId="0" fontId="0" fillId="0" borderId="0" xfId="0" applyAlignment="1">
      <alignment horizontal="center" vertical="center"/>
    </xf>
    <xf numFmtId="0" fontId="0" fillId="0" borderId="2" xfId="0" applyBorder="1" applyAlignment="1">
      <alignment horizontal="center" vertical="center"/>
    </xf>
    <xf numFmtId="15" fontId="0" fillId="0" borderId="2" xfId="0" applyNumberFormat="1" applyBorder="1" applyAlignment="1">
      <alignment horizontal="center" vertical="center"/>
    </xf>
    <xf numFmtId="0" fontId="0" fillId="0" borderId="0" xfId="0" applyAlignment="1">
      <alignment horizontal="center" vertical="center"/>
    </xf>
    <xf numFmtId="0" fontId="0" fillId="0" borderId="2" xfId="0" applyBorder="1" applyAlignment="1">
      <alignment horizontal="center" vertical="center"/>
    </xf>
    <xf numFmtId="15" fontId="0" fillId="0" borderId="2" xfId="0" applyNumberFormat="1" applyBorder="1" applyAlignment="1">
      <alignment horizontal="center" vertical="center"/>
    </xf>
    <xf numFmtId="0" fontId="0" fillId="3" borderId="2" xfId="0" applyFill="1" applyBorder="1" applyAlignment="1">
      <alignment horizontal="center" vertical="center"/>
    </xf>
    <xf numFmtId="0" fontId="0" fillId="0" borderId="0" xfId="0" applyAlignment="1">
      <alignment horizontal="center" vertical="center"/>
    </xf>
    <xf numFmtId="0" fontId="0" fillId="0" borderId="2" xfId="0" applyBorder="1" applyAlignment="1">
      <alignment horizontal="center" vertical="center"/>
    </xf>
    <xf numFmtId="0" fontId="0" fillId="0" borderId="0" xfId="0" applyAlignment="1">
      <alignment horizontal="center" vertical="center"/>
    </xf>
    <xf numFmtId="0" fontId="0" fillId="0" borderId="2" xfId="0" applyBorder="1" applyAlignment="1">
      <alignment horizontal="center" vertical="center"/>
    </xf>
    <xf numFmtId="15" fontId="0" fillId="0" borderId="2" xfId="0" applyNumberFormat="1" applyBorder="1" applyAlignment="1">
      <alignment horizontal="center" vertical="center"/>
    </xf>
    <xf numFmtId="0" fontId="0" fillId="11" borderId="2" xfId="0" applyFill="1" applyBorder="1" applyAlignment="1">
      <alignment horizontal="center" vertical="center"/>
    </xf>
    <xf numFmtId="1" fontId="0" fillId="11" borderId="2" xfId="0" applyNumberFormat="1" applyFill="1" applyBorder="1" applyAlignment="1">
      <alignment horizontal="center" vertical="center"/>
    </xf>
    <xf numFmtId="167" fontId="74" fillId="0" borderId="2" xfId="0" applyNumberFormat="1" applyFont="1" applyBorder="1" applyAlignment="1">
      <alignment horizontal="center" vertical="center"/>
    </xf>
    <xf numFmtId="167" fontId="74" fillId="4" borderId="2" xfId="0" applyNumberFormat="1" applyFont="1" applyFill="1" applyBorder="1" applyAlignment="1">
      <alignment horizontal="center" vertical="center"/>
    </xf>
    <xf numFmtId="0" fontId="0" fillId="0" borderId="0" xfId="0" applyAlignment="1">
      <alignment horizontal="center" vertical="center"/>
    </xf>
    <xf numFmtId="0" fontId="0" fillId="0" borderId="2" xfId="0" applyBorder="1" applyAlignment="1">
      <alignment horizontal="center" vertical="center"/>
    </xf>
    <xf numFmtId="15" fontId="0" fillId="0" borderId="2" xfId="0" applyNumberFormat="1" applyBorder="1" applyAlignment="1">
      <alignment horizontal="center" vertical="center"/>
    </xf>
    <xf numFmtId="0" fontId="0" fillId="0" borderId="0" xfId="0" applyAlignment="1">
      <alignment horizontal="center" vertical="center"/>
    </xf>
    <xf numFmtId="15" fontId="0" fillId="0" borderId="2" xfId="0" applyNumberFormat="1" applyBorder="1" applyAlignment="1">
      <alignment horizontal="center" vertical="center"/>
    </xf>
    <xf numFmtId="0" fontId="0" fillId="0" borderId="2" xfId="0" applyBorder="1" applyAlignment="1">
      <alignment horizontal="center" vertical="center"/>
    </xf>
    <xf numFmtId="0" fontId="0" fillId="0" borderId="0" xfId="0" applyAlignment="1">
      <alignment horizontal="center" vertical="center"/>
    </xf>
    <xf numFmtId="0" fontId="0" fillId="0" borderId="2" xfId="0" applyBorder="1" applyAlignment="1">
      <alignment horizontal="center" vertical="center"/>
    </xf>
    <xf numFmtId="15" fontId="0" fillId="0" borderId="2" xfId="0" applyNumberFormat="1" applyBorder="1" applyAlignment="1">
      <alignment horizontal="center" vertical="center"/>
    </xf>
    <xf numFmtId="0" fontId="0" fillId="0" borderId="0" xfId="0" applyAlignment="1">
      <alignment horizontal="center" vertical="center"/>
    </xf>
    <xf numFmtId="0" fontId="0" fillId="0" borderId="2" xfId="0" applyBorder="1" applyAlignment="1">
      <alignment horizontal="center" vertical="center"/>
    </xf>
    <xf numFmtId="15" fontId="0" fillId="0" borderId="2" xfId="0" applyNumberFormat="1" applyBorder="1" applyAlignment="1">
      <alignment horizontal="center" vertical="center"/>
    </xf>
    <xf numFmtId="0" fontId="0" fillId="0" borderId="0" xfId="0" applyAlignment="1">
      <alignment horizontal="center" vertical="center"/>
    </xf>
    <xf numFmtId="0" fontId="0" fillId="0" borderId="2" xfId="0" applyBorder="1" applyAlignment="1">
      <alignment horizontal="center" vertical="center"/>
    </xf>
    <xf numFmtId="15" fontId="0" fillId="0" borderId="2" xfId="0" applyNumberFormat="1" applyBorder="1" applyAlignment="1">
      <alignment horizontal="center" vertical="center"/>
    </xf>
    <xf numFmtId="0" fontId="0" fillId="0" borderId="16" xfId="0" applyBorder="1" applyAlignment="1">
      <alignment horizontal="center" vertical="center"/>
    </xf>
    <xf numFmtId="0" fontId="0" fillId="0" borderId="0" xfId="0" applyAlignment="1">
      <alignment horizontal="center" vertical="center"/>
    </xf>
    <xf numFmtId="0" fontId="0" fillId="0" borderId="2" xfId="0" applyBorder="1" applyAlignment="1">
      <alignment horizontal="center" vertical="center"/>
    </xf>
    <xf numFmtId="15" fontId="0" fillId="0" borderId="2" xfId="0" applyNumberFormat="1" applyBorder="1" applyAlignment="1">
      <alignment horizontal="center" vertical="center"/>
    </xf>
    <xf numFmtId="0" fontId="73" fillId="4" borderId="0" xfId="0" applyFont="1" applyFill="1" applyAlignment="1">
      <alignment horizontal="center" vertical="center" wrapText="1"/>
    </xf>
    <xf numFmtId="0" fontId="75" fillId="4" borderId="2" xfId="0" applyFont="1" applyFill="1" applyBorder="1" applyAlignment="1">
      <alignment horizontal="center" vertical="center"/>
    </xf>
    <xf numFmtId="0" fontId="0" fillId="0" borderId="0" xfId="0" applyAlignment="1">
      <alignment horizontal="center" vertical="center"/>
    </xf>
    <xf numFmtId="15" fontId="0" fillId="0" borderId="2" xfId="0" applyNumberFormat="1" applyBorder="1" applyAlignment="1">
      <alignment horizontal="center" vertical="center"/>
    </xf>
    <xf numFmtId="0" fontId="0" fillId="0" borderId="0" xfId="0" applyAlignment="1">
      <alignment horizontal="center" vertical="center"/>
    </xf>
    <xf numFmtId="0" fontId="0" fillId="0" borderId="2" xfId="0" applyBorder="1" applyAlignment="1">
      <alignment horizontal="center" vertical="center"/>
    </xf>
    <xf numFmtId="15" fontId="0" fillId="0" borderId="2" xfId="0" applyNumberFormat="1" applyBorder="1" applyAlignment="1">
      <alignment horizontal="center" vertical="center"/>
    </xf>
    <xf numFmtId="0" fontId="0" fillId="0" borderId="0" xfId="0" applyAlignment="1">
      <alignment horizontal="center" vertical="center"/>
    </xf>
    <xf numFmtId="0" fontId="0" fillId="0" borderId="2" xfId="0" applyBorder="1" applyAlignment="1">
      <alignment horizontal="center" vertical="center"/>
    </xf>
    <xf numFmtId="15" fontId="0" fillId="0" borderId="2" xfId="0" applyNumberFormat="1" applyBorder="1" applyAlignment="1">
      <alignment horizontal="center" vertical="center"/>
    </xf>
    <xf numFmtId="0" fontId="0" fillId="0" borderId="0" xfId="0" applyAlignment="1">
      <alignment horizontal="center" vertical="center"/>
    </xf>
    <xf numFmtId="0" fontId="0" fillId="0" borderId="2" xfId="0" applyBorder="1" applyAlignment="1">
      <alignment horizontal="center" vertical="center"/>
    </xf>
    <xf numFmtId="15" fontId="0" fillId="0" borderId="2" xfId="0" applyNumberFormat="1" applyBorder="1" applyAlignment="1">
      <alignment horizontal="center" vertical="center"/>
    </xf>
    <xf numFmtId="0" fontId="76" fillId="0" borderId="0" xfId="0" applyFont="1" applyAlignment="1">
      <alignment horizontal="center" vertical="center" wrapText="1"/>
    </xf>
    <xf numFmtId="0" fontId="0" fillId="0" borderId="0" xfId="0" applyAlignment="1">
      <alignment horizontal="center" vertical="center"/>
    </xf>
    <xf numFmtId="15" fontId="0" fillId="0" borderId="2" xfId="0" applyNumberFormat="1" applyBorder="1" applyAlignment="1">
      <alignment horizontal="center" vertical="center"/>
    </xf>
    <xf numFmtId="0" fontId="0" fillId="0" borderId="2" xfId="0" applyBorder="1" applyAlignment="1">
      <alignment horizontal="center" vertical="center"/>
    </xf>
    <xf numFmtId="0" fontId="0" fillId="0" borderId="2" xfId="0" applyBorder="1" applyAlignment="1">
      <alignment horizontal="center" vertical="center"/>
    </xf>
    <xf numFmtId="0" fontId="0" fillId="0" borderId="0" xfId="0" applyAlignment="1">
      <alignment horizontal="center" vertical="center"/>
    </xf>
    <xf numFmtId="0" fontId="0" fillId="0" borderId="2" xfId="0" applyBorder="1" applyAlignment="1">
      <alignment horizontal="center" vertical="center"/>
    </xf>
    <xf numFmtId="15" fontId="0" fillId="0" borderId="2" xfId="0" applyNumberFormat="1" applyBorder="1" applyAlignment="1">
      <alignment horizontal="center" vertical="center"/>
    </xf>
    <xf numFmtId="0" fontId="0" fillId="0" borderId="0" xfId="0" applyAlignment="1">
      <alignment horizontal="center" vertical="center"/>
    </xf>
    <xf numFmtId="15" fontId="0" fillId="0" borderId="2" xfId="0" applyNumberFormat="1" applyBorder="1" applyAlignment="1">
      <alignment horizontal="center" vertical="center"/>
    </xf>
    <xf numFmtId="0" fontId="0" fillId="0" borderId="2" xfId="0" applyBorder="1" applyAlignment="1">
      <alignment horizontal="center" vertical="center"/>
    </xf>
    <xf numFmtId="0" fontId="0" fillId="0" borderId="0" xfId="0" applyAlignment="1">
      <alignment horizontal="center" vertical="center"/>
    </xf>
    <xf numFmtId="0" fontId="0" fillId="0" borderId="2" xfId="0" applyBorder="1" applyAlignment="1">
      <alignment horizontal="center" vertical="center"/>
    </xf>
    <xf numFmtId="15" fontId="0" fillId="0" borderId="2" xfId="0" applyNumberFormat="1" applyBorder="1" applyAlignment="1">
      <alignment horizontal="center" vertical="center"/>
    </xf>
    <xf numFmtId="0" fontId="0" fillId="0" borderId="0" xfId="0" applyAlignment="1">
      <alignment horizontal="center" vertical="center"/>
    </xf>
    <xf numFmtId="0" fontId="0" fillId="0" borderId="2" xfId="0" applyBorder="1" applyAlignment="1">
      <alignment horizontal="center" vertical="center"/>
    </xf>
    <xf numFmtId="15" fontId="0" fillId="0" borderId="2" xfId="0" applyNumberFormat="1" applyBorder="1" applyAlignment="1">
      <alignment horizontal="center" vertical="center"/>
    </xf>
    <xf numFmtId="16" fontId="66" fillId="13" borderId="15" xfId="0" applyNumberFormat="1" applyFont="1" applyFill="1" applyBorder="1" applyAlignment="1">
      <alignment horizontal="center" vertical="center"/>
    </xf>
    <xf numFmtId="0" fontId="0" fillId="0" borderId="0" xfId="0" applyAlignment="1">
      <alignment horizontal="center" vertical="center"/>
    </xf>
    <xf numFmtId="15" fontId="0" fillId="0" borderId="2" xfId="0" applyNumberFormat="1" applyBorder="1" applyAlignment="1">
      <alignment horizontal="center" vertical="center"/>
    </xf>
    <xf numFmtId="0" fontId="0" fillId="0" borderId="0" xfId="0" applyAlignment="1">
      <alignment horizontal="center" vertical="center"/>
    </xf>
    <xf numFmtId="0" fontId="0" fillId="0" borderId="2" xfId="0" applyBorder="1" applyAlignment="1">
      <alignment horizontal="center" vertical="center"/>
    </xf>
    <xf numFmtId="15" fontId="0" fillId="0" borderId="2" xfId="0" applyNumberFormat="1" applyBorder="1" applyAlignment="1">
      <alignment horizontal="center" vertical="center"/>
    </xf>
    <xf numFmtId="0" fontId="0" fillId="0" borderId="2" xfId="0" applyBorder="1" applyAlignment="1">
      <alignment horizontal="center" vertical="center"/>
    </xf>
    <xf numFmtId="0" fontId="0" fillId="0" borderId="2" xfId="0" applyBorder="1" applyAlignment="1">
      <alignment horizontal="center" vertical="center"/>
    </xf>
    <xf numFmtId="0" fontId="75" fillId="0" borderId="23" xfId="0" applyFont="1" applyBorder="1" applyAlignment="1">
      <alignment horizontal="center" vertical="center" wrapText="1"/>
    </xf>
    <xf numFmtId="0" fontId="0" fillId="0" borderId="2" xfId="0" applyBorder="1" applyAlignment="1">
      <alignment horizontal="center" vertical="center"/>
    </xf>
    <xf numFmtId="0" fontId="0" fillId="0" borderId="2" xfId="0" applyBorder="1" applyAlignment="1">
      <alignment horizontal="center" vertical="center"/>
    </xf>
    <xf numFmtId="0" fontId="0" fillId="0" borderId="2" xfId="0" applyBorder="1" applyAlignment="1">
      <alignment horizontal="center" vertical="center"/>
    </xf>
    <xf numFmtId="0" fontId="0" fillId="0" borderId="2" xfId="0" applyBorder="1" applyAlignment="1">
      <alignment horizontal="center" vertical="center"/>
    </xf>
    <xf numFmtId="0" fontId="0" fillId="0" borderId="2" xfId="0" applyBorder="1" applyAlignment="1">
      <alignment horizontal="center" vertical="center"/>
    </xf>
    <xf numFmtId="0" fontId="0" fillId="0" borderId="0" xfId="0" applyAlignment="1">
      <alignment horizontal="center" vertical="center"/>
    </xf>
    <xf numFmtId="0" fontId="0" fillId="0" borderId="2" xfId="0" applyBorder="1" applyAlignment="1">
      <alignment horizontal="center" vertical="center"/>
    </xf>
    <xf numFmtId="15" fontId="0" fillId="0" borderId="2" xfId="0" applyNumberFormat="1" applyBorder="1" applyAlignment="1">
      <alignment horizontal="center" vertical="center"/>
    </xf>
    <xf numFmtId="38" fontId="43" fillId="3" borderId="12" xfId="0" applyNumberFormat="1" applyFont="1" applyFill="1" applyBorder="1" applyAlignment="1">
      <alignment horizontal="center" vertical="center"/>
    </xf>
    <xf numFmtId="38" fontId="44" fillId="18" borderId="12" xfId="0" applyNumberFormat="1" applyFont="1" applyFill="1" applyBorder="1" applyAlignment="1">
      <alignment horizontal="center" vertical="center"/>
    </xf>
    <xf numFmtId="0" fontId="0" fillId="0" borderId="5" xfId="0" applyBorder="1">
      <alignment vertical="center"/>
    </xf>
    <xf numFmtId="0" fontId="0" fillId="0" borderId="6" xfId="0" applyBorder="1">
      <alignment vertical="center"/>
    </xf>
    <xf numFmtId="165" fontId="44" fillId="6" borderId="41" xfId="0" applyNumberFormat="1" applyFont="1" applyFill="1" applyBorder="1" applyAlignment="1">
      <alignment horizontal="center" vertical="center"/>
    </xf>
    <xf numFmtId="165" fontId="44" fillId="6" borderId="42" xfId="0" applyNumberFormat="1" applyFont="1" applyFill="1" applyBorder="1" applyAlignment="1">
      <alignment horizontal="center" vertical="center"/>
    </xf>
    <xf numFmtId="38" fontId="43" fillId="3" borderId="41" xfId="0" applyNumberFormat="1" applyFont="1" applyFill="1" applyBorder="1" applyAlignment="1">
      <alignment horizontal="center" vertical="center"/>
    </xf>
    <xf numFmtId="38" fontId="43" fillId="3" borderId="42" xfId="0" applyNumberFormat="1" applyFont="1" applyFill="1" applyBorder="1" applyAlignment="1">
      <alignment horizontal="center" vertical="center"/>
    </xf>
    <xf numFmtId="38" fontId="44" fillId="7" borderId="41" xfId="0" applyNumberFormat="1" applyFont="1" applyFill="1" applyBorder="1" applyAlignment="1">
      <alignment horizontal="center" vertical="center"/>
    </xf>
    <xf numFmtId="38" fontId="44" fillId="7" borderId="42" xfId="0" applyNumberFormat="1" applyFont="1" applyFill="1" applyBorder="1" applyAlignment="1">
      <alignment horizontal="center" vertical="center"/>
    </xf>
    <xf numFmtId="0" fontId="0" fillId="0" borderId="0" xfId="0" applyBorder="1">
      <alignment vertical="center"/>
    </xf>
    <xf numFmtId="38" fontId="44" fillId="3" borderId="41" xfId="0" applyNumberFormat="1" applyFont="1" applyFill="1" applyBorder="1" applyAlignment="1">
      <alignment horizontal="center" vertical="center"/>
    </xf>
    <xf numFmtId="38" fontId="44" fillId="3" borderId="12" xfId="0" applyNumberFormat="1" applyFont="1" applyFill="1" applyBorder="1" applyAlignment="1">
      <alignment horizontal="center" vertical="center"/>
    </xf>
    <xf numFmtId="0" fontId="0" fillId="0" borderId="0" xfId="0" applyAlignment="1">
      <alignment horizontal="center" vertical="center"/>
    </xf>
    <xf numFmtId="15" fontId="0" fillId="0" borderId="2" xfId="0" applyNumberFormat="1" applyBorder="1" applyAlignment="1">
      <alignment horizontal="center" vertical="center"/>
    </xf>
    <xf numFmtId="0" fontId="75" fillId="0" borderId="23" xfId="0" applyFont="1" applyBorder="1" applyAlignment="1">
      <alignment horizontal="center" vertical="center"/>
    </xf>
    <xf numFmtId="0" fontId="0" fillId="0" borderId="0" xfId="0" applyAlignment="1">
      <alignment horizontal="center" vertical="center"/>
    </xf>
    <xf numFmtId="15" fontId="0" fillId="0" borderId="2" xfId="0" applyNumberFormat="1" applyBorder="1" applyAlignment="1">
      <alignment horizontal="center" vertical="center"/>
    </xf>
    <xf numFmtId="38" fontId="44" fillId="3" borderId="42" xfId="0" applyNumberFormat="1" applyFont="1" applyFill="1" applyBorder="1" applyAlignment="1">
      <alignment horizontal="center" vertical="center"/>
    </xf>
    <xf numFmtId="0" fontId="0" fillId="0" borderId="0" xfId="0" applyAlignment="1">
      <alignment horizontal="center" vertical="center"/>
    </xf>
    <xf numFmtId="0" fontId="0" fillId="0" borderId="2" xfId="0" applyBorder="1" applyAlignment="1">
      <alignment horizontal="center" vertical="center"/>
    </xf>
    <xf numFmtId="15" fontId="0" fillId="0" borderId="2" xfId="0" applyNumberFormat="1" applyBorder="1" applyAlignment="1">
      <alignment horizontal="center" vertical="center"/>
    </xf>
    <xf numFmtId="0" fontId="0" fillId="0" borderId="2" xfId="0" applyBorder="1" applyAlignment="1">
      <alignment horizontal="center" vertical="center"/>
    </xf>
    <xf numFmtId="0" fontId="0" fillId="0" borderId="2" xfId="0" applyBorder="1" applyAlignment="1">
      <alignment horizontal="center" vertical="center"/>
    </xf>
    <xf numFmtId="38" fontId="43" fillId="9" borderId="12" xfId="0" applyNumberFormat="1" applyFont="1" applyFill="1" applyBorder="1" applyAlignment="1">
      <alignment horizontal="center" vertical="center"/>
    </xf>
    <xf numFmtId="165" fontId="44" fillId="6" borderId="49" xfId="0" applyNumberFormat="1" applyFont="1" applyFill="1" applyBorder="1" applyAlignment="1">
      <alignment horizontal="center" vertical="center"/>
    </xf>
    <xf numFmtId="38" fontId="43" fillId="3" borderId="50" xfId="0" applyNumberFormat="1" applyFont="1" applyFill="1" applyBorder="1" applyAlignment="1">
      <alignment horizontal="center" vertical="center"/>
    </xf>
    <xf numFmtId="38" fontId="44" fillId="3" borderId="50" xfId="0" applyNumberFormat="1" applyFont="1" applyFill="1" applyBorder="1" applyAlignment="1">
      <alignment horizontal="center" vertical="center"/>
    </xf>
    <xf numFmtId="38" fontId="43" fillId="9" borderId="52" xfId="0" applyNumberFormat="1" applyFont="1" applyFill="1" applyBorder="1" applyAlignment="1">
      <alignment horizontal="center" vertical="center"/>
    </xf>
    <xf numFmtId="165" fontId="44" fillId="6" borderId="53" xfId="0" applyNumberFormat="1" applyFont="1" applyFill="1" applyBorder="1" applyAlignment="1">
      <alignment horizontal="center" vertical="center"/>
    </xf>
    <xf numFmtId="165" fontId="44" fillId="6" borderId="54" xfId="0" applyNumberFormat="1" applyFont="1" applyFill="1" applyBorder="1" applyAlignment="1">
      <alignment horizontal="center" vertical="center"/>
    </xf>
    <xf numFmtId="165" fontId="44" fillId="6" borderId="55" xfId="0" applyNumberFormat="1" applyFont="1" applyFill="1" applyBorder="1" applyAlignment="1">
      <alignment horizontal="center" vertical="center"/>
    </xf>
    <xf numFmtId="38" fontId="43" fillId="9" borderId="45" xfId="0" applyNumberFormat="1" applyFont="1" applyFill="1" applyBorder="1" applyAlignment="1">
      <alignment horizontal="center" vertical="center"/>
    </xf>
    <xf numFmtId="38" fontId="43" fillId="9" borderId="47" xfId="0" applyNumberFormat="1" applyFont="1" applyFill="1" applyBorder="1" applyAlignment="1">
      <alignment horizontal="center" vertical="center"/>
    </xf>
    <xf numFmtId="38" fontId="43" fillId="9" borderId="48" xfId="0" applyNumberFormat="1" applyFont="1" applyFill="1" applyBorder="1" applyAlignment="1">
      <alignment horizontal="center" vertical="center"/>
    </xf>
    <xf numFmtId="0" fontId="0" fillId="0" borderId="2" xfId="0" applyBorder="1" applyAlignment="1">
      <alignment horizontal="center" vertical="center"/>
    </xf>
    <xf numFmtId="0" fontId="0" fillId="0" borderId="0" xfId="0" applyAlignment="1">
      <alignment horizontal="center" vertical="center"/>
    </xf>
    <xf numFmtId="0" fontId="0" fillId="0" borderId="2" xfId="0" applyBorder="1" applyAlignment="1">
      <alignment horizontal="center" vertical="center"/>
    </xf>
    <xf numFmtId="15" fontId="0" fillId="0" borderId="2" xfId="0" applyNumberFormat="1" applyBorder="1" applyAlignment="1">
      <alignment horizontal="center" vertical="center"/>
    </xf>
    <xf numFmtId="0" fontId="0" fillId="0" borderId="0" xfId="0" applyAlignment="1">
      <alignment horizontal="center" vertical="center"/>
    </xf>
    <xf numFmtId="0" fontId="0" fillId="0" borderId="2" xfId="0" applyBorder="1" applyAlignment="1">
      <alignment horizontal="center" vertical="center"/>
    </xf>
    <xf numFmtId="15" fontId="0" fillId="0" borderId="2" xfId="0" applyNumberFormat="1" applyBorder="1" applyAlignment="1">
      <alignment horizontal="center" vertical="center"/>
    </xf>
    <xf numFmtId="38" fontId="44" fillId="7" borderId="50" xfId="0" applyNumberFormat="1" applyFont="1" applyFill="1" applyBorder="1" applyAlignment="1">
      <alignment horizontal="center" vertical="center"/>
    </xf>
    <xf numFmtId="0" fontId="0" fillId="0" borderId="0" xfId="0" applyAlignment="1">
      <alignment horizontal="center" vertical="center"/>
    </xf>
    <xf numFmtId="0" fontId="0" fillId="0" borderId="2" xfId="0" applyBorder="1" applyAlignment="1">
      <alignment horizontal="center" vertical="center"/>
    </xf>
    <xf numFmtId="15" fontId="0" fillId="0" borderId="2" xfId="0" applyNumberFormat="1" applyBorder="1" applyAlignment="1">
      <alignment horizontal="center" vertical="center"/>
    </xf>
    <xf numFmtId="0" fontId="0" fillId="0" borderId="2" xfId="0" applyBorder="1" applyAlignment="1">
      <alignment horizontal="center" vertical="center"/>
    </xf>
    <xf numFmtId="0" fontId="0" fillId="0" borderId="2" xfId="0" applyBorder="1" applyAlignment="1">
      <alignment horizontal="center" vertical="center" wrapText="1"/>
    </xf>
    <xf numFmtId="0" fontId="0" fillId="0" borderId="2" xfId="0" applyBorder="1" applyAlignment="1">
      <alignment horizontal="center" vertical="center"/>
    </xf>
    <xf numFmtId="0" fontId="0" fillId="0" borderId="2" xfId="0" applyBorder="1" applyAlignment="1">
      <alignment vertical="center" wrapText="1"/>
    </xf>
    <xf numFmtId="16" fontId="35" fillId="13" borderId="2" xfId="0" applyNumberFormat="1" applyFont="1" applyFill="1" applyBorder="1" applyAlignment="1">
      <alignment horizontal="center" vertical="center"/>
    </xf>
    <xf numFmtId="0" fontId="50" fillId="0" borderId="0" xfId="0" applyFont="1" applyBorder="1" applyAlignment="1">
      <alignment vertical="center"/>
    </xf>
    <xf numFmtId="0" fontId="0" fillId="0" borderId="2" xfId="0" applyBorder="1" applyAlignment="1">
      <alignment horizontal="center" vertical="center"/>
    </xf>
    <xf numFmtId="0" fontId="0" fillId="0" borderId="2" xfId="0" applyBorder="1" applyAlignment="1">
      <alignment horizontal="center" vertical="center"/>
    </xf>
    <xf numFmtId="0" fontId="0" fillId="0" borderId="2" xfId="0" applyBorder="1" applyAlignment="1">
      <alignment horizontal="center" vertical="center"/>
    </xf>
    <xf numFmtId="0" fontId="0" fillId="0" borderId="2" xfId="0" applyBorder="1" applyAlignment="1">
      <alignment horizontal="center" vertical="center"/>
    </xf>
    <xf numFmtId="0" fontId="0" fillId="0" borderId="2" xfId="0" applyBorder="1" applyAlignment="1">
      <alignment horizontal="center" vertical="center"/>
    </xf>
    <xf numFmtId="0" fontId="77" fillId="0" borderId="56" xfId="0" applyFont="1" applyBorder="1" applyAlignment="1">
      <alignment horizontal="center" vertical="center"/>
    </xf>
    <xf numFmtId="0" fontId="77" fillId="0" borderId="8" xfId="0" applyFont="1" applyBorder="1" applyAlignment="1">
      <alignment horizontal="center" vertical="center"/>
    </xf>
    <xf numFmtId="0" fontId="77" fillId="0" borderId="8" xfId="0" applyFont="1" applyBorder="1">
      <alignment vertical="center"/>
    </xf>
    <xf numFmtId="0" fontId="77" fillId="0" borderId="8" xfId="0" applyFont="1" applyBorder="1" applyAlignment="1">
      <alignment vertical="center" wrapText="1"/>
    </xf>
    <xf numFmtId="0" fontId="0" fillId="0" borderId="2" xfId="0" applyBorder="1" applyAlignment="1">
      <alignment horizontal="center" vertical="center"/>
    </xf>
    <xf numFmtId="0" fontId="0" fillId="0" borderId="2" xfId="0" applyBorder="1" applyAlignment="1">
      <alignment horizontal="center" vertical="center"/>
    </xf>
    <xf numFmtId="0" fontId="0" fillId="0" borderId="2" xfId="0" applyBorder="1" applyAlignment="1">
      <alignment horizontal="center" vertical="center"/>
    </xf>
    <xf numFmtId="16" fontId="35" fillId="13" borderId="12" xfId="0" applyNumberFormat="1" applyFont="1" applyFill="1" applyBorder="1" applyAlignment="1">
      <alignment horizontal="center" vertical="center"/>
    </xf>
    <xf numFmtId="0" fontId="0" fillId="0" borderId="14" xfId="0" applyBorder="1" applyAlignment="1">
      <alignment vertical="center" wrapText="1"/>
    </xf>
    <xf numFmtId="0" fontId="0" fillId="0" borderId="22" xfId="0" applyBorder="1">
      <alignment vertical="center"/>
    </xf>
    <xf numFmtId="0" fontId="0" fillId="0" borderId="2" xfId="0" applyBorder="1" applyAlignment="1">
      <alignment horizontal="center" vertical="center"/>
    </xf>
    <xf numFmtId="0" fontId="0" fillId="0" borderId="22" xfId="0" applyBorder="1" applyAlignment="1">
      <alignment vertical="center" wrapText="1"/>
    </xf>
    <xf numFmtId="38" fontId="44" fillId="3" borderId="23" xfId="0" applyNumberFormat="1" applyFont="1" applyFill="1" applyBorder="1" applyAlignment="1">
      <alignment horizontal="center" vertical="center"/>
    </xf>
    <xf numFmtId="0" fontId="0" fillId="0" borderId="2" xfId="0" applyBorder="1" applyAlignment="1">
      <alignment horizontal="center" vertical="center"/>
    </xf>
    <xf numFmtId="0" fontId="0" fillId="0" borderId="2" xfId="0" applyBorder="1" applyAlignment="1">
      <alignment horizontal="center" vertical="center"/>
    </xf>
    <xf numFmtId="0" fontId="0" fillId="0" borderId="2" xfId="0" applyBorder="1" applyAlignment="1">
      <alignment horizontal="center" vertical="center"/>
    </xf>
    <xf numFmtId="0" fontId="0" fillId="0" borderId="2" xfId="0" applyBorder="1" applyAlignment="1">
      <alignment horizontal="center" vertical="center"/>
    </xf>
    <xf numFmtId="0" fontId="0" fillId="0" borderId="2" xfId="0" applyBorder="1" applyAlignment="1">
      <alignment horizontal="center" vertical="center"/>
    </xf>
    <xf numFmtId="0" fontId="0" fillId="0" borderId="2" xfId="0" applyBorder="1" applyAlignment="1">
      <alignment horizontal="center" vertical="center"/>
    </xf>
    <xf numFmtId="0" fontId="0" fillId="0" borderId="2" xfId="0" applyBorder="1" applyAlignment="1">
      <alignment horizontal="center" vertical="center"/>
    </xf>
    <xf numFmtId="0" fontId="0" fillId="0" borderId="2" xfId="0" applyBorder="1" applyAlignment="1">
      <alignment horizontal="center" vertical="center"/>
    </xf>
    <xf numFmtId="0" fontId="0" fillId="0" borderId="2" xfId="0" applyBorder="1" applyAlignment="1">
      <alignment horizontal="center" vertical="center"/>
    </xf>
    <xf numFmtId="0" fontId="0" fillId="13" borderId="0" xfId="0" applyFill="1" applyAlignment="1">
      <alignment horizontal="center" vertical="center"/>
    </xf>
    <xf numFmtId="0" fontId="0" fillId="0" borderId="2" xfId="0" applyBorder="1" applyAlignment="1">
      <alignment horizontal="center" vertical="center"/>
    </xf>
    <xf numFmtId="0" fontId="0" fillId="0" borderId="2" xfId="0" applyBorder="1" applyAlignment="1">
      <alignment horizontal="center" vertical="center"/>
    </xf>
    <xf numFmtId="0" fontId="0" fillId="0" borderId="0" xfId="0" applyAlignment="1">
      <alignment horizontal="center" vertical="center"/>
    </xf>
    <xf numFmtId="0" fontId="0" fillId="0" borderId="2" xfId="0" applyBorder="1" applyAlignment="1">
      <alignment horizontal="center" vertical="center"/>
    </xf>
    <xf numFmtId="15" fontId="0" fillId="0" borderId="2" xfId="0" applyNumberFormat="1" applyBorder="1" applyAlignment="1">
      <alignment horizontal="center" vertical="center"/>
    </xf>
    <xf numFmtId="0" fontId="75" fillId="13" borderId="0" xfId="0" applyFont="1" applyFill="1" applyAlignment="1">
      <alignment horizontal="center" vertical="center"/>
    </xf>
    <xf numFmtId="0" fontId="0" fillId="0" borderId="0" xfId="0" applyAlignment="1">
      <alignment horizontal="center" vertical="center"/>
    </xf>
    <xf numFmtId="0" fontId="0" fillId="0" borderId="2" xfId="0" applyBorder="1" applyAlignment="1">
      <alignment horizontal="center" vertical="center"/>
    </xf>
    <xf numFmtId="15" fontId="0" fillId="0" borderId="2" xfId="0" applyNumberFormat="1" applyBorder="1" applyAlignment="1">
      <alignment horizontal="center" vertical="center"/>
    </xf>
    <xf numFmtId="0" fontId="0" fillId="0" borderId="2" xfId="0" applyBorder="1" applyAlignment="1">
      <alignment horizontal="center" vertical="center"/>
    </xf>
    <xf numFmtId="0" fontId="0" fillId="0" borderId="0" xfId="0" applyAlignment="1">
      <alignment horizontal="center" vertical="center"/>
    </xf>
    <xf numFmtId="15" fontId="0" fillId="0" borderId="2" xfId="0" applyNumberFormat="1" applyBorder="1" applyAlignment="1">
      <alignment horizontal="center" vertical="center"/>
    </xf>
    <xf numFmtId="0" fontId="0" fillId="0" borderId="0" xfId="0" applyAlignment="1">
      <alignment horizontal="center" vertical="center"/>
    </xf>
    <xf numFmtId="0" fontId="0" fillId="0" borderId="2" xfId="0" applyBorder="1" applyAlignment="1">
      <alignment horizontal="center" vertical="center"/>
    </xf>
    <xf numFmtId="15" fontId="0" fillId="0" borderId="2" xfId="0" applyNumberFormat="1" applyBorder="1" applyAlignment="1">
      <alignment horizontal="center" vertical="center"/>
    </xf>
    <xf numFmtId="0" fontId="0" fillId="0" borderId="2" xfId="0" applyBorder="1" applyAlignment="1">
      <alignment horizontal="center" vertical="center"/>
    </xf>
    <xf numFmtId="0" fontId="0" fillId="0" borderId="0" xfId="0" applyAlignment="1">
      <alignment horizontal="center" vertical="center"/>
    </xf>
    <xf numFmtId="15" fontId="0" fillId="0" borderId="2" xfId="0" applyNumberFormat="1" applyBorder="1" applyAlignment="1">
      <alignment horizontal="center" vertical="center"/>
    </xf>
    <xf numFmtId="0" fontId="0" fillId="0" borderId="0" xfId="0" applyAlignment="1">
      <alignment horizontal="center" vertical="center"/>
    </xf>
    <xf numFmtId="0" fontId="0" fillId="0" borderId="2" xfId="0" applyBorder="1" applyAlignment="1">
      <alignment horizontal="center" vertical="center"/>
    </xf>
    <xf numFmtId="15" fontId="0" fillId="0" borderId="2" xfId="0" applyNumberFormat="1" applyBorder="1" applyAlignment="1">
      <alignment horizontal="center" vertical="center"/>
    </xf>
    <xf numFmtId="38" fontId="44" fillId="23" borderId="50" xfId="0" applyNumberFormat="1" applyFont="1" applyFill="1" applyBorder="1" applyAlignment="1">
      <alignment horizontal="center" vertical="center"/>
    </xf>
    <xf numFmtId="0" fontId="0" fillId="0" borderId="0" xfId="0" applyAlignment="1">
      <alignment horizontal="center" vertical="center"/>
    </xf>
    <xf numFmtId="0" fontId="0" fillId="0" borderId="2" xfId="0" applyBorder="1" applyAlignment="1">
      <alignment horizontal="center" vertical="center"/>
    </xf>
    <xf numFmtId="15" fontId="0" fillId="0" borderId="2" xfId="0" applyNumberFormat="1" applyBorder="1" applyAlignment="1">
      <alignment horizontal="center" vertical="center"/>
    </xf>
    <xf numFmtId="38" fontId="44" fillId="24" borderId="50" xfId="0" applyNumberFormat="1" applyFont="1" applyFill="1" applyBorder="1" applyAlignment="1">
      <alignment horizontal="center" vertical="center"/>
    </xf>
    <xf numFmtId="0" fontId="0" fillId="0" borderId="0" xfId="0" applyAlignment="1">
      <alignment horizontal="center" vertical="center"/>
    </xf>
    <xf numFmtId="0" fontId="0" fillId="0" borderId="0" xfId="0" applyAlignment="1">
      <alignment horizontal="center" vertical="center"/>
    </xf>
    <xf numFmtId="15" fontId="0" fillId="0" borderId="2" xfId="0" applyNumberFormat="1" applyBorder="1" applyAlignment="1">
      <alignment horizontal="center" vertical="center"/>
    </xf>
    <xf numFmtId="0" fontId="0" fillId="0" borderId="0" xfId="0" applyAlignment="1">
      <alignment horizontal="center" vertical="center"/>
    </xf>
    <xf numFmtId="16" fontId="35" fillId="13" borderId="18" xfId="0" applyNumberFormat="1" applyFont="1" applyFill="1" applyBorder="1" applyAlignment="1">
      <alignment horizontal="center" vertical="center"/>
    </xf>
    <xf numFmtId="0" fontId="0" fillId="0" borderId="4" xfId="0" applyBorder="1" applyAlignment="1">
      <alignment vertical="center" wrapText="1"/>
    </xf>
    <xf numFmtId="0" fontId="0" fillId="0" borderId="0" xfId="0" applyAlignment="1">
      <alignment horizontal="center" vertical="center"/>
    </xf>
    <xf numFmtId="16" fontId="0" fillId="13" borderId="2" xfId="0" applyNumberFormat="1" applyFill="1" applyBorder="1" applyAlignment="1">
      <alignment horizontal="center" vertical="center"/>
    </xf>
    <xf numFmtId="0" fontId="0" fillId="0" borderId="0" xfId="0" applyAlignment="1">
      <alignment horizontal="center" vertical="center"/>
    </xf>
    <xf numFmtId="16" fontId="80" fillId="13" borderId="2" xfId="0" applyNumberFormat="1" applyFont="1" applyFill="1" applyBorder="1" applyAlignment="1">
      <alignment horizontal="center" vertical="center"/>
    </xf>
    <xf numFmtId="15" fontId="0" fillId="0" borderId="2" xfId="0" applyNumberFormat="1" applyFill="1" applyBorder="1" applyAlignment="1">
      <alignment horizontal="center" vertical="center"/>
    </xf>
    <xf numFmtId="14" fontId="0" fillId="0" borderId="2" xfId="0" applyNumberFormat="1" applyBorder="1">
      <alignment vertical="center"/>
    </xf>
    <xf numFmtId="0" fontId="0" fillId="0" borderId="0" xfId="0" applyAlignment="1">
      <alignment horizontal="center" vertical="center"/>
    </xf>
    <xf numFmtId="0" fontId="0" fillId="0" borderId="2" xfId="0" applyBorder="1" applyAlignment="1">
      <alignment horizontal="center" vertical="center"/>
    </xf>
    <xf numFmtId="0" fontId="43" fillId="0" borderId="2" xfId="0" applyFont="1" applyBorder="1" applyAlignment="1">
      <alignment horizontal="center" vertical="center"/>
    </xf>
    <xf numFmtId="0" fontId="0" fillId="0" borderId="2" xfId="0" applyBorder="1" applyAlignment="1">
      <alignment horizontal="center" vertical="center"/>
    </xf>
    <xf numFmtId="0" fontId="0" fillId="0" borderId="2" xfId="0" applyBorder="1" applyAlignment="1">
      <alignment vertical="center"/>
    </xf>
    <xf numFmtId="0" fontId="0" fillId="0" borderId="0" xfId="0" applyAlignment="1">
      <alignment horizontal="center" vertical="center"/>
    </xf>
    <xf numFmtId="0" fontId="0" fillId="0" borderId="0" xfId="0" applyAlignment="1">
      <alignment horizontal="center" vertical="center"/>
    </xf>
    <xf numFmtId="15" fontId="0" fillId="0" borderId="2" xfId="0" applyNumberFormat="1" applyBorder="1" applyAlignment="1">
      <alignment horizontal="center" vertical="center"/>
    </xf>
    <xf numFmtId="0" fontId="0" fillId="0" borderId="0" xfId="0" applyAlignment="1">
      <alignment horizontal="center" vertical="center"/>
    </xf>
    <xf numFmtId="15" fontId="0" fillId="13" borderId="2" xfId="0" applyNumberFormat="1" applyFill="1" applyBorder="1">
      <alignment vertical="center"/>
    </xf>
    <xf numFmtId="0" fontId="0" fillId="0" borderId="2" xfId="0" applyBorder="1" applyAlignment="1">
      <alignment horizontal="left" vertical="center" wrapText="1"/>
    </xf>
    <xf numFmtId="0" fontId="0" fillId="0" borderId="0" xfId="0" applyAlignment="1">
      <alignment vertical="center"/>
    </xf>
    <xf numFmtId="0" fontId="0" fillId="0" borderId="0" xfId="0" applyAlignment="1">
      <alignment horizontal="center" vertical="center"/>
    </xf>
    <xf numFmtId="15" fontId="0" fillId="0" borderId="2" xfId="0" applyNumberFormat="1" applyBorder="1" applyAlignment="1">
      <alignment horizontal="center" vertical="center"/>
    </xf>
    <xf numFmtId="0" fontId="82" fillId="0" borderId="0" xfId="0" applyFont="1">
      <alignment vertical="center"/>
    </xf>
    <xf numFmtId="0" fontId="0" fillId="0" borderId="2" xfId="0" applyBorder="1" applyAlignment="1">
      <alignment horizontal="left" vertical="center"/>
    </xf>
    <xf numFmtId="0" fontId="43" fillId="7" borderId="2" xfId="0" applyFont="1" applyFill="1" applyBorder="1" applyAlignment="1">
      <alignment horizontal="center" vertical="center"/>
    </xf>
    <xf numFmtId="0" fontId="0" fillId="0" borderId="2" xfId="0" applyBorder="1" applyAlignment="1">
      <alignment horizontal="left" vertical="center" wrapText="1"/>
    </xf>
    <xf numFmtId="38" fontId="44" fillId="7" borderId="23" xfId="0" applyNumberFormat="1" applyFont="1" applyFill="1" applyBorder="1" applyAlignment="1">
      <alignment horizontal="center" vertical="center"/>
    </xf>
    <xf numFmtId="38" fontId="44" fillId="7" borderId="57" xfId="0" applyNumberFormat="1" applyFont="1" applyFill="1" applyBorder="1" applyAlignment="1">
      <alignment horizontal="center" vertical="center"/>
    </xf>
    <xf numFmtId="38" fontId="44" fillId="18" borderId="23" xfId="0" applyNumberFormat="1" applyFont="1" applyFill="1" applyBorder="1" applyAlignment="1">
      <alignment horizontal="center" vertical="center"/>
    </xf>
    <xf numFmtId="0" fontId="0" fillId="0" borderId="0" xfId="0" applyAlignment="1">
      <alignment horizontal="center" vertical="center"/>
    </xf>
    <xf numFmtId="0" fontId="28" fillId="0" borderId="2" xfId="0" applyFont="1" applyBorder="1" applyAlignment="1">
      <alignment horizontal="center" vertical="center"/>
    </xf>
    <xf numFmtId="0" fontId="83" fillId="8" borderId="0" xfId="0" applyFont="1" applyFill="1">
      <alignment vertical="center"/>
    </xf>
    <xf numFmtId="0" fontId="75" fillId="8" borderId="0" xfId="0" applyFont="1" applyFill="1">
      <alignment vertical="center"/>
    </xf>
    <xf numFmtId="0" fontId="0" fillId="0" borderId="0" xfId="0" applyAlignment="1">
      <alignment horizontal="center" vertical="center"/>
    </xf>
    <xf numFmtId="0" fontId="28" fillId="0" borderId="2" xfId="0" applyFont="1" applyBorder="1" applyAlignment="1">
      <alignment horizontal="center" vertical="center"/>
    </xf>
    <xf numFmtId="0" fontId="0" fillId="0" borderId="0" xfId="0" applyAlignment="1">
      <alignment horizontal="center" vertical="center"/>
    </xf>
    <xf numFmtId="0" fontId="28" fillId="0" borderId="2" xfId="0" applyFont="1" applyBorder="1" applyAlignment="1">
      <alignment horizontal="center" vertical="center"/>
    </xf>
    <xf numFmtId="0" fontId="0" fillId="0" borderId="2" xfId="0" applyBorder="1" applyAlignment="1">
      <alignment vertical="top" wrapText="1"/>
    </xf>
    <xf numFmtId="15" fontId="0" fillId="0" borderId="2" xfId="0" applyNumberFormat="1" applyBorder="1" applyAlignment="1">
      <alignment horizontal="left" vertical="center"/>
    </xf>
    <xf numFmtId="0" fontId="0" fillId="0" borderId="0" xfId="0" applyAlignment="1">
      <alignment horizontal="center" vertical="center"/>
    </xf>
    <xf numFmtId="0" fontId="28" fillId="0" borderId="2" xfId="0" applyFont="1" applyBorder="1" applyAlignment="1">
      <alignment horizontal="center" vertical="center"/>
    </xf>
    <xf numFmtId="0" fontId="0" fillId="0" borderId="0" xfId="0" applyAlignment="1">
      <alignment horizontal="center" vertical="center"/>
    </xf>
    <xf numFmtId="0" fontId="0" fillId="0" borderId="0" xfId="0" applyAlignment="1">
      <alignment horizontal="center" vertical="center"/>
    </xf>
    <xf numFmtId="0" fontId="0" fillId="0" borderId="0" xfId="0" applyAlignment="1">
      <alignment horizontal="center" vertical="center"/>
    </xf>
    <xf numFmtId="0" fontId="28" fillId="0" borderId="2" xfId="0" applyFont="1" applyBorder="1" applyAlignment="1">
      <alignment horizontal="center" vertical="center"/>
    </xf>
    <xf numFmtId="0" fontId="85" fillId="0" borderId="0" xfId="0" applyFont="1" applyAlignment="1">
      <alignment horizontal="left" vertical="center" wrapText="1"/>
    </xf>
    <xf numFmtId="0" fontId="0" fillId="0" borderId="0" xfId="0" applyAlignment="1">
      <alignment horizontal="center" vertical="center"/>
    </xf>
    <xf numFmtId="0" fontId="0" fillId="0" borderId="0" xfId="0" applyAlignment="1">
      <alignment horizontal="center" vertical="center"/>
    </xf>
    <xf numFmtId="0" fontId="28" fillId="0" borderId="2" xfId="0" applyFont="1" applyBorder="1" applyAlignment="1">
      <alignment horizontal="center" vertical="center"/>
    </xf>
    <xf numFmtId="0" fontId="0" fillId="0" borderId="0" xfId="0" applyAlignment="1">
      <alignment horizontal="center" vertical="center"/>
    </xf>
    <xf numFmtId="0" fontId="0" fillId="0" borderId="2" xfId="0" applyBorder="1" applyAlignment="1">
      <alignment horizontal="left" vertical="top" wrapText="1"/>
    </xf>
    <xf numFmtId="0" fontId="0" fillId="0" borderId="0" xfId="0" applyAlignment="1">
      <alignment horizontal="center" vertical="center"/>
    </xf>
    <xf numFmtId="0" fontId="0" fillId="0" borderId="0" xfId="0" applyAlignment="1">
      <alignment horizontal="center" vertical="center"/>
    </xf>
    <xf numFmtId="0" fontId="28" fillId="0" borderId="2" xfId="0" applyFont="1" applyBorder="1" applyAlignment="1">
      <alignment horizontal="center" vertical="center"/>
    </xf>
    <xf numFmtId="0" fontId="0" fillId="0" borderId="0" xfId="0" applyAlignment="1">
      <alignment horizontal="center" vertical="center"/>
    </xf>
    <xf numFmtId="0" fontId="28" fillId="0" borderId="2" xfId="0" applyFont="1" applyBorder="1" applyAlignment="1">
      <alignment horizontal="center" vertical="center"/>
    </xf>
    <xf numFmtId="16" fontId="2" fillId="13" borderId="2" xfId="0" applyNumberFormat="1" applyFont="1" applyFill="1" applyBorder="1" applyAlignment="1">
      <alignment horizontal="center" vertical="center"/>
    </xf>
    <xf numFmtId="15" fontId="0" fillId="13" borderId="2" xfId="0" applyNumberFormat="1" applyFill="1" applyBorder="1" applyAlignment="1">
      <alignment horizontal="center" vertical="center"/>
    </xf>
    <xf numFmtId="15" fontId="0" fillId="13" borderId="14" xfId="0" applyNumberFormat="1" applyFill="1" applyBorder="1" applyAlignment="1">
      <alignment horizontal="center" vertical="center"/>
    </xf>
    <xf numFmtId="15" fontId="82" fillId="13" borderId="2" xfId="0" applyNumberFormat="1" applyFont="1" applyFill="1" applyBorder="1" applyAlignment="1">
      <alignment horizontal="center" vertical="center"/>
    </xf>
    <xf numFmtId="0" fontId="28" fillId="7" borderId="14" xfId="0" applyFont="1" applyFill="1" applyBorder="1" applyAlignment="1">
      <alignment horizontal="center" vertical="center"/>
    </xf>
    <xf numFmtId="0" fontId="0" fillId="0" borderId="0" xfId="0" applyAlignment="1">
      <alignment horizontal="center" vertical="center"/>
    </xf>
    <xf numFmtId="0" fontId="28" fillId="0" borderId="2" xfId="0" applyFont="1" applyBorder="1" applyAlignment="1">
      <alignment horizontal="center" vertical="center"/>
    </xf>
    <xf numFmtId="0" fontId="0" fillId="0" borderId="0" xfId="0" applyAlignment="1">
      <alignment horizontal="center" vertical="center"/>
    </xf>
    <xf numFmtId="0" fontId="28" fillId="0" borderId="2" xfId="0" applyFont="1" applyBorder="1" applyAlignment="1">
      <alignment horizontal="center" vertical="center"/>
    </xf>
    <xf numFmtId="0" fontId="0" fillId="0" borderId="0" xfId="0" applyAlignment="1">
      <alignment horizontal="center" vertical="center"/>
    </xf>
    <xf numFmtId="0" fontId="28" fillId="0" borderId="2" xfId="0" applyFont="1" applyFill="1" applyBorder="1" applyAlignment="1">
      <alignment horizontal="center" vertical="center"/>
    </xf>
    <xf numFmtId="0" fontId="0" fillId="0" borderId="0" xfId="0" applyAlignment="1">
      <alignment horizontal="center" vertical="center"/>
    </xf>
    <xf numFmtId="0" fontId="28" fillId="0" borderId="2" xfId="0" applyFont="1" applyBorder="1" applyAlignment="1">
      <alignment horizontal="center" vertical="center"/>
    </xf>
    <xf numFmtId="15" fontId="0" fillId="0" borderId="2" xfId="0" applyNumberFormat="1" applyBorder="1" applyAlignment="1">
      <alignment horizontal="left" vertical="top"/>
    </xf>
    <xf numFmtId="0" fontId="0" fillId="0" borderId="16" xfId="0" applyBorder="1">
      <alignment vertical="center"/>
    </xf>
    <xf numFmtId="167" fontId="0" fillId="4" borderId="0" xfId="0" applyNumberFormat="1" applyFill="1" applyAlignment="1">
      <alignment horizontal="center"/>
    </xf>
    <xf numFmtId="0" fontId="0" fillId="0" borderId="0" xfId="0" applyAlignment="1">
      <alignment horizontal="center" vertical="center"/>
    </xf>
    <xf numFmtId="0" fontId="0" fillId="0" borderId="0" xfId="0" applyAlignment="1">
      <alignment horizontal="center" vertical="center"/>
    </xf>
    <xf numFmtId="0" fontId="0" fillId="0" borderId="0" xfId="0" applyAlignment="1">
      <alignment horizontal="center" vertical="center"/>
    </xf>
    <xf numFmtId="0" fontId="0" fillId="0" borderId="0" xfId="0" applyAlignment="1">
      <alignment horizontal="center" vertical="center"/>
    </xf>
    <xf numFmtId="0" fontId="28" fillId="0" borderId="2" xfId="0" applyFont="1" applyBorder="1" applyAlignment="1">
      <alignment horizontal="center" vertical="center"/>
    </xf>
    <xf numFmtId="0" fontId="0" fillId="0" borderId="0" xfId="0" applyAlignment="1">
      <alignment horizontal="center" vertical="center"/>
    </xf>
    <xf numFmtId="0" fontId="28" fillId="0" borderId="2" xfId="0" applyFont="1" applyBorder="1" applyAlignment="1">
      <alignment horizontal="center" vertical="center"/>
    </xf>
    <xf numFmtId="0" fontId="0" fillId="0" borderId="0" xfId="0" applyAlignment="1">
      <alignment horizontal="center" vertical="center"/>
    </xf>
    <xf numFmtId="0" fontId="28" fillId="0" borderId="2" xfId="0" applyFont="1" applyBorder="1" applyAlignment="1">
      <alignment horizontal="center" vertical="center"/>
    </xf>
    <xf numFmtId="0" fontId="0" fillId="0" borderId="19" xfId="0" applyFill="1" applyBorder="1" applyAlignment="1">
      <alignment horizontal="center" vertical="center"/>
    </xf>
    <xf numFmtId="0" fontId="0" fillId="0" borderId="12" xfId="0" applyFill="1" applyBorder="1" applyAlignment="1">
      <alignment horizontal="center" vertical="center"/>
    </xf>
    <xf numFmtId="0" fontId="0" fillId="0" borderId="0" xfId="0" applyAlignment="1">
      <alignment horizontal="center" vertical="center"/>
    </xf>
    <xf numFmtId="0" fontId="28" fillId="0" borderId="2" xfId="0" applyFont="1" applyBorder="1" applyAlignment="1">
      <alignment horizontal="center" vertical="center"/>
    </xf>
    <xf numFmtId="16" fontId="66" fillId="13" borderId="17" xfId="0" applyNumberFormat="1" applyFont="1" applyFill="1" applyBorder="1" applyAlignment="1">
      <alignment horizontal="center" vertical="center"/>
    </xf>
    <xf numFmtId="3" fontId="41" fillId="21" borderId="12" xfId="0" applyNumberFormat="1" applyFont="1" applyFill="1" applyBorder="1" applyAlignment="1">
      <alignment horizontal="center" vertical="center"/>
    </xf>
    <xf numFmtId="0" fontId="0" fillId="4" borderId="12" xfId="0" applyFill="1" applyBorder="1" applyAlignment="1">
      <alignment horizontal="center" vertical="center"/>
    </xf>
    <xf numFmtId="3" fontId="0" fillId="3" borderId="12" xfId="0" applyNumberFormat="1" applyFill="1" applyBorder="1" applyAlignment="1">
      <alignment horizontal="center" vertical="center"/>
    </xf>
    <xf numFmtId="0" fontId="0" fillId="0" borderId="0" xfId="0" applyAlignment="1">
      <alignment horizontal="center" vertical="center"/>
    </xf>
    <xf numFmtId="0" fontId="28" fillId="0" borderId="2" xfId="0" applyFont="1" applyBorder="1" applyAlignment="1">
      <alignment horizontal="center" vertical="center"/>
    </xf>
    <xf numFmtId="0" fontId="0" fillId="0" borderId="0" xfId="0" applyAlignment="1">
      <alignment horizontal="center" vertical="center"/>
    </xf>
    <xf numFmtId="0" fontId="0" fillId="0" borderId="0" xfId="0" applyAlignment="1">
      <alignment horizontal="center" vertical="center"/>
    </xf>
    <xf numFmtId="16" fontId="66" fillId="13" borderId="61" xfId="0" applyNumberFormat="1" applyFont="1" applyFill="1" applyBorder="1" applyAlignment="1">
      <alignment horizontal="center" vertical="center"/>
    </xf>
    <xf numFmtId="165" fontId="44" fillId="6" borderId="15" xfId="0" applyNumberFormat="1" applyFont="1" applyFill="1" applyBorder="1" applyAlignment="1">
      <alignment horizontal="center" vertical="center"/>
    </xf>
    <xf numFmtId="0" fontId="0" fillId="13" borderId="0" xfId="0" applyFill="1" applyBorder="1" applyAlignment="1">
      <alignment horizontal="center" vertical="center"/>
    </xf>
    <xf numFmtId="16" fontId="66" fillId="13" borderId="0" xfId="0" applyNumberFormat="1" applyFont="1" applyFill="1" applyBorder="1" applyAlignment="1">
      <alignment horizontal="center" vertical="center"/>
    </xf>
    <xf numFmtId="0" fontId="0" fillId="0" borderId="0" xfId="0" applyAlignment="1">
      <alignment horizontal="center" vertical="center"/>
    </xf>
    <xf numFmtId="0" fontId="28" fillId="0" borderId="2" xfId="0" applyFont="1" applyBorder="1" applyAlignment="1">
      <alignment horizontal="center" vertical="center"/>
    </xf>
    <xf numFmtId="0" fontId="0" fillId="0" borderId="0" xfId="0" applyAlignment="1">
      <alignment horizontal="center" vertical="center"/>
    </xf>
    <xf numFmtId="0" fontId="28" fillId="0" borderId="2" xfId="0" applyFont="1" applyBorder="1" applyAlignment="1">
      <alignment horizontal="center" vertical="center"/>
    </xf>
    <xf numFmtId="0" fontId="0" fillId="0" borderId="0" xfId="0" applyAlignment="1">
      <alignment horizontal="center" vertical="center"/>
    </xf>
    <xf numFmtId="0" fontId="0" fillId="0" borderId="0" xfId="0" applyAlignment="1">
      <alignment horizontal="center" vertical="center"/>
    </xf>
    <xf numFmtId="0" fontId="0" fillId="0" borderId="0" xfId="0" applyAlignment="1">
      <alignment horizontal="center" vertical="center"/>
    </xf>
    <xf numFmtId="0" fontId="28" fillId="0" borderId="2" xfId="0" applyFont="1" applyBorder="1" applyAlignment="1">
      <alignment horizontal="center" vertical="center"/>
    </xf>
    <xf numFmtId="0" fontId="28" fillId="0" borderId="2" xfId="0" applyFont="1" applyBorder="1" applyAlignment="1">
      <alignment horizontal="center" vertical="center"/>
    </xf>
    <xf numFmtId="15" fontId="0" fillId="13" borderId="14" xfId="0" applyNumberFormat="1" applyFill="1" applyBorder="1">
      <alignment vertical="center"/>
    </xf>
    <xf numFmtId="0" fontId="28" fillId="0" borderId="14" xfId="0" applyFont="1" applyFill="1" applyBorder="1" applyAlignment="1">
      <alignment horizontal="center" vertical="center"/>
    </xf>
    <xf numFmtId="0" fontId="0" fillId="0" borderId="14" xfId="0" applyBorder="1" applyAlignment="1">
      <alignment vertical="top" wrapText="1"/>
    </xf>
    <xf numFmtId="0" fontId="28" fillId="0" borderId="2" xfId="0" applyFont="1" applyBorder="1" applyAlignment="1">
      <alignment horizontal="center" vertical="center"/>
    </xf>
    <xf numFmtId="0" fontId="28" fillId="0" borderId="2" xfId="0" applyFont="1" applyBorder="1" applyAlignment="1">
      <alignment horizontal="center" vertical="center"/>
    </xf>
    <xf numFmtId="0" fontId="0" fillId="0" borderId="0" xfId="0" applyAlignment="1">
      <alignment horizontal="center" vertical="center"/>
    </xf>
    <xf numFmtId="0" fontId="28" fillId="0" borderId="2" xfId="0" applyFont="1" applyBorder="1" applyAlignment="1">
      <alignment horizontal="center" vertical="center"/>
    </xf>
    <xf numFmtId="0" fontId="0" fillId="0" borderId="0" xfId="0" applyAlignment="1">
      <alignment horizontal="center" vertical="center"/>
    </xf>
    <xf numFmtId="15" fontId="0" fillId="13" borderId="2" xfId="0" applyNumberFormat="1" applyFont="1" applyFill="1" applyBorder="1">
      <alignment vertical="center"/>
    </xf>
    <xf numFmtId="15" fontId="0" fillId="13" borderId="14" xfId="0" applyNumberFormat="1" applyFont="1" applyFill="1" applyBorder="1">
      <alignment vertical="center"/>
    </xf>
    <xf numFmtId="0" fontId="28" fillId="0" borderId="14" xfId="0" applyFont="1" applyBorder="1" applyAlignment="1">
      <alignment horizontal="center" vertical="center"/>
    </xf>
    <xf numFmtId="38" fontId="44" fillId="7" borderId="14" xfId="0" applyNumberFormat="1" applyFont="1" applyFill="1" applyBorder="1" applyAlignment="1">
      <alignment horizontal="center" vertical="center"/>
    </xf>
    <xf numFmtId="0" fontId="28" fillId="7" borderId="2" xfId="0" applyFont="1" applyFill="1" applyBorder="1" applyAlignment="1">
      <alignment horizontal="center" vertical="center"/>
    </xf>
    <xf numFmtId="0" fontId="28" fillId="0" borderId="2" xfId="0" applyFont="1" applyBorder="1" applyAlignment="1">
      <alignment horizontal="center" vertical="center"/>
    </xf>
    <xf numFmtId="0" fontId="0" fillId="0" borderId="0" xfId="0" applyAlignment="1">
      <alignment horizontal="center" vertical="center"/>
    </xf>
    <xf numFmtId="0" fontId="28" fillId="0" borderId="2" xfId="0" applyFont="1" applyBorder="1" applyAlignment="1">
      <alignment horizontal="center" vertical="center"/>
    </xf>
    <xf numFmtId="0" fontId="28" fillId="0" borderId="2" xfId="0" applyFont="1" applyBorder="1" applyAlignment="1">
      <alignment horizontal="center" vertical="center"/>
    </xf>
    <xf numFmtId="0" fontId="28" fillId="0" borderId="2" xfId="0" applyFont="1" applyBorder="1" applyAlignment="1">
      <alignment horizontal="center" vertical="center"/>
    </xf>
    <xf numFmtId="0" fontId="0" fillId="0" borderId="0" xfId="0" applyAlignment="1">
      <alignment horizontal="center" vertical="center"/>
    </xf>
    <xf numFmtId="0" fontId="0" fillId="0" borderId="0" xfId="0" applyAlignment="1">
      <alignment horizontal="center" vertical="center"/>
    </xf>
    <xf numFmtId="0" fontId="47" fillId="13" borderId="19" xfId="0" applyFont="1" applyFill="1" applyBorder="1" applyAlignment="1">
      <alignment vertical="center"/>
    </xf>
    <xf numFmtId="0" fontId="47" fillId="13" borderId="0" xfId="0" applyFont="1" applyFill="1" applyBorder="1" applyAlignment="1">
      <alignment vertical="center"/>
    </xf>
    <xf numFmtId="0" fontId="0" fillId="0" borderId="0" xfId="0" applyAlignment="1">
      <alignment horizontal="center" vertical="center"/>
    </xf>
    <xf numFmtId="0" fontId="0" fillId="0" borderId="0" xfId="0" applyAlignment="1">
      <alignment horizontal="center" vertical="center"/>
    </xf>
    <xf numFmtId="0" fontId="28" fillId="0" borderId="2" xfId="0" applyFont="1" applyBorder="1" applyAlignment="1">
      <alignment horizontal="center" vertical="center"/>
    </xf>
    <xf numFmtId="0" fontId="0" fillId="0" borderId="0" xfId="0" applyAlignment="1">
      <alignment horizontal="center" vertical="center"/>
    </xf>
    <xf numFmtId="0" fontId="0" fillId="0" borderId="62" xfId="0" applyBorder="1">
      <alignment vertical="center"/>
    </xf>
    <xf numFmtId="0" fontId="28" fillId="0" borderId="2" xfId="0" applyFont="1" applyBorder="1" applyAlignment="1">
      <alignment horizontal="center" vertical="center"/>
    </xf>
    <xf numFmtId="0" fontId="28" fillId="0" borderId="2" xfId="0" applyFont="1" applyBorder="1" applyAlignment="1">
      <alignment horizontal="center" vertical="center"/>
    </xf>
    <xf numFmtId="0" fontId="28" fillId="0" borderId="2" xfId="0" applyFont="1" applyBorder="1" applyAlignment="1">
      <alignment horizontal="center" vertical="center"/>
    </xf>
    <xf numFmtId="0" fontId="0" fillId="0" borderId="0" xfId="0" applyAlignment="1">
      <alignment horizontal="center" vertical="center"/>
    </xf>
    <xf numFmtId="0" fontId="0" fillId="0" borderId="0" xfId="0" applyAlignment="1">
      <alignment horizontal="center" vertical="center"/>
    </xf>
    <xf numFmtId="0" fontId="0" fillId="0" borderId="0" xfId="0" applyAlignment="1">
      <alignment horizontal="center" vertical="center"/>
    </xf>
    <xf numFmtId="0" fontId="0" fillId="0" borderId="2" xfId="0" applyFill="1" applyBorder="1" applyAlignment="1">
      <alignment vertical="top" wrapText="1"/>
    </xf>
    <xf numFmtId="0" fontId="0" fillId="0" borderId="0" xfId="0" applyAlignment="1">
      <alignment horizontal="center" vertical="center"/>
    </xf>
    <xf numFmtId="0" fontId="0" fillId="0" borderId="0" xfId="0" applyAlignment="1">
      <alignment horizontal="center" vertical="center"/>
    </xf>
    <xf numFmtId="165" fontId="44" fillId="6" borderId="63" xfId="0" applyNumberFormat="1" applyFont="1" applyFill="1" applyBorder="1" applyAlignment="1">
      <alignment horizontal="center" vertical="center"/>
    </xf>
    <xf numFmtId="38" fontId="43" fillId="3" borderId="11" xfId="0" applyNumberFormat="1" applyFont="1" applyFill="1" applyBorder="1" applyAlignment="1">
      <alignment horizontal="center" vertical="center"/>
    </xf>
    <xf numFmtId="38" fontId="43" fillId="9" borderId="64" xfId="0" applyNumberFormat="1" applyFont="1" applyFill="1" applyBorder="1" applyAlignment="1">
      <alignment horizontal="center" vertical="center"/>
    </xf>
    <xf numFmtId="0" fontId="0" fillId="0" borderId="0" xfId="0" applyAlignment="1">
      <alignment horizontal="center" vertical="center"/>
    </xf>
    <xf numFmtId="0" fontId="28" fillId="0" borderId="2" xfId="0" applyFont="1" applyBorder="1" applyAlignment="1">
      <alignment horizontal="center" vertical="center"/>
    </xf>
    <xf numFmtId="0" fontId="0" fillId="0" borderId="0" xfId="0" applyAlignment="1">
      <alignment horizontal="center" vertical="center"/>
    </xf>
    <xf numFmtId="9" fontId="63" fillId="13" borderId="23" xfId="0" applyNumberFormat="1" applyFont="1" applyFill="1" applyBorder="1" applyAlignment="1">
      <alignment vertical="center" wrapText="1"/>
    </xf>
    <xf numFmtId="0" fontId="28" fillId="0" borderId="2" xfId="0" applyFont="1" applyBorder="1" applyAlignment="1">
      <alignment horizontal="center" vertical="center"/>
    </xf>
    <xf numFmtId="0" fontId="0" fillId="0" borderId="0" xfId="0" applyAlignment="1">
      <alignment horizontal="center" vertical="center"/>
    </xf>
    <xf numFmtId="0" fontId="0" fillId="0" borderId="2" xfId="0" applyBorder="1" applyAlignment="1">
      <alignment horizontal="center" vertical="center"/>
    </xf>
    <xf numFmtId="0" fontId="0" fillId="0" borderId="2" xfId="0" applyBorder="1" applyAlignment="1">
      <alignment horizontal="center" vertical="center"/>
    </xf>
    <xf numFmtId="0" fontId="0" fillId="0" borderId="0" xfId="0" applyAlignment="1">
      <alignment horizontal="center" vertical="center"/>
    </xf>
    <xf numFmtId="0" fontId="0" fillId="0" borderId="0" xfId="0" applyAlignment="1">
      <alignment horizontal="center" vertical="center"/>
    </xf>
    <xf numFmtId="38" fontId="44" fillId="18" borderId="50" xfId="0" applyNumberFormat="1" applyFont="1" applyFill="1" applyBorder="1" applyAlignment="1">
      <alignment horizontal="center" vertical="center"/>
    </xf>
    <xf numFmtId="0" fontId="0" fillId="7" borderId="2" xfId="0" applyFill="1" applyBorder="1" applyAlignment="1">
      <alignment horizontal="center" vertical="center"/>
    </xf>
    <xf numFmtId="0" fontId="0" fillId="7" borderId="2" xfId="0" applyFill="1" applyBorder="1" applyAlignment="1">
      <alignment horizontal="center" vertical="center"/>
    </xf>
    <xf numFmtId="0" fontId="0" fillId="0" borderId="0" xfId="0" applyAlignment="1">
      <alignment horizontal="center" vertical="center"/>
    </xf>
    <xf numFmtId="15" fontId="82" fillId="13" borderId="2" xfId="0" applyNumberFormat="1" applyFont="1" applyFill="1" applyBorder="1">
      <alignment vertical="center"/>
    </xf>
    <xf numFmtId="0" fontId="0" fillId="0" borderId="0" xfId="0" applyAlignment="1">
      <alignment horizontal="center" vertical="center"/>
    </xf>
    <xf numFmtId="0" fontId="0" fillId="0" borderId="0" xfId="0" applyAlignment="1">
      <alignment horizontal="center" vertical="center"/>
    </xf>
    <xf numFmtId="0" fontId="0" fillId="0" borderId="0" xfId="0" applyAlignment="1">
      <alignment horizontal="center" vertical="center"/>
    </xf>
    <xf numFmtId="0" fontId="0" fillId="0" borderId="0" xfId="0" applyAlignment="1">
      <alignment horizontal="center" vertical="center"/>
    </xf>
    <xf numFmtId="0" fontId="0" fillId="0" borderId="0" xfId="0" applyAlignment="1">
      <alignment horizontal="center" vertical="center"/>
    </xf>
    <xf numFmtId="0" fontId="0" fillId="0" borderId="0" xfId="0" applyAlignment="1">
      <alignment horizontal="center" vertical="center"/>
    </xf>
    <xf numFmtId="0" fontId="0" fillId="0" borderId="0" xfId="0" applyAlignment="1">
      <alignment horizontal="center" vertical="center"/>
    </xf>
    <xf numFmtId="0" fontId="0" fillId="0" borderId="0" xfId="0" applyAlignment="1">
      <alignment horizontal="center" vertical="center"/>
    </xf>
    <xf numFmtId="0" fontId="0" fillId="0" borderId="2" xfId="0" applyBorder="1" applyAlignment="1">
      <alignment horizontal="center" vertical="center"/>
    </xf>
    <xf numFmtId="0" fontId="0" fillId="0" borderId="2" xfId="0" applyBorder="1" applyAlignment="1">
      <alignment horizontal="center" vertical="center"/>
    </xf>
    <xf numFmtId="0" fontId="0" fillId="0" borderId="2" xfId="0" applyBorder="1" applyAlignment="1">
      <alignment horizontal="center" vertical="center"/>
    </xf>
    <xf numFmtId="38" fontId="44" fillId="4" borderId="50" xfId="0" applyNumberFormat="1" applyFont="1" applyFill="1" applyBorder="1" applyAlignment="1">
      <alignment horizontal="center" vertical="center"/>
    </xf>
    <xf numFmtId="0" fontId="0" fillId="0" borderId="2" xfId="0" applyBorder="1" applyAlignment="1">
      <alignment horizontal="center" vertical="center"/>
    </xf>
    <xf numFmtId="0" fontId="0" fillId="0" borderId="2" xfId="0" applyBorder="1" applyAlignment="1">
      <alignment vertical="top"/>
    </xf>
    <xf numFmtId="1" fontId="33" fillId="0" borderId="0" xfId="0" applyNumberFormat="1" applyFont="1">
      <alignment vertical="center"/>
    </xf>
    <xf numFmtId="38" fontId="63" fillId="7" borderId="11" xfId="0" applyNumberFormat="1" applyFont="1" applyFill="1" applyBorder="1" applyAlignment="1">
      <alignment horizontal="center" vertical="center"/>
    </xf>
    <xf numFmtId="38" fontId="63" fillId="18" borderId="11" xfId="0" applyNumberFormat="1" applyFont="1" applyFill="1" applyBorder="1" applyAlignment="1">
      <alignment horizontal="center" vertical="center"/>
    </xf>
    <xf numFmtId="38" fontId="63" fillId="4" borderId="11" xfId="0" applyNumberFormat="1" applyFont="1" applyFill="1" applyBorder="1" applyAlignment="1">
      <alignment horizontal="center" vertical="center"/>
    </xf>
    <xf numFmtId="38" fontId="87" fillId="18" borderId="11" xfId="0" applyNumberFormat="1" applyFont="1" applyFill="1" applyBorder="1" applyAlignment="1">
      <alignment horizontal="center" vertical="center"/>
    </xf>
    <xf numFmtId="0" fontId="57" fillId="13" borderId="5" xfId="0" applyFont="1" applyFill="1" applyBorder="1" applyAlignment="1">
      <alignment vertical="center" wrapText="1"/>
    </xf>
    <xf numFmtId="0" fontId="57" fillId="13" borderId="0" xfId="0" applyFont="1" applyFill="1" applyBorder="1" applyAlignment="1">
      <alignment vertical="center" wrapText="1"/>
    </xf>
    <xf numFmtId="0" fontId="41" fillId="7" borderId="62" xfId="0" applyFont="1" applyFill="1" applyBorder="1" applyAlignment="1">
      <alignment horizontal="center" vertical="center"/>
    </xf>
    <xf numFmtId="15" fontId="0" fillId="13" borderId="0" xfId="0" applyNumberFormat="1" applyFill="1">
      <alignment vertical="center"/>
    </xf>
    <xf numFmtId="0" fontId="0" fillId="0" borderId="0" xfId="0" applyAlignment="1">
      <alignment vertical="top" wrapText="1"/>
    </xf>
    <xf numFmtId="0" fontId="41" fillId="18" borderId="2" xfId="0" applyFont="1" applyFill="1" applyBorder="1" applyAlignment="1">
      <alignment horizontal="center" vertical="center"/>
    </xf>
    <xf numFmtId="0" fontId="41" fillId="7" borderId="2" xfId="0" applyFont="1" applyFill="1" applyBorder="1" applyAlignment="1">
      <alignment horizontal="center" vertical="center"/>
    </xf>
    <xf numFmtId="0" fontId="41" fillId="3" borderId="2" xfId="0" applyFont="1" applyFill="1" applyBorder="1" applyAlignment="1">
      <alignment horizontal="center" vertical="center"/>
    </xf>
    <xf numFmtId="0" fontId="0" fillId="0" borderId="19" xfId="0" applyFill="1" applyBorder="1" applyAlignment="1">
      <alignment vertical="top" wrapText="1"/>
    </xf>
    <xf numFmtId="0" fontId="41" fillId="3" borderId="14" xfId="0" applyFont="1" applyFill="1" applyBorder="1" applyAlignment="1">
      <alignment horizontal="center" vertical="center"/>
    </xf>
    <xf numFmtId="0" fontId="41" fillId="0" borderId="2" xfId="0" applyFont="1" applyBorder="1" applyAlignment="1">
      <alignment horizontal="center" vertical="center"/>
    </xf>
    <xf numFmtId="16" fontId="0" fillId="13" borderId="2" xfId="0" applyNumberFormat="1" applyFill="1" applyBorder="1">
      <alignment vertical="center"/>
    </xf>
    <xf numFmtId="0" fontId="41" fillId="7" borderId="0" xfId="0" applyFont="1" applyFill="1" applyAlignment="1">
      <alignment horizontal="center" vertical="center"/>
    </xf>
    <xf numFmtId="0" fontId="57" fillId="13" borderId="19" xfId="0" applyFont="1" applyFill="1" applyBorder="1" applyAlignment="1">
      <alignment vertical="center" wrapText="1"/>
    </xf>
    <xf numFmtId="0" fontId="60" fillId="0" borderId="0" xfId="0" applyFont="1" applyAlignment="1">
      <alignment horizontal="center" vertical="center"/>
    </xf>
    <xf numFmtId="0" fontId="60" fillId="7" borderId="0" xfId="0" applyFont="1" applyFill="1" applyAlignment="1">
      <alignment horizontal="center" vertical="center"/>
    </xf>
    <xf numFmtId="0" fontId="0" fillId="0" borderId="2" xfId="0" applyBorder="1" applyAlignment="1">
      <alignment horizontal="center" vertical="center"/>
    </xf>
    <xf numFmtId="0" fontId="0" fillId="7" borderId="2" xfId="0" applyFill="1" applyBorder="1" applyAlignment="1">
      <alignment horizontal="center" vertical="center"/>
    </xf>
    <xf numFmtId="0" fontId="88" fillId="0" borderId="0" xfId="0" applyFont="1">
      <alignment vertical="center"/>
    </xf>
    <xf numFmtId="0" fontId="88" fillId="0" borderId="2" xfId="0" applyFont="1" applyBorder="1">
      <alignment vertical="center"/>
    </xf>
    <xf numFmtId="0" fontId="0" fillId="0" borderId="0" xfId="0" applyFont="1" applyAlignment="1">
      <alignment horizontal="center" vertical="center"/>
    </xf>
    <xf numFmtId="0" fontId="0" fillId="0" borderId="2" xfId="0" applyFont="1" applyBorder="1" applyAlignment="1">
      <alignment vertical="top" wrapText="1"/>
    </xf>
    <xf numFmtId="0" fontId="0" fillId="7" borderId="2" xfId="0" applyFill="1" applyBorder="1" applyAlignment="1">
      <alignment horizontal="center" vertical="center"/>
    </xf>
    <xf numFmtId="0" fontId="47" fillId="13" borderId="19" xfId="0" applyFont="1" applyFill="1" applyBorder="1" applyAlignment="1">
      <alignment horizontal="center" vertical="center" wrapText="1"/>
    </xf>
    <xf numFmtId="0" fontId="0" fillId="0" borderId="2" xfId="0" applyBorder="1" applyAlignment="1">
      <alignment horizontal="center" vertical="center"/>
    </xf>
    <xf numFmtId="0" fontId="0" fillId="7" borderId="2" xfId="0" applyFill="1" applyBorder="1" applyAlignment="1">
      <alignment horizontal="center" vertical="center"/>
    </xf>
    <xf numFmtId="38" fontId="44" fillId="0" borderId="50" xfId="0" applyNumberFormat="1" applyFont="1" applyFill="1" applyBorder="1" applyAlignment="1">
      <alignment horizontal="center" vertical="center"/>
    </xf>
    <xf numFmtId="38" fontId="44" fillId="26" borderId="50" xfId="0" applyNumberFormat="1" applyFont="1" applyFill="1" applyBorder="1" applyAlignment="1">
      <alignment horizontal="center" vertical="center"/>
    </xf>
    <xf numFmtId="0" fontId="79" fillId="11" borderId="23" xfId="0" applyFont="1" applyFill="1" applyBorder="1" applyAlignment="1">
      <alignment vertical="center" wrapText="1"/>
    </xf>
    <xf numFmtId="0" fontId="79" fillId="11" borderId="5" xfId="0" applyFont="1" applyFill="1" applyBorder="1" applyAlignment="1">
      <alignment horizontal="center" vertical="center" wrapText="1"/>
    </xf>
    <xf numFmtId="0" fontId="79" fillId="11" borderId="5" xfId="0" applyFont="1" applyFill="1" applyBorder="1" applyAlignment="1">
      <alignment horizontal="center" vertical="center" wrapText="1"/>
    </xf>
    <xf numFmtId="0" fontId="79" fillId="11" borderId="5" xfId="0" applyFont="1" applyFill="1" applyBorder="1" applyAlignment="1">
      <alignment horizontal="center" vertical="center" wrapText="1"/>
    </xf>
    <xf numFmtId="166" fontId="42" fillId="4" borderId="0" xfId="0" applyNumberFormat="1" applyFont="1" applyFill="1" applyBorder="1" applyAlignment="1">
      <alignment vertical="center" wrapText="1"/>
    </xf>
    <xf numFmtId="0" fontId="41" fillId="4" borderId="0" xfId="0" applyFont="1" applyFill="1" applyBorder="1" applyAlignment="1">
      <alignment vertical="center" wrapText="1"/>
    </xf>
    <xf numFmtId="0" fontId="41" fillId="11" borderId="0" xfId="0" applyFont="1" applyFill="1" applyBorder="1" applyAlignment="1">
      <alignment vertical="center" wrapText="1"/>
    </xf>
    <xf numFmtId="0" fontId="0" fillId="3" borderId="0" xfId="0" applyFill="1" applyBorder="1" applyAlignment="1">
      <alignment vertical="center" wrapText="1"/>
    </xf>
    <xf numFmtId="38" fontId="0" fillId="3" borderId="0" xfId="0" applyNumberFormat="1" applyFill="1" applyBorder="1" applyAlignment="1">
      <alignment vertical="center" wrapText="1"/>
    </xf>
    <xf numFmtId="16" fontId="0" fillId="3" borderId="7" xfId="0" applyNumberFormat="1" applyFill="1" applyBorder="1" applyAlignment="1">
      <alignment vertical="center" wrapText="1"/>
    </xf>
    <xf numFmtId="16" fontId="0" fillId="3" borderId="8" xfId="0" applyNumberFormat="1" applyFill="1" applyBorder="1" applyAlignment="1">
      <alignment vertical="center" wrapText="1"/>
    </xf>
    <xf numFmtId="0" fontId="0" fillId="3" borderId="3" xfId="0" applyFill="1" applyBorder="1" applyAlignment="1">
      <alignment vertical="center" wrapText="1"/>
    </xf>
    <xf numFmtId="38" fontId="0" fillId="3" borderId="3" xfId="0" applyNumberFormat="1" applyFill="1" applyBorder="1" applyAlignment="1">
      <alignment vertical="center" wrapText="1"/>
    </xf>
    <xf numFmtId="166" fontId="0" fillId="3" borderId="3" xfId="0" applyNumberFormat="1" applyFill="1" applyBorder="1" applyAlignment="1">
      <alignment vertical="center" wrapText="1"/>
    </xf>
    <xf numFmtId="0" fontId="0" fillId="3" borderId="9" xfId="0" applyFill="1" applyBorder="1" applyAlignment="1">
      <alignment vertical="center" wrapText="1"/>
    </xf>
    <xf numFmtId="0" fontId="81" fillId="27" borderId="23" xfId="0" applyFont="1" applyFill="1" applyBorder="1" applyAlignment="1">
      <alignment vertical="center" wrapText="1"/>
    </xf>
    <xf numFmtId="38" fontId="44" fillId="29" borderId="50" xfId="0" applyNumberFormat="1" applyFont="1" applyFill="1" applyBorder="1" applyAlignment="1">
      <alignment horizontal="center" vertical="center"/>
    </xf>
    <xf numFmtId="38" fontId="44" fillId="32" borderId="50" xfId="0" applyNumberFormat="1" applyFont="1" applyFill="1" applyBorder="1" applyAlignment="1">
      <alignment horizontal="center" vertical="center"/>
    </xf>
    <xf numFmtId="38" fontId="44" fillId="3" borderId="11" xfId="0" applyNumberFormat="1" applyFont="1" applyFill="1" applyBorder="1" applyAlignment="1">
      <alignment horizontal="center" vertical="center"/>
    </xf>
    <xf numFmtId="0" fontId="0" fillId="0" borderId="68" xfId="0" applyBorder="1">
      <alignment vertical="center"/>
    </xf>
    <xf numFmtId="0" fontId="0" fillId="0" borderId="69" xfId="0" applyBorder="1">
      <alignment vertical="center"/>
    </xf>
    <xf numFmtId="0" fontId="0" fillId="0" borderId="70" xfId="0" applyBorder="1">
      <alignment vertical="center"/>
    </xf>
    <xf numFmtId="0" fontId="0" fillId="0" borderId="71" xfId="0" applyBorder="1">
      <alignment vertical="center"/>
    </xf>
    <xf numFmtId="0" fontId="0" fillId="0" borderId="72" xfId="0" applyBorder="1">
      <alignment vertical="center"/>
    </xf>
    <xf numFmtId="0" fontId="0" fillId="0" borderId="73" xfId="0" applyBorder="1">
      <alignment vertical="center"/>
    </xf>
    <xf numFmtId="0" fontId="0" fillId="0" borderId="74" xfId="0" applyBorder="1">
      <alignment vertical="center"/>
    </xf>
    <xf numFmtId="0" fontId="0" fillId="0" borderId="75" xfId="0" applyBorder="1">
      <alignment vertical="center"/>
    </xf>
    <xf numFmtId="0" fontId="0" fillId="0" borderId="76" xfId="0" applyBorder="1">
      <alignment vertical="center"/>
    </xf>
    <xf numFmtId="0" fontId="57" fillId="0" borderId="0" xfId="0" applyFont="1" applyAlignment="1">
      <alignment horizontal="center" vertical="center"/>
    </xf>
    <xf numFmtId="0" fontId="93" fillId="0" borderId="0" xfId="0" applyFont="1">
      <alignment vertical="center"/>
    </xf>
    <xf numFmtId="165" fontId="95" fillId="6" borderId="49" xfId="0" applyNumberFormat="1" applyFont="1" applyFill="1" applyBorder="1" applyAlignment="1">
      <alignment horizontal="center" vertical="center"/>
    </xf>
    <xf numFmtId="0" fontId="93" fillId="3" borderId="2" xfId="0" applyFont="1" applyFill="1" applyBorder="1">
      <alignment vertical="center"/>
    </xf>
    <xf numFmtId="15" fontId="96" fillId="11" borderId="50" xfId="0" applyNumberFormat="1" applyFont="1" applyFill="1" applyBorder="1" applyAlignment="1">
      <alignment horizontal="center" vertical="center"/>
    </xf>
    <xf numFmtId="0" fontId="97" fillId="3" borderId="0" xfId="0" applyFont="1" applyFill="1">
      <alignment vertical="center"/>
    </xf>
    <xf numFmtId="0" fontId="98" fillId="8" borderId="0" xfId="0" applyFont="1" applyFill="1">
      <alignment vertical="center"/>
    </xf>
    <xf numFmtId="0" fontId="44" fillId="3" borderId="15" xfId="0" applyFont="1" applyFill="1" applyBorder="1" applyAlignment="1">
      <alignment horizontal="center" vertical="center"/>
    </xf>
    <xf numFmtId="0" fontId="44" fillId="7" borderId="15" xfId="0" applyFont="1" applyFill="1" applyBorder="1" applyAlignment="1">
      <alignment horizontal="center" vertical="center"/>
    </xf>
    <xf numFmtId="0" fontId="44" fillId="4" borderId="15" xfId="0" applyFont="1" applyFill="1" applyBorder="1" applyAlignment="1">
      <alignment horizontal="center" vertical="center"/>
    </xf>
    <xf numFmtId="0" fontId="44" fillId="3" borderId="2" xfId="0" applyFont="1" applyFill="1" applyBorder="1" applyAlignment="1">
      <alignment horizontal="center" vertical="center"/>
    </xf>
    <xf numFmtId="38" fontId="65" fillId="8" borderId="2" xfId="0" applyNumberFormat="1" applyFont="1" applyFill="1" applyBorder="1" applyAlignment="1">
      <alignment horizontal="center" vertical="center"/>
    </xf>
    <xf numFmtId="38" fontId="65" fillId="8" borderId="12" xfId="0" applyNumberFormat="1" applyFont="1" applyFill="1" applyBorder="1" applyAlignment="1">
      <alignment horizontal="center" vertical="center"/>
    </xf>
    <xf numFmtId="38" fontId="65" fillId="8" borderId="45" xfId="0" applyNumberFormat="1" applyFont="1" applyFill="1" applyBorder="1" applyAlignment="1">
      <alignment horizontal="center" vertical="center"/>
    </xf>
    <xf numFmtId="38" fontId="65" fillId="8" borderId="47" xfId="0" applyNumberFormat="1" applyFont="1" applyFill="1" applyBorder="1" applyAlignment="1">
      <alignment horizontal="center" vertical="center"/>
    </xf>
    <xf numFmtId="38" fontId="65" fillId="8" borderId="46" xfId="0" applyNumberFormat="1" applyFont="1" applyFill="1" applyBorder="1" applyAlignment="1">
      <alignment horizontal="center" vertical="center"/>
    </xf>
    <xf numFmtId="38" fontId="65" fillId="8" borderId="48" xfId="0" applyNumberFormat="1" applyFont="1" applyFill="1" applyBorder="1" applyAlignment="1">
      <alignment horizontal="center" vertical="center"/>
    </xf>
    <xf numFmtId="38" fontId="65" fillId="8" borderId="52" xfId="0" applyNumberFormat="1" applyFont="1" applyFill="1" applyBorder="1" applyAlignment="1">
      <alignment horizontal="center" vertical="center"/>
    </xf>
    <xf numFmtId="38" fontId="65" fillId="8" borderId="64" xfId="0" applyNumberFormat="1" applyFont="1" applyFill="1" applyBorder="1" applyAlignment="1">
      <alignment horizontal="center" vertical="center"/>
    </xf>
    <xf numFmtId="3" fontId="99" fillId="3" borderId="2" xfId="0" applyNumberFormat="1" applyFont="1" applyFill="1" applyBorder="1" applyAlignment="1">
      <alignment horizontal="center" vertical="center"/>
    </xf>
    <xf numFmtId="38" fontId="99" fillId="0" borderId="2" xfId="0" applyNumberFormat="1" applyFont="1" applyBorder="1" applyAlignment="1">
      <alignment horizontal="center" vertical="center"/>
    </xf>
    <xf numFmtId="0" fontId="99" fillId="0" borderId="2" xfId="0" applyFont="1" applyBorder="1" applyAlignment="1">
      <alignment horizontal="center" vertical="center"/>
    </xf>
    <xf numFmtId="0" fontId="99" fillId="0" borderId="2" xfId="0" applyFont="1" applyFill="1" applyBorder="1" applyAlignment="1">
      <alignment horizontal="center" vertical="center"/>
    </xf>
    <xf numFmtId="3" fontId="99" fillId="0" borderId="2" xfId="0" applyNumberFormat="1" applyFont="1" applyBorder="1" applyAlignment="1">
      <alignment horizontal="center" vertical="center"/>
    </xf>
    <xf numFmtId="3" fontId="99" fillId="0" borderId="2" xfId="0" applyNumberFormat="1" applyFont="1" applyFill="1" applyBorder="1" applyAlignment="1">
      <alignment horizontal="center" vertical="center"/>
    </xf>
    <xf numFmtId="3" fontId="43" fillId="0" borderId="2" xfId="0" applyNumberFormat="1" applyFont="1" applyBorder="1" applyAlignment="1">
      <alignment horizontal="center" vertical="center"/>
    </xf>
    <xf numFmtId="3" fontId="43" fillId="4" borderId="2" xfId="0" applyNumberFormat="1" applyFont="1" applyFill="1" applyBorder="1" applyAlignment="1">
      <alignment horizontal="center" vertical="center"/>
    </xf>
    <xf numFmtId="3" fontId="43" fillId="0" borderId="16" xfId="0" applyNumberFormat="1" applyFont="1" applyFill="1" applyBorder="1" applyAlignment="1">
      <alignment horizontal="center" vertical="center"/>
    </xf>
    <xf numFmtId="3" fontId="43" fillId="4" borderId="16" xfId="0" applyNumberFormat="1" applyFont="1" applyFill="1" applyBorder="1" applyAlignment="1">
      <alignment horizontal="center" vertical="center"/>
    </xf>
    <xf numFmtId="3" fontId="43" fillId="0" borderId="19" xfId="0" applyNumberFormat="1" applyFont="1" applyFill="1" applyBorder="1" applyAlignment="1">
      <alignment horizontal="center" vertical="center"/>
    </xf>
    <xf numFmtId="3" fontId="43" fillId="0" borderId="43" xfId="0" applyNumberFormat="1" applyFont="1" applyFill="1" applyBorder="1" applyAlignment="1">
      <alignment horizontal="center" vertical="center"/>
    </xf>
    <xf numFmtId="3" fontId="43" fillId="0" borderId="44" xfId="0" applyNumberFormat="1" applyFont="1" applyFill="1" applyBorder="1" applyAlignment="1">
      <alignment horizontal="center" vertical="center"/>
    </xf>
    <xf numFmtId="3" fontId="43" fillId="0" borderId="51" xfId="0" applyNumberFormat="1" applyFont="1" applyFill="1" applyBorder="1" applyAlignment="1">
      <alignment horizontal="center" vertical="center"/>
    </xf>
    <xf numFmtId="3" fontId="43" fillId="4" borderId="51" xfId="0" applyNumberFormat="1" applyFont="1" applyFill="1" applyBorder="1" applyAlignment="1">
      <alignment horizontal="center" vertical="center"/>
    </xf>
    <xf numFmtId="3" fontId="43" fillId="0" borderId="5" xfId="0" applyNumberFormat="1" applyFont="1" applyFill="1" applyBorder="1" applyAlignment="1">
      <alignment horizontal="center" vertical="center"/>
    </xf>
    <xf numFmtId="3" fontId="43" fillId="3" borderId="51" xfId="0" applyNumberFormat="1" applyFont="1" applyFill="1" applyBorder="1" applyAlignment="1">
      <alignment horizontal="center" vertical="center"/>
    </xf>
    <xf numFmtId="3" fontId="44" fillId="4" borderId="51" xfId="0" applyNumberFormat="1" applyFont="1" applyFill="1" applyBorder="1" applyAlignment="1">
      <alignment horizontal="center" vertical="center"/>
    </xf>
    <xf numFmtId="3" fontId="44" fillId="3" borderId="51" xfId="0" applyNumberFormat="1" applyFont="1" applyFill="1" applyBorder="1" applyAlignment="1">
      <alignment horizontal="center" vertical="center"/>
    </xf>
    <xf numFmtId="3" fontId="65" fillId="25" borderId="2" xfId="0" applyNumberFormat="1" applyFont="1" applyFill="1" applyBorder="1" applyAlignment="1">
      <alignment horizontal="center" vertical="center"/>
    </xf>
    <xf numFmtId="0" fontId="99" fillId="0" borderId="16" xfId="0" applyFont="1" applyFill="1" applyBorder="1" applyAlignment="1">
      <alignment horizontal="center" vertical="center"/>
    </xf>
    <xf numFmtId="0" fontId="99" fillId="13" borderId="16" xfId="0" applyFont="1" applyFill="1" applyBorder="1" applyAlignment="1">
      <alignment horizontal="center" vertical="center"/>
    </xf>
    <xf numFmtId="3" fontId="101" fillId="3" borderId="2" xfId="0" applyNumberFormat="1" applyFont="1" applyFill="1" applyBorder="1" applyAlignment="1">
      <alignment horizontal="center" vertical="center" wrapText="1"/>
    </xf>
    <xf numFmtId="38" fontId="65" fillId="8" borderId="41" xfId="0" applyNumberFormat="1" applyFont="1" applyFill="1" applyBorder="1" applyAlignment="1">
      <alignment horizontal="center" vertical="center"/>
    </xf>
    <xf numFmtId="38" fontId="65" fillId="8" borderId="50" xfId="0" applyNumberFormat="1" applyFont="1" applyFill="1" applyBorder="1" applyAlignment="1">
      <alignment horizontal="center" vertical="center"/>
    </xf>
    <xf numFmtId="38" fontId="65" fillId="8" borderId="11" xfId="0" applyNumberFormat="1" applyFont="1" applyFill="1" applyBorder="1" applyAlignment="1">
      <alignment horizontal="center" vertical="center"/>
    </xf>
    <xf numFmtId="0" fontId="99" fillId="4" borderId="0" xfId="0" applyFont="1" applyFill="1" applyBorder="1" applyAlignment="1">
      <alignment horizontal="center" vertical="center"/>
    </xf>
    <xf numFmtId="3" fontId="43" fillId="0" borderId="12" xfId="0" applyNumberFormat="1" applyFont="1" applyBorder="1" applyAlignment="1">
      <alignment horizontal="center" vertical="center"/>
    </xf>
    <xf numFmtId="3" fontId="43" fillId="0" borderId="41" xfId="0" applyNumberFormat="1" applyFont="1" applyBorder="1" applyAlignment="1">
      <alignment horizontal="center" vertical="center"/>
    </xf>
    <xf numFmtId="3" fontId="43" fillId="0" borderId="50" xfId="0" applyNumberFormat="1" applyFont="1" applyBorder="1" applyAlignment="1">
      <alignment horizontal="center" vertical="center"/>
    </xf>
    <xf numFmtId="3" fontId="43" fillId="0" borderId="11" xfId="0" applyNumberFormat="1" applyFont="1" applyBorder="1" applyAlignment="1">
      <alignment horizontal="center" vertical="center"/>
    </xf>
    <xf numFmtId="3" fontId="44" fillId="13" borderId="51" xfId="0" applyNumberFormat="1" applyFont="1" applyFill="1" applyBorder="1" applyAlignment="1">
      <alignment horizontal="center" vertical="center"/>
    </xf>
    <xf numFmtId="0" fontId="101" fillId="3" borderId="51" xfId="0" applyFont="1" applyFill="1" applyBorder="1" applyAlignment="1">
      <alignment horizontal="center" vertical="center"/>
    </xf>
    <xf numFmtId="3" fontId="43" fillId="35" borderId="2" xfId="0" applyNumberFormat="1" applyFont="1" applyFill="1" applyBorder="1" applyAlignment="1">
      <alignment horizontal="center" vertical="center"/>
    </xf>
    <xf numFmtId="3" fontId="60" fillId="0" borderId="2" xfId="0" applyNumberFormat="1" applyFont="1" applyBorder="1" applyAlignment="1">
      <alignment horizontal="center" vertical="center"/>
    </xf>
    <xf numFmtId="3" fontId="99" fillId="3" borderId="2" xfId="0" applyNumberFormat="1" applyFont="1" applyFill="1" applyBorder="1" applyAlignment="1">
      <alignment horizontal="center" vertical="center" wrapText="1"/>
    </xf>
    <xf numFmtId="3" fontId="60" fillId="3" borderId="2" xfId="0" applyNumberFormat="1" applyFont="1" applyFill="1" applyBorder="1" applyAlignment="1">
      <alignment horizontal="center" vertical="center"/>
    </xf>
    <xf numFmtId="3" fontId="65" fillId="3" borderId="2" xfId="0" applyNumberFormat="1" applyFont="1" applyFill="1" applyBorder="1" applyAlignment="1">
      <alignment horizontal="center" vertical="center"/>
    </xf>
    <xf numFmtId="3" fontId="43" fillId="3" borderId="2" xfId="0" applyNumberFormat="1" applyFont="1" applyFill="1" applyBorder="1" applyAlignment="1">
      <alignment horizontal="center" vertical="center"/>
    </xf>
    <xf numFmtId="3" fontId="99" fillId="4" borderId="2" xfId="0" applyNumberFormat="1" applyFont="1" applyFill="1" applyBorder="1" applyAlignment="1">
      <alignment horizontal="center" vertical="center"/>
    </xf>
    <xf numFmtId="3" fontId="99" fillId="7" borderId="2" xfId="0" applyNumberFormat="1" applyFont="1" applyFill="1" applyBorder="1" applyAlignment="1">
      <alignment horizontal="center" vertical="center"/>
    </xf>
    <xf numFmtId="3" fontId="99" fillId="3" borderId="12" xfId="0" applyNumberFormat="1" applyFont="1" applyFill="1" applyBorder="1" applyAlignment="1">
      <alignment horizontal="center" vertical="center"/>
    </xf>
    <xf numFmtId="0" fontId="99" fillId="0" borderId="0" xfId="0" applyFont="1" applyAlignment="1">
      <alignment horizontal="center" vertical="center"/>
    </xf>
    <xf numFmtId="3" fontId="99" fillId="6" borderId="2" xfId="0" applyNumberFormat="1" applyFont="1" applyFill="1" applyBorder="1" applyAlignment="1">
      <alignment horizontal="center" vertical="center" wrapText="1"/>
    </xf>
    <xf numFmtId="3" fontId="99" fillId="7" borderId="2" xfId="0" applyNumberFormat="1" applyFont="1" applyFill="1" applyBorder="1" applyAlignment="1">
      <alignment horizontal="center" vertical="center" wrapText="1"/>
    </xf>
    <xf numFmtId="3" fontId="99" fillId="5" borderId="2" xfId="11" applyNumberFormat="1" applyFont="1" applyFill="1" applyBorder="1" applyAlignment="1">
      <alignment horizontal="center" vertical="center"/>
    </xf>
    <xf numFmtId="3" fontId="44" fillId="3" borderId="2" xfId="0" applyNumberFormat="1" applyFont="1" applyFill="1" applyBorder="1" applyAlignment="1">
      <alignment horizontal="center" vertical="center"/>
    </xf>
    <xf numFmtId="3" fontId="43" fillId="9" borderId="2" xfId="0" applyNumberFormat="1" applyFont="1" applyFill="1" applyBorder="1" applyAlignment="1">
      <alignment horizontal="center" vertical="center"/>
    </xf>
    <xf numFmtId="38" fontId="100" fillId="3" borderId="2" xfId="11" applyFont="1" applyFill="1" applyBorder="1" applyAlignment="1">
      <alignment horizontal="center" vertical="center"/>
    </xf>
    <xf numFmtId="38" fontId="100" fillId="14" borderId="2" xfId="11" applyFont="1" applyFill="1" applyBorder="1" applyAlignment="1">
      <alignment horizontal="center" vertical="center"/>
    </xf>
    <xf numFmtId="38" fontId="100" fillId="7" borderId="2" xfId="11" applyFont="1" applyFill="1" applyBorder="1" applyAlignment="1">
      <alignment horizontal="center" vertical="center"/>
    </xf>
    <xf numFmtId="38" fontId="100" fillId="9" borderId="2" xfId="11" applyFont="1" applyFill="1" applyBorder="1" applyAlignment="1">
      <alignment horizontal="center" vertical="center"/>
    </xf>
    <xf numFmtId="38" fontId="100" fillId="13" borderId="2" xfId="11" applyFont="1" applyFill="1" applyBorder="1" applyAlignment="1">
      <alignment horizontal="center" vertical="center"/>
    </xf>
    <xf numFmtId="38" fontId="100" fillId="17" borderId="2" xfId="11" applyFont="1" applyFill="1" applyBorder="1" applyAlignment="1">
      <alignment horizontal="center" vertical="center"/>
    </xf>
    <xf numFmtId="38" fontId="100" fillId="4" borderId="2" xfId="11" applyFont="1" applyFill="1" applyBorder="1" applyAlignment="1">
      <alignment horizontal="center" vertical="center"/>
    </xf>
    <xf numFmtId="38" fontId="100" fillId="3" borderId="16" xfId="11" applyFont="1" applyFill="1" applyBorder="1" applyAlignment="1">
      <alignment horizontal="center" vertical="center"/>
    </xf>
    <xf numFmtId="38" fontId="100" fillId="7" borderId="16" xfId="11" applyFont="1" applyFill="1" applyBorder="1" applyAlignment="1">
      <alignment horizontal="center" vertical="center"/>
    </xf>
    <xf numFmtId="38" fontId="100" fillId="3" borderId="12" xfId="11" applyFont="1" applyFill="1" applyBorder="1" applyAlignment="1">
      <alignment horizontal="center" vertical="center"/>
    </xf>
    <xf numFmtId="0" fontId="101" fillId="3" borderId="2" xfId="0" applyFont="1" applyFill="1" applyBorder="1" applyAlignment="1">
      <alignment horizontal="center" vertical="center" wrapText="1"/>
    </xf>
    <xf numFmtId="3" fontId="101" fillId="3" borderId="12" xfId="0" applyNumberFormat="1" applyFont="1" applyFill="1" applyBorder="1" applyAlignment="1">
      <alignment horizontal="center" vertical="center" wrapText="1"/>
    </xf>
    <xf numFmtId="0" fontId="101" fillId="3" borderId="0" xfId="0" applyFont="1" applyFill="1" applyAlignment="1">
      <alignment horizontal="center" vertical="center"/>
    </xf>
    <xf numFmtId="0" fontId="102" fillId="3" borderId="0" xfId="0" applyFont="1" applyFill="1" applyAlignment="1">
      <alignment horizontal="center" vertical="center"/>
    </xf>
    <xf numFmtId="0" fontId="101" fillId="3" borderId="5" xfId="0" applyFont="1" applyFill="1" applyBorder="1" applyAlignment="1">
      <alignment horizontal="center" vertical="center"/>
    </xf>
    <xf numFmtId="0" fontId="101" fillId="3" borderId="0" xfId="0" applyFont="1" applyFill="1" applyBorder="1" applyAlignment="1">
      <alignment horizontal="center" vertical="center"/>
    </xf>
    <xf numFmtId="0" fontId="101" fillId="3" borderId="6" xfId="0" applyFont="1" applyFill="1" applyBorder="1" applyAlignment="1">
      <alignment horizontal="center" vertical="center"/>
    </xf>
    <xf numFmtId="0" fontId="101" fillId="3" borderId="62" xfId="0" applyFont="1" applyFill="1" applyBorder="1" applyAlignment="1">
      <alignment horizontal="center" vertical="center"/>
    </xf>
    <xf numFmtId="38" fontId="99" fillId="3" borderId="0" xfId="0" applyNumberFormat="1" applyFont="1" applyFill="1" applyBorder="1" applyAlignment="1">
      <alignment horizontal="center" vertical="center"/>
    </xf>
    <xf numFmtId="164" fontId="44" fillId="3" borderId="6" xfId="0" applyNumberFormat="1" applyFont="1" applyFill="1" applyBorder="1" applyAlignment="1">
      <alignment horizontal="center" vertical="center"/>
    </xf>
    <xf numFmtId="164" fontId="44" fillId="3" borderId="0" xfId="0" applyNumberFormat="1" applyFont="1" applyFill="1" applyBorder="1" applyAlignment="1">
      <alignment horizontal="center" vertical="center"/>
    </xf>
    <xf numFmtId="0" fontId="99" fillId="3" borderId="0" xfId="0" applyFont="1" applyFill="1" applyAlignment="1">
      <alignment horizontal="center" vertical="center"/>
    </xf>
    <xf numFmtId="0" fontId="99" fillId="4" borderId="2" xfId="0" applyFont="1" applyFill="1" applyBorder="1" applyAlignment="1">
      <alignment horizontal="center" vertical="center"/>
    </xf>
    <xf numFmtId="3" fontId="99" fillId="0" borderId="12" xfId="0" applyNumberFormat="1" applyFont="1" applyBorder="1" applyAlignment="1">
      <alignment horizontal="center" vertical="center"/>
    </xf>
    <xf numFmtId="0" fontId="99" fillId="3" borderId="0" xfId="0" applyFont="1" applyFill="1" applyBorder="1" applyAlignment="1">
      <alignment horizontal="center" vertical="center"/>
    </xf>
    <xf numFmtId="0" fontId="99" fillId="3" borderId="6" xfId="0" applyFont="1" applyFill="1" applyBorder="1" applyAlignment="1">
      <alignment horizontal="center" vertical="center"/>
    </xf>
    <xf numFmtId="0" fontId="43" fillId="3" borderId="0" xfId="0" applyFont="1" applyFill="1" applyAlignment="1">
      <alignment horizontal="center" vertical="center"/>
    </xf>
    <xf numFmtId="0" fontId="46" fillId="3" borderId="0" xfId="0" applyFont="1" applyFill="1" applyBorder="1" applyAlignment="1">
      <alignment horizontal="center" vertical="center" wrapText="1"/>
    </xf>
    <xf numFmtId="0" fontId="46" fillId="3" borderId="3" xfId="0" applyFont="1" applyFill="1" applyBorder="1" applyAlignment="1">
      <alignment horizontal="center" vertical="center" wrapText="1"/>
    </xf>
    <xf numFmtId="0" fontId="43" fillId="0" borderId="3" xfId="0" applyFont="1" applyBorder="1" applyAlignment="1">
      <alignment vertical="center" wrapText="1"/>
    </xf>
    <xf numFmtId="0" fontId="28" fillId="0" borderId="0" xfId="0" applyFont="1" applyBorder="1" applyAlignment="1">
      <alignment vertical="center" wrapText="1"/>
    </xf>
    <xf numFmtId="0" fontId="91" fillId="34" borderId="0" xfId="0" applyFont="1" applyFill="1" applyBorder="1" applyAlignment="1">
      <alignment horizontal="left" vertical="center"/>
    </xf>
    <xf numFmtId="9" fontId="0" fillId="3" borderId="20" xfId="597" applyFont="1" applyFill="1" applyBorder="1" applyAlignment="1">
      <alignment vertical="center"/>
    </xf>
    <xf numFmtId="15" fontId="96" fillId="11" borderId="65" xfId="0" applyNumberFormat="1" applyFont="1" applyFill="1" applyBorder="1" applyAlignment="1">
      <alignment horizontal="center" vertical="center"/>
    </xf>
    <xf numFmtId="38" fontId="34" fillId="3" borderId="20" xfId="0" applyNumberFormat="1" applyFont="1" applyFill="1" applyBorder="1" applyAlignment="1">
      <alignment horizontal="right" vertical="center"/>
    </xf>
    <xf numFmtId="3" fontId="60" fillId="0" borderId="20" xfId="0" applyNumberFormat="1" applyFont="1" applyBorder="1" applyAlignment="1">
      <alignment horizontal="center" vertical="center"/>
    </xf>
    <xf numFmtId="3" fontId="65" fillId="0" borderId="20" xfId="0" applyNumberFormat="1" applyFont="1" applyBorder="1" applyAlignment="1">
      <alignment horizontal="center" vertical="center"/>
    </xf>
    <xf numFmtId="3" fontId="99" fillId="3" borderId="20" xfId="0" applyNumberFormat="1" applyFont="1" applyFill="1" applyBorder="1" applyAlignment="1">
      <alignment horizontal="center" vertical="center" wrapText="1"/>
    </xf>
    <xf numFmtId="0" fontId="101" fillId="3" borderId="20" xfId="0" applyFont="1" applyFill="1" applyBorder="1" applyAlignment="1">
      <alignment horizontal="center" vertical="center" wrapText="1"/>
    </xf>
    <xf numFmtId="38" fontId="65" fillId="8" borderId="20" xfId="0" applyNumberFormat="1" applyFont="1" applyFill="1" applyBorder="1" applyAlignment="1">
      <alignment horizontal="center" vertical="center"/>
    </xf>
    <xf numFmtId="0" fontId="28" fillId="0" borderId="2" xfId="0" applyFont="1" applyFill="1" applyBorder="1" applyAlignment="1">
      <alignment vertical="center" wrapText="1"/>
    </xf>
    <xf numFmtId="0" fontId="30" fillId="0" borderId="2" xfId="0" applyFont="1" applyFill="1" applyBorder="1">
      <alignment vertical="center"/>
    </xf>
    <xf numFmtId="0" fontId="31" fillId="0" borderId="2" xfId="0" applyFont="1" applyFill="1" applyBorder="1" applyAlignment="1">
      <alignment vertical="center" wrapText="1"/>
    </xf>
    <xf numFmtId="0" fontId="63" fillId="0" borderId="2" xfId="0" applyFont="1" applyFill="1" applyBorder="1" applyAlignment="1">
      <alignment vertical="center" wrapText="1"/>
    </xf>
    <xf numFmtId="0" fontId="29" fillId="0" borderId="2" xfId="0" applyFont="1" applyFill="1" applyBorder="1" applyAlignment="1">
      <alignment vertical="center" wrapText="1"/>
    </xf>
    <xf numFmtId="0" fontId="53" fillId="0" borderId="2" xfId="0" applyFont="1" applyFill="1" applyBorder="1" applyAlignment="1">
      <alignment vertical="center" wrapText="1"/>
    </xf>
    <xf numFmtId="0" fontId="32" fillId="0" borderId="2" xfId="0" applyFont="1" applyFill="1" applyBorder="1" applyAlignment="1">
      <alignment vertical="center" wrapText="1"/>
    </xf>
    <xf numFmtId="0" fontId="84" fillId="0" borderId="2" xfId="0" applyFont="1" applyFill="1" applyBorder="1" applyAlignment="1">
      <alignment vertical="center" wrapText="1"/>
    </xf>
    <xf numFmtId="0" fontId="35" fillId="0" borderId="2" xfId="0" applyFont="1" applyFill="1" applyBorder="1" applyAlignment="1">
      <alignment vertical="center" wrapText="1"/>
    </xf>
    <xf numFmtId="0" fontId="28" fillId="0" borderId="2" xfId="0" applyFont="1" applyFill="1" applyBorder="1">
      <alignment vertical="center"/>
    </xf>
    <xf numFmtId="0" fontId="90" fillId="3" borderId="0" xfId="0" applyFont="1" applyFill="1" applyBorder="1" applyAlignment="1">
      <alignment vertical="center" wrapText="1"/>
    </xf>
    <xf numFmtId="38" fontId="44" fillId="13" borderId="50" xfId="0" applyNumberFormat="1" applyFont="1" applyFill="1" applyBorder="1" applyAlignment="1">
      <alignment horizontal="center" vertical="center"/>
    </xf>
    <xf numFmtId="38" fontId="44" fillId="9" borderId="52" xfId="0" applyNumberFormat="1" applyFont="1" applyFill="1" applyBorder="1" applyAlignment="1">
      <alignment horizontal="center" vertical="center"/>
    </xf>
    <xf numFmtId="0" fontId="43" fillId="0" borderId="0" xfId="0" applyFont="1" applyAlignment="1">
      <alignment horizontal="center" vertical="center"/>
    </xf>
    <xf numFmtId="1" fontId="43" fillId="0" borderId="0" xfId="0" applyNumberFormat="1" applyFont="1" applyAlignment="1">
      <alignment horizontal="center" vertical="center"/>
    </xf>
    <xf numFmtId="0" fontId="75" fillId="0" borderId="2" xfId="0" applyFont="1" applyBorder="1" applyAlignment="1">
      <alignment horizontal="center" vertical="center"/>
    </xf>
    <xf numFmtId="0" fontId="28" fillId="0" borderId="2" xfId="0" applyFont="1" applyBorder="1" applyAlignment="1">
      <alignment horizontal="center" vertical="center"/>
    </xf>
    <xf numFmtId="0" fontId="0" fillId="0" borderId="2" xfId="0" applyBorder="1" applyAlignment="1">
      <alignment horizontal="center" vertical="center" wrapText="1"/>
    </xf>
    <xf numFmtId="0" fontId="0" fillId="0" borderId="2" xfId="0" applyBorder="1" applyAlignment="1">
      <alignment horizontal="center" vertical="center"/>
    </xf>
    <xf numFmtId="0" fontId="41" fillId="13" borderId="5" xfId="0" applyFont="1" applyFill="1" applyBorder="1" applyAlignment="1">
      <alignment horizontal="center" vertical="center" wrapText="1"/>
    </xf>
    <xf numFmtId="0" fontId="41" fillId="13" borderId="0" xfId="0" applyFont="1" applyFill="1" applyBorder="1" applyAlignment="1">
      <alignment horizontal="center" vertical="center" wrapText="1"/>
    </xf>
    <xf numFmtId="0" fontId="43" fillId="13" borderId="17" xfId="0" applyFont="1" applyFill="1" applyBorder="1" applyAlignment="1">
      <alignment horizontal="center" vertical="center" wrapText="1"/>
    </xf>
    <xf numFmtId="0" fontId="43" fillId="13" borderId="3" xfId="0" applyFont="1" applyFill="1" applyBorder="1" applyAlignment="1">
      <alignment horizontal="center" vertical="center" wrapText="1"/>
    </xf>
    <xf numFmtId="0" fontId="43" fillId="13" borderId="19" xfId="0" applyFont="1" applyFill="1" applyBorder="1" applyAlignment="1">
      <alignment horizontal="center" vertical="center" wrapText="1"/>
    </xf>
    <xf numFmtId="0" fontId="43" fillId="13" borderId="0" xfId="0" applyFont="1" applyFill="1" applyBorder="1" applyAlignment="1">
      <alignment horizontal="center" vertical="center" wrapText="1"/>
    </xf>
    <xf numFmtId="0" fontId="28" fillId="7" borderId="17" xfId="0" applyFont="1" applyFill="1" applyBorder="1" applyAlignment="1">
      <alignment horizontal="center" vertical="center" wrapText="1"/>
    </xf>
    <xf numFmtId="0" fontId="28" fillId="7" borderId="3" xfId="0" applyFont="1" applyFill="1" applyBorder="1" applyAlignment="1">
      <alignment horizontal="center" vertical="center" wrapText="1"/>
    </xf>
    <xf numFmtId="0" fontId="43" fillId="13" borderId="21" xfId="0" applyFont="1" applyFill="1" applyBorder="1" applyAlignment="1">
      <alignment horizontal="center" vertical="center" wrapText="1"/>
    </xf>
    <xf numFmtId="0" fontId="43" fillId="13" borderId="24" xfId="0" applyFont="1" applyFill="1" applyBorder="1" applyAlignment="1">
      <alignment horizontal="center" vertical="center" wrapText="1"/>
    </xf>
    <xf numFmtId="0" fontId="43" fillId="13" borderId="2" xfId="0" applyFont="1" applyFill="1" applyBorder="1" applyAlignment="1">
      <alignment horizontal="center" vertical="center" wrapText="1"/>
    </xf>
    <xf numFmtId="0" fontId="43" fillId="12" borderId="12" xfId="0" applyFont="1" applyFill="1" applyBorder="1" applyAlignment="1">
      <alignment horizontal="center" vertical="center" wrapText="1"/>
    </xf>
    <xf numFmtId="0" fontId="43" fillId="12" borderId="20" xfId="0" applyFont="1" applyFill="1" applyBorder="1" applyAlignment="1">
      <alignment horizontal="center" vertical="center" wrapText="1"/>
    </xf>
    <xf numFmtId="0" fontId="47" fillId="0" borderId="0" xfId="0" applyFont="1" applyAlignment="1">
      <alignment horizontal="center" vertical="center"/>
    </xf>
    <xf numFmtId="0" fontId="0" fillId="0" borderId="0" xfId="0" applyAlignment="1">
      <alignment horizontal="center" vertical="center"/>
    </xf>
    <xf numFmtId="0" fontId="41" fillId="7" borderId="3" xfId="0" applyFont="1" applyFill="1" applyBorder="1" applyAlignment="1">
      <alignment horizontal="center" vertical="center" wrapText="1"/>
    </xf>
    <xf numFmtId="16" fontId="35" fillId="13" borderId="58" xfId="0" applyNumberFormat="1" applyFont="1" applyFill="1" applyBorder="1" applyAlignment="1">
      <alignment horizontal="center" vertical="center"/>
    </xf>
    <xf numFmtId="16" fontId="35" fillId="13" borderId="43" xfId="0" applyNumberFormat="1" applyFont="1" applyFill="1" applyBorder="1" applyAlignment="1">
      <alignment horizontal="center" vertical="center"/>
    </xf>
    <xf numFmtId="0" fontId="43" fillId="0" borderId="59" xfId="0" applyFont="1" applyBorder="1" applyAlignment="1">
      <alignment horizontal="center" vertical="center"/>
    </xf>
    <xf numFmtId="0" fontId="43" fillId="0" borderId="16" xfId="0" applyFont="1" applyBorder="1" applyAlignment="1">
      <alignment horizontal="center" vertical="center"/>
    </xf>
    <xf numFmtId="0" fontId="3" fillId="0" borderId="60" xfId="0" applyFont="1" applyBorder="1" applyAlignment="1">
      <alignment horizontal="center" vertical="center" wrapText="1"/>
    </xf>
    <xf numFmtId="0" fontId="3" fillId="0" borderId="44" xfId="0" applyFont="1" applyBorder="1" applyAlignment="1">
      <alignment horizontal="center" vertical="center" wrapText="1"/>
    </xf>
    <xf numFmtId="0" fontId="94" fillId="33" borderId="2" xfId="0" applyFont="1" applyFill="1" applyBorder="1" applyAlignment="1">
      <alignment horizontal="center" vertical="center"/>
    </xf>
    <xf numFmtId="0" fontId="94" fillId="33" borderId="21" xfId="0" applyFont="1" applyFill="1" applyBorder="1" applyAlignment="1">
      <alignment horizontal="center" vertical="center"/>
    </xf>
    <xf numFmtId="0" fontId="94" fillId="33" borderId="24" xfId="0" applyFont="1" applyFill="1" applyBorder="1" applyAlignment="1">
      <alignment horizontal="center" vertical="center"/>
    </xf>
    <xf numFmtId="0" fontId="94" fillId="33" borderId="5" xfId="0" applyFont="1" applyFill="1" applyBorder="1" applyAlignment="1">
      <alignment horizontal="center" vertical="center"/>
    </xf>
    <xf numFmtId="0" fontId="94" fillId="33" borderId="0" xfId="0" applyFont="1" applyFill="1" applyBorder="1" applyAlignment="1">
      <alignment horizontal="center" vertical="center"/>
    </xf>
    <xf numFmtId="0" fontId="94" fillId="33" borderId="21" xfId="0" applyFont="1" applyFill="1" applyBorder="1" applyAlignment="1">
      <alignment horizontal="center" vertical="center" wrapText="1"/>
    </xf>
    <xf numFmtId="0" fontId="94" fillId="33" borderId="24" xfId="0" applyFont="1" applyFill="1" applyBorder="1" applyAlignment="1">
      <alignment horizontal="center" vertical="center" wrapText="1"/>
    </xf>
    <xf numFmtId="0" fontId="94" fillId="33" borderId="22" xfId="0" applyFont="1" applyFill="1" applyBorder="1" applyAlignment="1">
      <alignment horizontal="center" vertical="center" wrapText="1"/>
    </xf>
    <xf numFmtId="0" fontId="86" fillId="19" borderId="0" xfId="0" applyFont="1" applyFill="1" applyAlignment="1">
      <alignment horizontal="center" vertical="center" wrapText="1"/>
    </xf>
    <xf numFmtId="0" fontId="94" fillId="19" borderId="0" xfId="0" applyFont="1" applyFill="1" applyAlignment="1">
      <alignment horizontal="center" vertical="center" wrapText="1"/>
    </xf>
    <xf numFmtId="0" fontId="86" fillId="31" borderId="0" xfId="0" applyFont="1" applyFill="1" applyAlignment="1">
      <alignment horizontal="center" vertical="center" wrapText="1"/>
    </xf>
    <xf numFmtId="0" fontId="57" fillId="27" borderId="21" xfId="0" applyFont="1" applyFill="1" applyBorder="1" applyAlignment="1">
      <alignment horizontal="center" vertical="center"/>
    </xf>
    <xf numFmtId="0" fontId="57" fillId="27" borderId="24" xfId="0" applyFont="1" applyFill="1" applyBorder="1" applyAlignment="1">
      <alignment horizontal="center" vertical="center"/>
    </xf>
    <xf numFmtId="0" fontId="79" fillId="11" borderId="2" xfId="0" applyFont="1" applyFill="1" applyBorder="1" applyAlignment="1">
      <alignment horizontal="center" vertical="center" wrapText="1"/>
    </xf>
    <xf numFmtId="0" fontId="79" fillId="11" borderId="0" xfId="0" applyFont="1" applyFill="1" applyAlignment="1">
      <alignment horizontal="center" vertical="center" wrapText="1"/>
    </xf>
    <xf numFmtId="0" fontId="94" fillId="30" borderId="21" xfId="0" applyFont="1" applyFill="1" applyBorder="1" applyAlignment="1">
      <alignment horizontal="center" vertical="center" wrapText="1"/>
    </xf>
    <xf numFmtId="0" fontId="94" fillId="30" borderId="24" xfId="0" applyFont="1" applyFill="1" applyBorder="1" applyAlignment="1">
      <alignment horizontal="center" vertical="center" wrapText="1"/>
    </xf>
    <xf numFmtId="0" fontId="94" fillId="30" borderId="22" xfId="0" applyFont="1" applyFill="1" applyBorder="1" applyAlignment="1">
      <alignment horizontal="center" vertical="center" wrapText="1"/>
    </xf>
    <xf numFmtId="0" fontId="94" fillId="12" borderId="21" xfId="0" applyFont="1" applyFill="1" applyBorder="1" applyAlignment="1">
      <alignment horizontal="center" vertical="center" wrapText="1"/>
    </xf>
    <xf numFmtId="0" fontId="94" fillId="12" borderId="24" xfId="0" applyFont="1" applyFill="1" applyBorder="1" applyAlignment="1">
      <alignment horizontal="center" vertical="center" wrapText="1"/>
    </xf>
    <xf numFmtId="0" fontId="94" fillId="12" borderId="22" xfId="0" applyFont="1" applyFill="1" applyBorder="1" applyAlignment="1">
      <alignment horizontal="center" vertical="center" wrapText="1"/>
    </xf>
    <xf numFmtId="0" fontId="86" fillId="30" borderId="0" xfId="0" applyFont="1" applyFill="1" applyAlignment="1">
      <alignment horizontal="center" vertical="center" wrapText="1"/>
    </xf>
    <xf numFmtId="0" fontId="86" fillId="27" borderId="5" xfId="0" applyFont="1" applyFill="1" applyBorder="1" applyAlignment="1">
      <alignment horizontal="center" vertical="center" wrapText="1"/>
    </xf>
    <xf numFmtId="0" fontId="86" fillId="27" borderId="0" xfId="0" applyFont="1" applyFill="1" applyBorder="1" applyAlignment="1">
      <alignment horizontal="center" vertical="center" wrapText="1"/>
    </xf>
    <xf numFmtId="0" fontId="86" fillId="25" borderId="0" xfId="0" applyFont="1" applyFill="1" applyAlignment="1">
      <alignment horizontal="center" vertical="center" wrapText="1"/>
    </xf>
    <xf numFmtId="0" fontId="86" fillId="28" borderId="0" xfId="0" applyFont="1" applyFill="1" applyAlignment="1">
      <alignment horizontal="center" vertical="center" wrapText="1"/>
    </xf>
    <xf numFmtId="0" fontId="86" fillId="11" borderId="0" xfId="0" applyFont="1" applyFill="1" applyAlignment="1">
      <alignment horizontal="center" vertical="center" wrapText="1"/>
    </xf>
    <xf numFmtId="0" fontId="86" fillId="12" borderId="0" xfId="0" applyFont="1" applyFill="1" applyAlignment="1">
      <alignment horizontal="center" vertical="center"/>
    </xf>
    <xf numFmtId="0" fontId="86" fillId="27" borderId="24" xfId="0" applyFont="1" applyFill="1" applyBorder="1" applyAlignment="1">
      <alignment horizontal="center" vertical="center" wrapText="1"/>
    </xf>
    <xf numFmtId="0" fontId="86" fillId="27" borderId="66" xfId="0" applyFont="1" applyFill="1" applyBorder="1" applyAlignment="1">
      <alignment horizontal="center" vertical="center" wrapText="1"/>
    </xf>
    <xf numFmtId="0" fontId="86" fillId="27" borderId="67" xfId="0" applyFont="1" applyFill="1" applyBorder="1" applyAlignment="1">
      <alignment horizontal="center" vertical="center" wrapText="1"/>
    </xf>
    <xf numFmtId="0" fontId="79" fillId="11" borderId="21" xfId="0" applyFont="1" applyFill="1" applyBorder="1" applyAlignment="1">
      <alignment horizontal="center" vertical="center" wrapText="1"/>
    </xf>
    <xf numFmtId="0" fontId="79" fillId="11" borderId="24" xfId="0" applyFont="1" applyFill="1" applyBorder="1" applyAlignment="1">
      <alignment horizontal="center" vertical="center" wrapText="1"/>
    </xf>
    <xf numFmtId="0" fontId="79" fillId="11" borderId="22" xfId="0" applyFont="1" applyFill="1" applyBorder="1" applyAlignment="1">
      <alignment horizontal="center" vertical="center" wrapText="1"/>
    </xf>
    <xf numFmtId="0" fontId="79" fillId="11" borderId="19" xfId="0" applyFont="1" applyFill="1" applyBorder="1" applyAlignment="1">
      <alignment horizontal="center" vertical="center" wrapText="1"/>
    </xf>
    <xf numFmtId="0" fontId="79" fillId="11" borderId="0" xfId="0" applyFont="1" applyFill="1" applyBorder="1" applyAlignment="1">
      <alignment horizontal="center" vertical="center" wrapText="1"/>
    </xf>
    <xf numFmtId="0" fontId="79" fillId="11" borderId="5" xfId="0" applyFont="1" applyFill="1" applyBorder="1" applyAlignment="1">
      <alignment horizontal="center" vertical="center" wrapText="1"/>
    </xf>
    <xf numFmtId="0" fontId="43" fillId="11" borderId="14" xfId="0" applyFont="1" applyFill="1" applyBorder="1" applyAlignment="1">
      <alignment horizontal="center" vertical="center"/>
    </xf>
    <xf numFmtId="9" fontId="43" fillId="12" borderId="2" xfId="0" applyNumberFormat="1" applyFont="1" applyFill="1" applyBorder="1" applyAlignment="1">
      <alignment horizontal="center" vertical="center"/>
    </xf>
    <xf numFmtId="9" fontId="43" fillId="13" borderId="2" xfId="0" applyNumberFormat="1" applyFont="1" applyFill="1" applyBorder="1" applyAlignment="1">
      <alignment horizontal="center" vertical="center"/>
    </xf>
    <xf numFmtId="9" fontId="43" fillId="7" borderId="2" xfId="0" applyNumberFormat="1" applyFont="1" applyFill="1" applyBorder="1" applyAlignment="1">
      <alignment horizontal="center" vertical="center"/>
    </xf>
    <xf numFmtId="0" fontId="44" fillId="11" borderId="2" xfId="0" applyFont="1" applyFill="1" applyBorder="1" applyAlignment="1">
      <alignment horizontal="center" vertical="center"/>
    </xf>
    <xf numFmtId="9" fontId="43" fillId="13" borderId="2" xfId="0" applyNumberFormat="1" applyFont="1" applyFill="1" applyBorder="1" applyAlignment="1">
      <alignment horizontal="center" vertical="center" wrapText="1"/>
    </xf>
    <xf numFmtId="9" fontId="43" fillId="7" borderId="2" xfId="0" applyNumberFormat="1" applyFont="1" applyFill="1" applyBorder="1" applyAlignment="1">
      <alignment horizontal="center" vertical="center" wrapText="1"/>
    </xf>
    <xf numFmtId="9" fontId="43" fillId="16" borderId="2" xfId="0" applyNumberFormat="1" applyFont="1" applyFill="1" applyBorder="1" applyAlignment="1">
      <alignment horizontal="center" vertical="center" wrapText="1"/>
    </xf>
    <xf numFmtId="0" fontId="79" fillId="11" borderId="12" xfId="0" applyFont="1" applyFill="1" applyBorder="1" applyAlignment="1">
      <alignment horizontal="center" vertical="center" wrapText="1"/>
    </xf>
    <xf numFmtId="0" fontId="79" fillId="11" borderId="13" xfId="0" applyFont="1" applyFill="1" applyBorder="1" applyAlignment="1">
      <alignment horizontal="center" vertical="center" wrapText="1"/>
    </xf>
    <xf numFmtId="0" fontId="79" fillId="11" borderId="20" xfId="0" applyFont="1" applyFill="1" applyBorder="1" applyAlignment="1">
      <alignment horizontal="center" vertical="center" wrapText="1"/>
    </xf>
    <xf numFmtId="0" fontId="57" fillId="13" borderId="19" xfId="0" applyFont="1" applyFill="1" applyBorder="1" applyAlignment="1">
      <alignment horizontal="center" vertical="center" wrapText="1"/>
    </xf>
    <xf numFmtId="0" fontId="57" fillId="13" borderId="0" xfId="0" applyFont="1" applyFill="1" applyBorder="1" applyAlignment="1">
      <alignment horizontal="center" vertical="center" wrapText="1"/>
    </xf>
    <xf numFmtId="0" fontId="71" fillId="12" borderId="12" xfId="0" applyFont="1" applyFill="1" applyBorder="1" applyAlignment="1">
      <alignment horizontal="center" vertical="center" wrapText="1"/>
    </xf>
    <xf numFmtId="0" fontId="71" fillId="12" borderId="20" xfId="0" applyFont="1" applyFill="1" applyBorder="1" applyAlignment="1">
      <alignment horizontal="center" vertical="center" wrapText="1"/>
    </xf>
    <xf numFmtId="0" fontId="43" fillId="7" borderId="19" xfId="0" applyFont="1" applyFill="1" applyBorder="1" applyAlignment="1">
      <alignment horizontal="center" vertical="center" wrapText="1"/>
    </xf>
    <xf numFmtId="0" fontId="43" fillId="7" borderId="0" xfId="0" applyFont="1" applyFill="1" applyBorder="1" applyAlignment="1">
      <alignment horizontal="center" vertical="center" wrapText="1"/>
    </xf>
    <xf numFmtId="0" fontId="63" fillId="7" borderId="12" xfId="0" applyFont="1" applyFill="1" applyBorder="1" applyAlignment="1">
      <alignment horizontal="center" vertical="center" wrapText="1"/>
    </xf>
    <xf numFmtId="0" fontId="63" fillId="7" borderId="13" xfId="0" applyFont="1" applyFill="1" applyBorder="1" applyAlignment="1">
      <alignment horizontal="center" vertical="center" wrapText="1"/>
    </xf>
    <xf numFmtId="0" fontId="63" fillId="7" borderId="20" xfId="0" applyFont="1" applyFill="1" applyBorder="1" applyAlignment="1">
      <alignment horizontal="center" vertical="center" wrapText="1"/>
    </xf>
    <xf numFmtId="0" fontId="43" fillId="13" borderId="12" xfId="0" applyFont="1" applyFill="1" applyBorder="1" applyAlignment="1">
      <alignment horizontal="center" vertical="center" wrapText="1"/>
    </xf>
    <xf numFmtId="0" fontId="43" fillId="13" borderId="13" xfId="0" applyFont="1" applyFill="1" applyBorder="1" applyAlignment="1">
      <alignment horizontal="center" vertical="center" wrapText="1"/>
    </xf>
    <xf numFmtId="0" fontId="43" fillId="13" borderId="20" xfId="0" applyFont="1" applyFill="1" applyBorder="1" applyAlignment="1">
      <alignment horizontal="center" vertical="center" wrapText="1"/>
    </xf>
    <xf numFmtId="0" fontId="86" fillId="13" borderId="19" xfId="0" applyFont="1" applyFill="1" applyBorder="1" applyAlignment="1">
      <alignment horizontal="center" vertical="center" wrapText="1"/>
    </xf>
    <xf numFmtId="0" fontId="86" fillId="13" borderId="0" xfId="0" applyFont="1" applyFill="1" applyBorder="1" applyAlignment="1">
      <alignment horizontal="center" vertical="center" wrapText="1"/>
    </xf>
    <xf numFmtId="0" fontId="86" fillId="13" borderId="62" xfId="0" applyFont="1" applyFill="1" applyBorder="1" applyAlignment="1">
      <alignment horizontal="center" vertical="center" wrapText="1"/>
    </xf>
    <xf numFmtId="0" fontId="86" fillId="13" borderId="21" xfId="0" applyFont="1" applyFill="1" applyBorder="1" applyAlignment="1">
      <alignment horizontal="center" vertical="center"/>
    </xf>
    <xf numFmtId="0" fontId="86" fillId="13" borderId="24" xfId="0" applyFont="1" applyFill="1" applyBorder="1" applyAlignment="1">
      <alignment horizontal="center" vertical="center"/>
    </xf>
    <xf numFmtId="0" fontId="86" fillId="13" borderId="22" xfId="0" applyFont="1" applyFill="1" applyBorder="1" applyAlignment="1">
      <alignment horizontal="center" vertical="center"/>
    </xf>
    <xf numFmtId="0" fontId="43" fillId="13" borderId="22" xfId="0" applyFont="1" applyFill="1" applyBorder="1" applyAlignment="1">
      <alignment horizontal="center" vertical="center" wrapText="1"/>
    </xf>
    <xf numFmtId="0" fontId="47" fillId="13" borderId="19" xfId="0" applyFont="1" applyFill="1" applyBorder="1" applyAlignment="1">
      <alignment horizontal="center" vertical="center"/>
    </xf>
    <xf numFmtId="0" fontId="47" fillId="13" borderId="0" xfId="0" applyFont="1" applyFill="1" applyBorder="1" applyAlignment="1">
      <alignment horizontal="center" vertical="center"/>
    </xf>
    <xf numFmtId="0" fontId="86" fillId="13" borderId="19" xfId="0" applyFont="1" applyFill="1" applyBorder="1" applyAlignment="1">
      <alignment horizontal="center" vertical="center"/>
    </xf>
    <xf numFmtId="0" fontId="86" fillId="13" borderId="0" xfId="0" applyFont="1" applyFill="1" applyBorder="1" applyAlignment="1">
      <alignment horizontal="center" vertical="center"/>
    </xf>
    <xf numFmtId="0" fontId="55" fillId="7" borderId="0" xfId="0" applyFont="1" applyFill="1" applyAlignment="1">
      <alignment horizontal="center" vertical="center" wrapText="1"/>
    </xf>
    <xf numFmtId="0" fontId="47" fillId="13" borderId="19" xfId="0" applyFont="1" applyFill="1" applyBorder="1" applyAlignment="1">
      <alignment horizontal="center" vertical="center" wrapText="1"/>
    </xf>
    <xf numFmtId="0" fontId="47" fillId="13" borderId="0" xfId="0" applyFont="1" applyFill="1" applyBorder="1" applyAlignment="1">
      <alignment horizontal="center" vertical="center" wrapText="1"/>
    </xf>
    <xf numFmtId="0" fontId="41" fillId="13" borderId="21" xfId="0" applyFont="1" applyFill="1" applyBorder="1" applyAlignment="1">
      <alignment horizontal="center" vertical="center" wrapText="1"/>
    </xf>
    <xf numFmtId="0" fontId="41" fillId="13" borderId="24" xfId="0" applyFont="1" applyFill="1" applyBorder="1" applyAlignment="1">
      <alignment horizontal="center" vertical="center" wrapText="1"/>
    </xf>
    <xf numFmtId="0" fontId="47" fillId="13" borderId="0" xfId="0" applyFont="1" applyFill="1" applyAlignment="1">
      <alignment horizontal="center" vertical="center"/>
    </xf>
    <xf numFmtId="0" fontId="43" fillId="16" borderId="21" xfId="0" applyFont="1" applyFill="1" applyBorder="1" applyAlignment="1">
      <alignment horizontal="center" vertical="center" wrapText="1"/>
    </xf>
    <xf numFmtId="0" fontId="43" fillId="16" borderId="24" xfId="0" applyFont="1" applyFill="1" applyBorder="1" applyAlignment="1">
      <alignment horizontal="center" vertical="center" wrapText="1"/>
    </xf>
    <xf numFmtId="0" fontId="43" fillId="16" borderId="22" xfId="0" applyFont="1" applyFill="1" applyBorder="1" applyAlignment="1">
      <alignment horizontal="center" vertical="center" wrapText="1"/>
    </xf>
    <xf numFmtId="0" fontId="99" fillId="3" borderId="10" xfId="0" applyFont="1" applyFill="1" applyBorder="1" applyAlignment="1">
      <alignment horizontal="center" vertical="center"/>
    </xf>
    <xf numFmtId="0" fontId="44" fillId="7" borderId="12" xfId="0" applyFont="1" applyFill="1" applyBorder="1" applyAlignment="1">
      <alignment horizontal="center" vertical="center" wrapText="1"/>
    </xf>
    <xf numFmtId="0" fontId="44" fillId="7" borderId="13" xfId="0" applyFont="1" applyFill="1" applyBorder="1" applyAlignment="1">
      <alignment horizontal="center" vertical="center" wrapText="1"/>
    </xf>
    <xf numFmtId="0" fontId="44" fillId="7" borderId="20" xfId="0" applyFont="1" applyFill="1" applyBorder="1" applyAlignment="1">
      <alignment horizontal="center" vertical="center" wrapText="1"/>
    </xf>
    <xf numFmtId="0" fontId="43" fillId="13" borderId="2" xfId="0" applyFont="1" applyFill="1" applyBorder="1" applyAlignment="1">
      <alignment horizontal="center" vertical="center"/>
    </xf>
    <xf numFmtId="0" fontId="47" fillId="16" borderId="25" xfId="0" applyFont="1" applyFill="1" applyBorder="1" applyAlignment="1">
      <alignment horizontal="center" vertical="center"/>
    </xf>
    <xf numFmtId="0" fontId="47" fillId="16" borderId="26" xfId="0" applyFont="1" applyFill="1" applyBorder="1" applyAlignment="1">
      <alignment horizontal="center" vertical="center"/>
    </xf>
    <xf numFmtId="0" fontId="47" fillId="16" borderId="27" xfId="0" applyFont="1" applyFill="1" applyBorder="1" applyAlignment="1">
      <alignment horizontal="center" vertical="center"/>
    </xf>
    <xf numFmtId="0" fontId="47" fillId="16" borderId="24" xfId="0" applyFont="1" applyFill="1" applyBorder="1" applyAlignment="1">
      <alignment horizontal="center" vertical="center" wrapText="1"/>
    </xf>
    <xf numFmtId="0" fontId="47" fillId="16" borderId="22" xfId="0" applyFont="1" applyFill="1" applyBorder="1" applyAlignment="1">
      <alignment horizontal="center" vertical="center" wrapText="1"/>
    </xf>
    <xf numFmtId="9" fontId="43" fillId="16" borderId="18" xfId="0" applyNumberFormat="1" applyFont="1" applyFill="1" applyBorder="1" applyAlignment="1">
      <alignment horizontal="center" vertical="center" wrapText="1"/>
    </xf>
    <xf numFmtId="9" fontId="43" fillId="16" borderId="10" xfId="0" applyNumberFormat="1" applyFont="1" applyFill="1" applyBorder="1" applyAlignment="1">
      <alignment horizontal="center" vertical="center" wrapText="1"/>
    </xf>
    <xf numFmtId="9" fontId="43" fillId="12" borderId="12" xfId="0" applyNumberFormat="1" applyFont="1" applyFill="1" applyBorder="1" applyAlignment="1">
      <alignment horizontal="center" vertical="center" wrapText="1"/>
    </xf>
    <xf numFmtId="9" fontId="43" fillId="12" borderId="13" xfId="0" applyNumberFormat="1" applyFont="1" applyFill="1" applyBorder="1" applyAlignment="1">
      <alignment horizontal="center" vertical="center" wrapText="1"/>
    </xf>
    <xf numFmtId="9" fontId="43" fillId="7" borderId="18" xfId="0" applyNumberFormat="1" applyFont="1" applyFill="1" applyBorder="1" applyAlignment="1">
      <alignment horizontal="center" vertical="center" wrapText="1"/>
    </xf>
    <xf numFmtId="9" fontId="43" fillId="7" borderId="10" xfId="0" applyNumberFormat="1" applyFont="1" applyFill="1" applyBorder="1" applyAlignment="1">
      <alignment horizontal="center" vertical="center" wrapText="1"/>
    </xf>
    <xf numFmtId="9" fontId="43" fillId="16" borderId="19" xfId="0" applyNumberFormat="1" applyFont="1" applyFill="1" applyBorder="1" applyAlignment="1">
      <alignment horizontal="center" vertical="center" wrapText="1"/>
    </xf>
    <xf numFmtId="9" fontId="43" fillId="16" borderId="0" xfId="0" applyNumberFormat="1" applyFont="1" applyFill="1" applyBorder="1" applyAlignment="1">
      <alignment horizontal="center" vertical="center" wrapText="1"/>
    </xf>
    <xf numFmtId="9" fontId="43" fillId="16" borderId="17" xfId="0" applyNumberFormat="1" applyFont="1" applyFill="1" applyBorder="1" applyAlignment="1">
      <alignment horizontal="center" vertical="center" wrapText="1"/>
    </xf>
    <xf numFmtId="9" fontId="43" fillId="16" borderId="3" xfId="0" applyNumberFormat="1" applyFont="1" applyFill="1" applyBorder="1" applyAlignment="1">
      <alignment horizontal="center" vertical="center" wrapText="1"/>
    </xf>
    <xf numFmtId="0" fontId="43" fillId="4" borderId="14" xfId="0" applyFont="1" applyFill="1" applyBorder="1" applyAlignment="1">
      <alignment horizontal="center" vertical="center"/>
    </xf>
    <xf numFmtId="0" fontId="43" fillId="12" borderId="2" xfId="0" applyFont="1" applyFill="1" applyBorder="1" applyAlignment="1">
      <alignment horizontal="center" vertical="center"/>
    </xf>
    <xf numFmtId="0" fontId="44" fillId="11" borderId="14" xfId="0" applyFont="1" applyFill="1" applyBorder="1" applyAlignment="1">
      <alignment horizontal="center" vertical="center"/>
    </xf>
    <xf numFmtId="0" fontId="57" fillId="11" borderId="19" xfId="0" applyFont="1" applyFill="1" applyBorder="1" applyAlignment="1">
      <alignment horizontal="center" vertical="center" wrapText="1"/>
    </xf>
    <xf numFmtId="0" fontId="57" fillId="11" borderId="0" xfId="0" applyFont="1" applyFill="1" applyBorder="1" applyAlignment="1">
      <alignment horizontal="center" vertical="center" wrapText="1"/>
    </xf>
    <xf numFmtId="0" fontId="41" fillId="3" borderId="0" xfId="0" applyFont="1" applyFill="1" applyBorder="1" applyAlignment="1">
      <alignment horizontal="center" vertical="center" wrapText="1"/>
    </xf>
    <xf numFmtId="0" fontId="43" fillId="7" borderId="2" xfId="0" applyFont="1" applyFill="1" applyBorder="1" applyAlignment="1">
      <alignment horizontal="center" vertical="center"/>
    </xf>
    <xf numFmtId="0" fontId="47" fillId="13" borderId="21" xfId="0" applyFont="1" applyFill="1" applyBorder="1" applyAlignment="1">
      <alignment horizontal="center" vertical="center"/>
    </xf>
    <xf numFmtId="0" fontId="47" fillId="13" borderId="24" xfId="0" applyFont="1" applyFill="1" applyBorder="1" applyAlignment="1">
      <alignment horizontal="center" vertical="center"/>
    </xf>
    <xf numFmtId="0" fontId="43" fillId="13" borderId="5" xfId="0" applyFont="1" applyFill="1" applyBorder="1" applyAlignment="1">
      <alignment horizontal="center" vertical="center" wrapText="1"/>
    </xf>
    <xf numFmtId="0" fontId="79" fillId="11" borderId="12" xfId="0" applyFont="1" applyFill="1" applyBorder="1" applyAlignment="1">
      <alignment horizontal="center" vertical="center"/>
    </xf>
    <xf numFmtId="0" fontId="79" fillId="11" borderId="13" xfId="0" applyFont="1" applyFill="1" applyBorder="1" applyAlignment="1">
      <alignment horizontal="center" vertical="center"/>
    </xf>
    <xf numFmtId="0" fontId="79" fillId="11" borderId="20" xfId="0" applyFont="1" applyFill="1" applyBorder="1" applyAlignment="1">
      <alignment horizontal="center" vertical="center"/>
    </xf>
    <xf numFmtId="0" fontId="79" fillId="13" borderId="12" xfId="0" applyFont="1" applyFill="1" applyBorder="1" applyAlignment="1">
      <alignment horizontal="center" vertical="center" wrapText="1"/>
    </xf>
    <xf numFmtId="0" fontId="79" fillId="13" borderId="13" xfId="0" applyFont="1" applyFill="1" applyBorder="1" applyAlignment="1">
      <alignment horizontal="center" vertical="center" wrapText="1"/>
    </xf>
    <xf numFmtId="0" fontId="79" fillId="13" borderId="20" xfId="0" applyFont="1" applyFill="1" applyBorder="1" applyAlignment="1">
      <alignment horizontal="center" vertical="center" wrapText="1"/>
    </xf>
    <xf numFmtId="0" fontId="43" fillId="7" borderId="5" xfId="0" applyFont="1" applyFill="1" applyBorder="1" applyAlignment="1">
      <alignment horizontal="center" vertical="center" wrapText="1"/>
    </xf>
    <xf numFmtId="0" fontId="47" fillId="13" borderId="5" xfId="0" applyFont="1" applyFill="1" applyBorder="1" applyAlignment="1">
      <alignment horizontal="center" vertical="center" wrapText="1"/>
    </xf>
    <xf numFmtId="38" fontId="44" fillId="3" borderId="11" xfId="0" applyNumberFormat="1" applyFont="1" applyFill="1" applyBorder="1" applyAlignment="1">
      <alignment horizontal="center" vertical="center"/>
    </xf>
    <xf numFmtId="38" fontId="44" fillId="3" borderId="65" xfId="0" applyNumberFormat="1" applyFont="1" applyFill="1" applyBorder="1" applyAlignment="1">
      <alignment horizontal="center" vertical="center"/>
    </xf>
    <xf numFmtId="0" fontId="86" fillId="13" borderId="5" xfId="0" applyFont="1" applyFill="1" applyBorder="1" applyAlignment="1">
      <alignment horizontal="center" vertical="center" wrapText="1"/>
    </xf>
    <xf numFmtId="0" fontId="57" fillId="13" borderId="62" xfId="0" applyFont="1" applyFill="1" applyBorder="1" applyAlignment="1">
      <alignment horizontal="center" vertical="center" wrapText="1"/>
    </xf>
    <xf numFmtId="0" fontId="57" fillId="11" borderId="62" xfId="0" applyFont="1" applyFill="1" applyBorder="1" applyAlignment="1">
      <alignment horizontal="center" vertical="center" wrapText="1"/>
    </xf>
    <xf numFmtId="0" fontId="57" fillId="11" borderId="19" xfId="0" applyFont="1" applyFill="1" applyBorder="1" applyAlignment="1">
      <alignment horizontal="center" vertical="center"/>
    </xf>
    <xf numFmtId="0" fontId="57" fillId="11" borderId="0" xfId="0" applyFont="1" applyFill="1" applyBorder="1" applyAlignment="1">
      <alignment horizontal="center" vertical="center"/>
    </xf>
    <xf numFmtId="0" fontId="57" fillId="11" borderId="62" xfId="0" applyFont="1" applyFill="1" applyBorder="1" applyAlignment="1">
      <alignment horizontal="center" vertical="center"/>
    </xf>
    <xf numFmtId="0" fontId="89" fillId="11" borderId="12" xfId="0" applyFont="1" applyFill="1" applyBorder="1" applyAlignment="1">
      <alignment horizontal="center" vertical="center"/>
    </xf>
    <xf numFmtId="0" fontId="89" fillId="11" borderId="13" xfId="0" applyFont="1" applyFill="1" applyBorder="1" applyAlignment="1">
      <alignment horizontal="center" vertical="center"/>
    </xf>
    <xf numFmtId="0" fontId="89" fillId="11" borderId="20" xfId="0" applyFont="1" applyFill="1" applyBorder="1" applyAlignment="1">
      <alignment horizontal="center" vertical="center"/>
    </xf>
    <xf numFmtId="15" fontId="0" fillId="0" borderId="2" xfId="0" applyNumberFormat="1" applyBorder="1" applyAlignment="1">
      <alignment horizontal="center" vertical="center"/>
    </xf>
    <xf numFmtId="1" fontId="0" fillId="0" borderId="0" xfId="0" applyNumberFormat="1" applyAlignment="1">
      <alignment horizontal="center" vertical="center"/>
    </xf>
    <xf numFmtId="0" fontId="47" fillId="13" borderId="32" xfId="0" applyFont="1" applyFill="1" applyBorder="1" applyAlignment="1">
      <alignment horizontal="center" vertical="center" wrapText="1"/>
    </xf>
    <xf numFmtId="0" fontId="57" fillId="20" borderId="28" xfId="0" applyFont="1" applyFill="1" applyBorder="1" applyAlignment="1">
      <alignment horizontal="center" vertical="center"/>
    </xf>
    <xf numFmtId="0" fontId="57" fillId="20" borderId="29" xfId="0" applyFont="1" applyFill="1" applyBorder="1" applyAlignment="1">
      <alignment horizontal="center" vertical="center"/>
    </xf>
    <xf numFmtId="0" fontId="57" fillId="20" borderId="30" xfId="0" applyFont="1" applyFill="1" applyBorder="1" applyAlignment="1">
      <alignment horizontal="center" vertical="center"/>
    </xf>
    <xf numFmtId="0" fontId="0" fillId="7" borderId="2" xfId="0" applyFill="1" applyBorder="1" applyAlignment="1">
      <alignment horizontal="center" vertical="center"/>
    </xf>
    <xf numFmtId="0" fontId="0" fillId="15" borderId="2" xfId="0" applyFill="1" applyBorder="1" applyAlignment="1">
      <alignment horizontal="center" vertical="center"/>
    </xf>
    <xf numFmtId="0" fontId="77" fillId="0" borderId="21" xfId="0" applyFont="1" applyBorder="1" applyAlignment="1">
      <alignment horizontal="center" vertical="center"/>
    </xf>
    <xf numFmtId="0" fontId="77" fillId="0" borderId="24" xfId="0" applyFont="1" applyBorder="1" applyAlignment="1">
      <alignment horizontal="center" vertical="center"/>
    </xf>
    <xf numFmtId="0" fontId="77" fillId="0" borderId="22" xfId="0" applyFont="1" applyBorder="1" applyAlignment="1">
      <alignment horizontal="center" vertical="center"/>
    </xf>
  </cellXfs>
  <cellStyles count="2308">
    <cellStyle name="Check Cell 2" xfId="8" xr:uid="{00000000-0005-0000-0000-000000000000}"/>
    <cellStyle name="Comma [0] 2" xfId="11" xr:uid="{00000000-0005-0000-0000-000001000000}"/>
    <cellStyle name="Comma 10" xfId="254" xr:uid="{00000000-0005-0000-0000-000002000000}"/>
    <cellStyle name="Comma 11" xfId="296" xr:uid="{00000000-0005-0000-0000-000003000000}"/>
    <cellStyle name="Comma 12" xfId="338" xr:uid="{00000000-0005-0000-0000-000004000000}"/>
    <cellStyle name="Comma 13" xfId="380" xr:uid="{00000000-0005-0000-0000-000005000000}"/>
    <cellStyle name="Comma 14" xfId="422" xr:uid="{00000000-0005-0000-0000-000006000000}"/>
    <cellStyle name="Comma 15" xfId="464" xr:uid="{00000000-0005-0000-0000-000007000000}"/>
    <cellStyle name="Comma 16" xfId="504" xr:uid="{00000000-0005-0000-0000-000008000000}"/>
    <cellStyle name="Comma 17" xfId="542" xr:uid="{00000000-0005-0000-0000-000009000000}"/>
    <cellStyle name="Comma 2" xfId="18" xr:uid="{00000000-0005-0000-0000-00000A000000}"/>
    <cellStyle name="Comma 3" xfId="25" xr:uid="{00000000-0005-0000-0000-00000B000000}"/>
    <cellStyle name="Comma 4" xfId="32" xr:uid="{00000000-0005-0000-0000-00000C000000}"/>
    <cellStyle name="Comma 5" xfId="42" xr:uid="{00000000-0005-0000-0000-00000D000000}"/>
    <cellStyle name="Comma 6" xfId="75" xr:uid="{00000000-0005-0000-0000-00000E000000}"/>
    <cellStyle name="Comma 7" xfId="125" xr:uid="{00000000-0005-0000-0000-00000F000000}"/>
    <cellStyle name="Comma 8" xfId="168" xr:uid="{00000000-0005-0000-0000-000010000000}"/>
    <cellStyle name="Comma 9" xfId="211" xr:uid="{00000000-0005-0000-0000-000011000000}"/>
    <cellStyle name="Followed Hyperlink" xfId="352" builtinId="9" hidden="1"/>
    <cellStyle name="Followed Hyperlink" xfId="252" builtinId="9" hidden="1"/>
    <cellStyle name="Followed Hyperlink" xfId="364" builtinId="9" hidden="1"/>
    <cellStyle name="Followed Hyperlink" xfId="373" builtinId="9" hidden="1"/>
    <cellStyle name="Followed Hyperlink" xfId="384" builtinId="9" hidden="1"/>
    <cellStyle name="Followed Hyperlink" xfId="392" builtinId="9" hidden="1"/>
    <cellStyle name="Followed Hyperlink" xfId="357" builtinId="9" hidden="1"/>
    <cellStyle name="Followed Hyperlink" xfId="404" builtinId="9" hidden="1"/>
    <cellStyle name="Followed Hyperlink" xfId="413" builtinId="9" hidden="1"/>
    <cellStyle name="Followed Hyperlink" xfId="424" builtinId="9" hidden="1"/>
    <cellStyle name="Followed Hyperlink" xfId="432" builtinId="9" hidden="1"/>
    <cellStyle name="Followed Hyperlink" xfId="440" builtinId="9" hidden="1"/>
    <cellStyle name="Followed Hyperlink" xfId="444" builtinId="9" hidden="1"/>
    <cellStyle name="Followed Hyperlink" xfId="453" builtinId="9" hidden="1"/>
    <cellStyle name="Followed Hyperlink" xfId="461" builtinId="9" hidden="1"/>
    <cellStyle name="Followed Hyperlink" xfId="472" builtinId="9" hidden="1"/>
    <cellStyle name="Followed Hyperlink" xfId="480" builtinId="9" hidden="1"/>
    <cellStyle name="Followed Hyperlink" xfId="358" builtinId="9" hidden="1"/>
    <cellStyle name="Followed Hyperlink" xfId="492" builtinId="9" hidden="1"/>
    <cellStyle name="Followed Hyperlink" xfId="500" builtinId="9" hidden="1"/>
    <cellStyle name="Followed Hyperlink" xfId="510" builtinId="9" hidden="1"/>
    <cellStyle name="Followed Hyperlink" xfId="518" builtinId="9" hidden="1"/>
    <cellStyle name="Followed Hyperlink" xfId="420" builtinId="9" hidden="1"/>
    <cellStyle name="Followed Hyperlink" xfId="529" builtinId="9" hidden="1"/>
    <cellStyle name="Followed Hyperlink" xfId="537" builtinId="9" hidden="1"/>
    <cellStyle name="Followed Hyperlink" xfId="546" builtinId="9" hidden="1"/>
    <cellStyle name="Followed Hyperlink" xfId="554" builtinId="9" hidden="1"/>
    <cellStyle name="Followed Hyperlink" xfId="523" builtinId="9" hidden="1"/>
    <cellStyle name="Followed Hyperlink" xfId="564" builtinId="9" hidden="1"/>
    <cellStyle name="Followed Hyperlink" xfId="572" builtinId="9" hidden="1"/>
    <cellStyle name="Followed Hyperlink" xfId="580" builtinId="9" hidden="1"/>
    <cellStyle name="Followed Hyperlink" xfId="588" builtinId="9" hidden="1"/>
    <cellStyle name="Followed Hyperlink" xfId="596" builtinId="9" hidden="1"/>
    <cellStyle name="Followed Hyperlink" xfId="607" builtinId="9" hidden="1"/>
    <cellStyle name="Followed Hyperlink" xfId="615" builtinId="9" hidden="1"/>
    <cellStyle name="Followed Hyperlink" xfId="626" builtinId="9" hidden="1"/>
    <cellStyle name="Followed Hyperlink" xfId="646" builtinId="9" hidden="1"/>
    <cellStyle name="Followed Hyperlink" xfId="655" builtinId="9" hidden="1"/>
    <cellStyle name="Followed Hyperlink" xfId="665" builtinId="9" hidden="1"/>
    <cellStyle name="Followed Hyperlink" xfId="673" builtinId="9" hidden="1"/>
    <cellStyle name="Followed Hyperlink" xfId="633" builtinId="9" hidden="1"/>
    <cellStyle name="Followed Hyperlink" xfId="690" builtinId="9" hidden="1"/>
    <cellStyle name="Followed Hyperlink" xfId="700" builtinId="9" hidden="1"/>
    <cellStyle name="Followed Hyperlink" xfId="710" builtinId="9" hidden="1"/>
    <cellStyle name="Followed Hyperlink" xfId="718" builtinId="9" hidden="1"/>
    <cellStyle name="Followed Hyperlink" xfId="683" builtinId="9" hidden="1"/>
    <cellStyle name="Followed Hyperlink" xfId="730" builtinId="9" hidden="1"/>
    <cellStyle name="Followed Hyperlink" xfId="739" builtinId="9" hidden="1"/>
    <cellStyle name="Followed Hyperlink" xfId="750" builtinId="9" hidden="1"/>
    <cellStyle name="Followed Hyperlink" xfId="758" builtinId="9" hidden="1"/>
    <cellStyle name="Followed Hyperlink" xfId="766" builtinId="9" hidden="1"/>
    <cellStyle name="Followed Hyperlink" xfId="770" builtinId="9" hidden="1"/>
    <cellStyle name="Followed Hyperlink" xfId="779" builtinId="9" hidden="1"/>
    <cellStyle name="Followed Hyperlink" xfId="788" builtinId="9" hidden="1"/>
    <cellStyle name="Followed Hyperlink" xfId="798" builtinId="9" hidden="1"/>
    <cellStyle name="Followed Hyperlink" xfId="806" builtinId="9" hidden="1"/>
    <cellStyle name="Followed Hyperlink" xfId="684" builtinId="9" hidden="1"/>
    <cellStyle name="Followed Hyperlink" xfId="819" builtinId="9" hidden="1"/>
    <cellStyle name="Followed Hyperlink" xfId="828" builtinId="9" hidden="1"/>
    <cellStyle name="Followed Hyperlink" xfId="838" builtinId="9" hidden="1"/>
    <cellStyle name="Followed Hyperlink" xfId="846" builtinId="9" hidden="1"/>
    <cellStyle name="Followed Hyperlink" xfId="747" builtinId="9" hidden="1"/>
    <cellStyle name="Followed Hyperlink" xfId="858" builtinId="9" hidden="1"/>
    <cellStyle name="Followed Hyperlink" xfId="867" builtinId="9" hidden="1"/>
    <cellStyle name="Followed Hyperlink" xfId="877" builtinId="9" hidden="1"/>
    <cellStyle name="Followed Hyperlink" xfId="885" builtinId="9" hidden="1"/>
    <cellStyle name="Followed Hyperlink" xfId="851" builtinId="9" hidden="1"/>
    <cellStyle name="Followed Hyperlink" xfId="897" builtinId="9" hidden="1"/>
    <cellStyle name="Followed Hyperlink" xfId="906" builtinId="9" hidden="1"/>
    <cellStyle name="Followed Hyperlink" xfId="916" builtinId="9" hidden="1"/>
    <cellStyle name="Followed Hyperlink" xfId="924" builtinId="9" hidden="1"/>
    <cellStyle name="Followed Hyperlink" xfId="932" builtinId="9" hidden="1"/>
    <cellStyle name="Followed Hyperlink" xfId="936" builtinId="9" hidden="1"/>
    <cellStyle name="Followed Hyperlink" xfId="945" builtinId="9" hidden="1"/>
    <cellStyle name="Followed Hyperlink" xfId="953" builtinId="9" hidden="1"/>
    <cellStyle name="Followed Hyperlink" xfId="963" builtinId="9" hidden="1"/>
    <cellStyle name="Followed Hyperlink" xfId="971" builtinId="9" hidden="1"/>
    <cellStyle name="Followed Hyperlink" xfId="852" builtinId="9" hidden="1"/>
    <cellStyle name="Followed Hyperlink" xfId="984" builtinId="9" hidden="1"/>
    <cellStyle name="Followed Hyperlink" xfId="992" builtinId="9" hidden="1"/>
    <cellStyle name="Followed Hyperlink" xfId="1002" builtinId="9" hidden="1"/>
    <cellStyle name="Followed Hyperlink" xfId="1010" builtinId="9" hidden="1"/>
    <cellStyle name="Followed Hyperlink" xfId="913" builtinId="9" hidden="1"/>
    <cellStyle name="Followed Hyperlink" xfId="1022" builtinId="9" hidden="1"/>
    <cellStyle name="Followed Hyperlink" xfId="1031" builtinId="9" hidden="1"/>
    <cellStyle name="Followed Hyperlink" xfId="1041" builtinId="9" hidden="1"/>
    <cellStyle name="Followed Hyperlink" xfId="1049" builtinId="9" hidden="1"/>
    <cellStyle name="Followed Hyperlink" xfId="1015" builtinId="9" hidden="1"/>
    <cellStyle name="Followed Hyperlink" xfId="1060" builtinId="9" hidden="1"/>
    <cellStyle name="Followed Hyperlink" xfId="1069" builtinId="9" hidden="1"/>
    <cellStyle name="Followed Hyperlink" xfId="1078" builtinId="9" hidden="1"/>
    <cellStyle name="Followed Hyperlink" xfId="1086" builtinId="9" hidden="1"/>
    <cellStyle name="Followed Hyperlink" xfId="1094" builtinId="9" hidden="1"/>
    <cellStyle name="Followed Hyperlink" xfId="1097" builtinId="9" hidden="1"/>
    <cellStyle name="Followed Hyperlink" xfId="1105" builtinId="9" hidden="1"/>
    <cellStyle name="Followed Hyperlink" xfId="1113" builtinId="9" hidden="1"/>
    <cellStyle name="Followed Hyperlink" xfId="1121" builtinId="9" hidden="1"/>
    <cellStyle name="Followed Hyperlink" xfId="1129" builtinId="9" hidden="1"/>
    <cellStyle name="Followed Hyperlink" xfId="1016" builtinId="9" hidden="1"/>
    <cellStyle name="Followed Hyperlink" xfId="1139" builtinId="9" hidden="1"/>
    <cellStyle name="Followed Hyperlink" xfId="1147" builtinId="9" hidden="1"/>
    <cellStyle name="Followed Hyperlink" xfId="1155" builtinId="9" hidden="1"/>
    <cellStyle name="Followed Hyperlink" xfId="1163" builtinId="9" hidden="1"/>
    <cellStyle name="Followed Hyperlink" xfId="1173" builtinId="9" hidden="1"/>
    <cellStyle name="Followed Hyperlink" xfId="1181" builtinId="9" hidden="1"/>
    <cellStyle name="Followed Hyperlink" xfId="1192" builtinId="9" hidden="1"/>
    <cellStyle name="Followed Hyperlink" xfId="1211" builtinId="9" hidden="1"/>
    <cellStyle name="Followed Hyperlink" xfId="1220" builtinId="9" hidden="1"/>
    <cellStyle name="Followed Hyperlink" xfId="1231" builtinId="9" hidden="1"/>
    <cellStyle name="Followed Hyperlink" xfId="1239" builtinId="9" hidden="1"/>
    <cellStyle name="Followed Hyperlink" xfId="1247" builtinId="9" hidden="1"/>
    <cellStyle name="Followed Hyperlink" xfId="1256" builtinId="9" hidden="1"/>
    <cellStyle name="Followed Hyperlink" xfId="1265" builtinId="9" hidden="1"/>
    <cellStyle name="Followed Hyperlink" xfId="1274" builtinId="9" hidden="1"/>
    <cellStyle name="Followed Hyperlink" xfId="1284" builtinId="9" hidden="1"/>
    <cellStyle name="Followed Hyperlink" xfId="1292" builtinId="9" hidden="1"/>
    <cellStyle name="Followed Hyperlink" xfId="1214" builtinId="9" hidden="1"/>
    <cellStyle name="Followed Hyperlink" xfId="1305" builtinId="9" hidden="1"/>
    <cellStyle name="Followed Hyperlink" xfId="1314" builtinId="9" hidden="1"/>
    <cellStyle name="Followed Hyperlink" xfId="1324" builtinId="9" hidden="1"/>
    <cellStyle name="Followed Hyperlink" xfId="1332" builtinId="9" hidden="1"/>
    <cellStyle name="Followed Hyperlink" xfId="1204" builtinId="9" hidden="1"/>
    <cellStyle name="Followed Hyperlink" xfId="1344" builtinId="9" hidden="1"/>
    <cellStyle name="Followed Hyperlink" xfId="1354" builtinId="9" hidden="1"/>
    <cellStyle name="Followed Hyperlink" xfId="1364" builtinId="9" hidden="1"/>
    <cellStyle name="Followed Hyperlink" xfId="1372" builtinId="9" hidden="1"/>
    <cellStyle name="Followed Hyperlink" xfId="1337" builtinId="9" hidden="1"/>
    <cellStyle name="Followed Hyperlink" xfId="1384" builtinId="9" hidden="1"/>
    <cellStyle name="Followed Hyperlink" xfId="1393" builtinId="9" hidden="1"/>
    <cellStyle name="Followed Hyperlink" xfId="1404" builtinId="9" hidden="1"/>
    <cellStyle name="Followed Hyperlink" xfId="1412" builtinId="9" hidden="1"/>
    <cellStyle name="Followed Hyperlink" xfId="1420" builtinId="9" hidden="1"/>
    <cellStyle name="Followed Hyperlink" xfId="1424" builtinId="9" hidden="1"/>
    <cellStyle name="Followed Hyperlink" xfId="1433" builtinId="9" hidden="1"/>
    <cellStyle name="Followed Hyperlink" xfId="1441" builtinId="9" hidden="1"/>
    <cellStyle name="Followed Hyperlink" xfId="1451" builtinId="9" hidden="1"/>
    <cellStyle name="Followed Hyperlink" xfId="1459" builtinId="9" hidden="1"/>
    <cellStyle name="Followed Hyperlink" xfId="1338" builtinId="9" hidden="1"/>
    <cellStyle name="Followed Hyperlink" xfId="1472" builtinId="9" hidden="1"/>
    <cellStyle name="Followed Hyperlink" xfId="1480" builtinId="9" hidden="1"/>
    <cellStyle name="Followed Hyperlink" xfId="1490" builtinId="9" hidden="1"/>
    <cellStyle name="Followed Hyperlink" xfId="1498" builtinId="9" hidden="1"/>
    <cellStyle name="Followed Hyperlink" xfId="1401" builtinId="9" hidden="1"/>
    <cellStyle name="Followed Hyperlink" xfId="1510" builtinId="9" hidden="1"/>
    <cellStyle name="Followed Hyperlink" xfId="1519" builtinId="9" hidden="1"/>
    <cellStyle name="Followed Hyperlink" xfId="1529" builtinId="9" hidden="1"/>
    <cellStyle name="Followed Hyperlink" xfId="1537" builtinId="9" hidden="1"/>
    <cellStyle name="Followed Hyperlink" xfId="1503" builtinId="9" hidden="1"/>
    <cellStyle name="Followed Hyperlink" xfId="1549" builtinId="9" hidden="1"/>
    <cellStyle name="Followed Hyperlink" xfId="1558" builtinId="9" hidden="1"/>
    <cellStyle name="Followed Hyperlink" xfId="1568" builtinId="9" hidden="1"/>
    <cellStyle name="Followed Hyperlink" xfId="1576" builtinId="9" hidden="1"/>
    <cellStyle name="Followed Hyperlink" xfId="1584" builtinId="9" hidden="1"/>
    <cellStyle name="Followed Hyperlink" xfId="1588" builtinId="9" hidden="1"/>
    <cellStyle name="Followed Hyperlink" xfId="1597" builtinId="9" hidden="1"/>
    <cellStyle name="Followed Hyperlink" xfId="1605" builtinId="9" hidden="1"/>
    <cellStyle name="Followed Hyperlink" xfId="1615" builtinId="9" hidden="1"/>
    <cellStyle name="Followed Hyperlink" xfId="1623" builtinId="9" hidden="1"/>
    <cellStyle name="Followed Hyperlink" xfId="1504" builtinId="9" hidden="1"/>
    <cellStyle name="Followed Hyperlink" xfId="1635" builtinId="9" hidden="1"/>
    <cellStyle name="Followed Hyperlink" xfId="1643" builtinId="9" hidden="1"/>
    <cellStyle name="Followed Hyperlink" xfId="1652" builtinId="9" hidden="1"/>
    <cellStyle name="Followed Hyperlink" xfId="1660" builtinId="9" hidden="1"/>
    <cellStyle name="Followed Hyperlink" xfId="1565" builtinId="9" hidden="1"/>
    <cellStyle name="Followed Hyperlink" xfId="1671" builtinId="9" hidden="1"/>
    <cellStyle name="Followed Hyperlink" xfId="1679" builtinId="9" hidden="1"/>
    <cellStyle name="Followed Hyperlink" xfId="1687" builtinId="9" hidden="1"/>
    <cellStyle name="Followed Hyperlink" xfId="1695" builtinId="9" hidden="1"/>
    <cellStyle name="Followed Hyperlink" xfId="1665" builtinId="9" hidden="1"/>
    <cellStyle name="Followed Hyperlink" xfId="1705" builtinId="9" hidden="1"/>
    <cellStyle name="Followed Hyperlink" xfId="1713" builtinId="9" hidden="1"/>
    <cellStyle name="Followed Hyperlink" xfId="1721" builtinId="9" hidden="1"/>
    <cellStyle name="Followed Hyperlink" xfId="1729" builtinId="9" hidden="1"/>
    <cellStyle name="Followed Hyperlink" xfId="1737" builtinId="9" hidden="1"/>
    <cellStyle name="Followed Hyperlink" xfId="1747" builtinId="9" hidden="1"/>
    <cellStyle name="Followed Hyperlink" xfId="1755" builtinId="9" hidden="1"/>
    <cellStyle name="Followed Hyperlink" xfId="1766" builtinId="9" hidden="1"/>
    <cellStyle name="Followed Hyperlink" xfId="1786" builtinId="9" hidden="1"/>
    <cellStyle name="Followed Hyperlink" xfId="1795" builtinId="9" hidden="1"/>
    <cellStyle name="Followed Hyperlink" xfId="1805" builtinId="9" hidden="1"/>
    <cellStyle name="Followed Hyperlink" xfId="1813" builtinId="9" hidden="1"/>
    <cellStyle name="Followed Hyperlink" xfId="1773" builtinId="9" hidden="1"/>
    <cellStyle name="Followed Hyperlink" xfId="1830" builtinId="9" hidden="1"/>
    <cellStyle name="Followed Hyperlink" xfId="1840" builtinId="9" hidden="1"/>
    <cellStyle name="Followed Hyperlink" xfId="1850" builtinId="9" hidden="1"/>
    <cellStyle name="Followed Hyperlink" xfId="1858" builtinId="9" hidden="1"/>
    <cellStyle name="Followed Hyperlink" xfId="1823" builtinId="9" hidden="1"/>
    <cellStyle name="Followed Hyperlink" xfId="1870" builtinId="9" hidden="1"/>
    <cellStyle name="Followed Hyperlink" xfId="1879" builtinId="9" hidden="1"/>
    <cellStyle name="Followed Hyperlink" xfId="1890" builtinId="9" hidden="1"/>
    <cellStyle name="Followed Hyperlink" xfId="1898" builtinId="9" hidden="1"/>
    <cellStyle name="Followed Hyperlink" xfId="1906" builtinId="9" hidden="1"/>
    <cellStyle name="Followed Hyperlink" xfId="1910" builtinId="9" hidden="1"/>
    <cellStyle name="Followed Hyperlink" xfId="1919" builtinId="9" hidden="1"/>
    <cellStyle name="Followed Hyperlink" xfId="1928" builtinId="9" hidden="1"/>
    <cellStyle name="Followed Hyperlink" xfId="1938" builtinId="9" hidden="1"/>
    <cellStyle name="Followed Hyperlink" xfId="1946" builtinId="9" hidden="1"/>
    <cellStyle name="Followed Hyperlink" xfId="1824" builtinId="9" hidden="1"/>
    <cellStyle name="Followed Hyperlink" xfId="1959" builtinId="9" hidden="1"/>
    <cellStyle name="Followed Hyperlink" xfId="1968" builtinId="9" hidden="1"/>
    <cellStyle name="Followed Hyperlink" xfId="1978" builtinId="9" hidden="1"/>
    <cellStyle name="Followed Hyperlink" xfId="1986" builtinId="9" hidden="1"/>
    <cellStyle name="Followed Hyperlink" xfId="1887" builtinId="9" hidden="1"/>
    <cellStyle name="Followed Hyperlink" xfId="1998" builtinId="9" hidden="1"/>
    <cellStyle name="Followed Hyperlink" xfId="2007" builtinId="9" hidden="1"/>
    <cellStyle name="Followed Hyperlink" xfId="2017" builtinId="9" hidden="1"/>
    <cellStyle name="Followed Hyperlink" xfId="2025" builtinId="9" hidden="1"/>
    <cellStyle name="Followed Hyperlink" xfId="1991" builtinId="9" hidden="1"/>
    <cellStyle name="Followed Hyperlink" xfId="2037" builtinId="9" hidden="1"/>
    <cellStyle name="Followed Hyperlink" xfId="2046" builtinId="9" hidden="1"/>
    <cellStyle name="Followed Hyperlink" xfId="2056" builtinId="9" hidden="1"/>
    <cellStyle name="Followed Hyperlink" xfId="2064" builtinId="9" hidden="1"/>
    <cellStyle name="Followed Hyperlink" xfId="2072" builtinId="9" hidden="1"/>
    <cellStyle name="Followed Hyperlink" xfId="2076" builtinId="9" hidden="1"/>
    <cellStyle name="Followed Hyperlink" xfId="2085" builtinId="9" hidden="1"/>
    <cellStyle name="Followed Hyperlink" xfId="2093" builtinId="9" hidden="1"/>
    <cellStyle name="Followed Hyperlink" xfId="2103" builtinId="9" hidden="1"/>
    <cellStyle name="Followed Hyperlink" xfId="2111" builtinId="9" hidden="1"/>
    <cellStyle name="Followed Hyperlink" xfId="1992" builtinId="9" hidden="1"/>
    <cellStyle name="Followed Hyperlink" xfId="2124" builtinId="9" hidden="1"/>
    <cellStyle name="Followed Hyperlink" xfId="2132" builtinId="9" hidden="1"/>
    <cellStyle name="Followed Hyperlink" xfId="2142" builtinId="9" hidden="1"/>
    <cellStyle name="Followed Hyperlink" xfId="2150" builtinId="9" hidden="1"/>
    <cellStyle name="Followed Hyperlink" xfId="2053" builtinId="9" hidden="1"/>
    <cellStyle name="Followed Hyperlink" xfId="2162" builtinId="9" hidden="1"/>
    <cellStyle name="Followed Hyperlink" xfId="2171" builtinId="9" hidden="1"/>
    <cellStyle name="Followed Hyperlink" xfId="2181" builtinId="9" hidden="1"/>
    <cellStyle name="Followed Hyperlink" xfId="2189" builtinId="9" hidden="1"/>
    <cellStyle name="Followed Hyperlink" xfId="2155" builtinId="9" hidden="1"/>
    <cellStyle name="Followed Hyperlink" xfId="2200" builtinId="9" hidden="1"/>
    <cellStyle name="Followed Hyperlink" xfId="2209" builtinId="9" hidden="1"/>
    <cellStyle name="Followed Hyperlink" xfId="2218" builtinId="9" hidden="1"/>
    <cellStyle name="Followed Hyperlink" xfId="2226" builtinId="9" hidden="1"/>
    <cellStyle name="Followed Hyperlink" xfId="2234" builtinId="9" hidden="1"/>
    <cellStyle name="Followed Hyperlink" xfId="2237" builtinId="9" hidden="1"/>
    <cellStyle name="Followed Hyperlink" xfId="2245" builtinId="9" hidden="1"/>
    <cellStyle name="Followed Hyperlink" xfId="2253" builtinId="9" hidden="1"/>
    <cellStyle name="Followed Hyperlink" xfId="2261" builtinId="9" hidden="1"/>
    <cellStyle name="Followed Hyperlink" xfId="2269" builtinId="9" hidden="1"/>
    <cellStyle name="Followed Hyperlink" xfId="2156" builtinId="9" hidden="1"/>
    <cellStyle name="Followed Hyperlink" xfId="2279" builtinId="9" hidden="1"/>
    <cellStyle name="Followed Hyperlink" xfId="2287" builtinId="9" hidden="1"/>
    <cellStyle name="Followed Hyperlink" xfId="2295" builtinId="9" hidden="1"/>
    <cellStyle name="Followed Hyperlink" xfId="2303" builtinId="9" hidden="1"/>
    <cellStyle name="Followed Hyperlink" xfId="2305" builtinId="9" hidden="1"/>
    <cellStyle name="Followed Hyperlink" xfId="2297" builtinId="9" hidden="1"/>
    <cellStyle name="Followed Hyperlink" xfId="2289" builtinId="9" hidden="1"/>
    <cellStyle name="Followed Hyperlink" xfId="2281" builtinId="9" hidden="1"/>
    <cellStyle name="Followed Hyperlink" xfId="2273" builtinId="9" hidden="1"/>
    <cellStyle name="Followed Hyperlink" xfId="2271" builtinId="9" hidden="1"/>
    <cellStyle name="Followed Hyperlink" xfId="2263" builtinId="9" hidden="1"/>
    <cellStyle name="Followed Hyperlink" xfId="2255" builtinId="9" hidden="1"/>
    <cellStyle name="Followed Hyperlink" xfId="2247" builtinId="9" hidden="1"/>
    <cellStyle name="Followed Hyperlink" xfId="2239" builtinId="9" hidden="1"/>
    <cellStyle name="Followed Hyperlink" xfId="2196" builtinId="9" hidden="1"/>
    <cellStyle name="Followed Hyperlink" xfId="2228" builtinId="9" hidden="1"/>
    <cellStyle name="Followed Hyperlink" xfId="2220" builtinId="9" hidden="1"/>
    <cellStyle name="Followed Hyperlink" xfId="2211" builtinId="9" hidden="1"/>
    <cellStyle name="Followed Hyperlink" xfId="2202" builtinId="9" hidden="1"/>
    <cellStyle name="Followed Hyperlink" xfId="2094" builtinId="9" hidden="1"/>
    <cellStyle name="Followed Hyperlink" xfId="2191" builtinId="9" hidden="1"/>
    <cellStyle name="Followed Hyperlink" xfId="2183" builtinId="9" hidden="1"/>
    <cellStyle name="Followed Hyperlink" xfId="2173" builtinId="9" hidden="1"/>
    <cellStyle name="Followed Hyperlink" xfId="2165" builtinId="9" hidden="1"/>
    <cellStyle name="Followed Hyperlink" xfId="2033" builtinId="9" hidden="1"/>
    <cellStyle name="Followed Hyperlink" xfId="2152" builtinId="9" hidden="1"/>
    <cellStyle name="Followed Hyperlink" xfId="2144" builtinId="9" hidden="1"/>
    <cellStyle name="Followed Hyperlink" xfId="2134" builtinId="9" hidden="1"/>
    <cellStyle name="Followed Hyperlink" xfId="2126" builtinId="9" hidden="1"/>
    <cellStyle name="Followed Hyperlink" xfId="2117" builtinId="9" hidden="1"/>
    <cellStyle name="Followed Hyperlink" xfId="2113" builtinId="9" hidden="1"/>
    <cellStyle name="Followed Hyperlink" xfId="2105" builtinId="9" hidden="1"/>
    <cellStyle name="Followed Hyperlink" xfId="2097" builtinId="9" hidden="1"/>
    <cellStyle name="Followed Hyperlink" xfId="2087" builtinId="9" hidden="1"/>
    <cellStyle name="Followed Hyperlink" xfId="2078" builtinId="9" hidden="1"/>
    <cellStyle name="Followed Hyperlink" xfId="2032" builtinId="9" hidden="1"/>
    <cellStyle name="Followed Hyperlink" xfId="2066" builtinId="9" hidden="1"/>
    <cellStyle name="Followed Hyperlink" xfId="2058" builtinId="9" hidden="1"/>
    <cellStyle name="Followed Hyperlink" xfId="2048" builtinId="9" hidden="1"/>
    <cellStyle name="Followed Hyperlink" xfId="2039" builtinId="9" hidden="1"/>
    <cellStyle name="Followed Hyperlink" xfId="1929" builtinId="9" hidden="1"/>
    <cellStyle name="Followed Hyperlink" xfId="2027" builtinId="9" hidden="1"/>
    <cellStyle name="Followed Hyperlink" xfId="2019" builtinId="9" hidden="1"/>
    <cellStyle name="Followed Hyperlink" xfId="2009" builtinId="9" hidden="1"/>
    <cellStyle name="Followed Hyperlink" xfId="2001" builtinId="9" hidden="1"/>
    <cellStyle name="Followed Hyperlink" xfId="1866" builtinId="9" hidden="1"/>
    <cellStyle name="Followed Hyperlink" xfId="1988" builtinId="9" hidden="1"/>
    <cellStyle name="Followed Hyperlink" xfId="1980" builtinId="9" hidden="1"/>
    <cellStyle name="Followed Hyperlink" xfId="1970" builtinId="9" hidden="1"/>
    <cellStyle name="Followed Hyperlink" xfId="1961" builtinId="9" hidden="1"/>
    <cellStyle name="Followed Hyperlink" xfId="1952" builtinId="9" hidden="1"/>
    <cellStyle name="Followed Hyperlink" xfId="1948" builtinId="9" hidden="1"/>
    <cellStyle name="Followed Hyperlink" xfId="1940" builtinId="9" hidden="1"/>
    <cellStyle name="Followed Hyperlink" xfId="1932" builtinId="9" hidden="1"/>
    <cellStyle name="Followed Hyperlink" xfId="1921" builtinId="9" hidden="1"/>
    <cellStyle name="Followed Hyperlink" xfId="1912" builtinId="9" hidden="1"/>
    <cellStyle name="Followed Hyperlink" xfId="1865" builtinId="9" hidden="1"/>
    <cellStyle name="Followed Hyperlink" xfId="1900" builtinId="9" hidden="1"/>
    <cellStyle name="Followed Hyperlink" xfId="1892" builtinId="9" hidden="1"/>
    <cellStyle name="Followed Hyperlink" xfId="1882" builtinId="9" hidden="1"/>
    <cellStyle name="Followed Hyperlink" xfId="1872" builtinId="9" hidden="1"/>
    <cellStyle name="Followed Hyperlink" xfId="1791" builtinId="9" hidden="1"/>
    <cellStyle name="Followed Hyperlink" xfId="1860" builtinId="9" hidden="1"/>
    <cellStyle name="Followed Hyperlink" xfId="1852" builtinId="9" hidden="1"/>
    <cellStyle name="Followed Hyperlink" xfId="1842" builtinId="9" hidden="1"/>
    <cellStyle name="Followed Hyperlink" xfId="1833" builtinId="9" hidden="1"/>
    <cellStyle name="Followed Hyperlink" xfId="1758" builtinId="9" hidden="1"/>
    <cellStyle name="Followed Hyperlink" xfId="1815" builtinId="9" hidden="1"/>
    <cellStyle name="Followed Hyperlink" xfId="1807" builtinId="9" hidden="1"/>
    <cellStyle name="Followed Hyperlink" xfId="1797" builtinId="9" hidden="1"/>
    <cellStyle name="Followed Hyperlink" xfId="1788" builtinId="9" hidden="1"/>
    <cellStyle name="Followed Hyperlink" xfId="1779" builtinId="9" hidden="1"/>
    <cellStyle name="Followed Hyperlink" xfId="1757" builtinId="9" hidden="1"/>
    <cellStyle name="Followed Hyperlink" xfId="1749" builtinId="9" hidden="1"/>
    <cellStyle name="Followed Hyperlink" xfId="1741" builtinId="9" hidden="1"/>
    <cellStyle name="Followed Hyperlink" xfId="1731" builtinId="9" hidden="1"/>
    <cellStyle name="Followed Hyperlink" xfId="1723" builtinId="9" hidden="1"/>
    <cellStyle name="Followed Hyperlink" xfId="1715" builtinId="9" hidden="1"/>
    <cellStyle name="Followed Hyperlink" xfId="1707" builtinId="9" hidden="1"/>
    <cellStyle name="Followed Hyperlink" xfId="1606" builtinId="9" hidden="1"/>
    <cellStyle name="Followed Hyperlink" xfId="1697" builtinId="9" hidden="1"/>
    <cellStyle name="Followed Hyperlink" xfId="1689" builtinId="9" hidden="1"/>
    <cellStyle name="Followed Hyperlink" xfId="1681" builtinId="9" hidden="1"/>
    <cellStyle name="Followed Hyperlink" xfId="1673" builtinId="9" hidden="1"/>
    <cellStyle name="Followed Hyperlink" xfId="1545" builtinId="9" hidden="1"/>
    <cellStyle name="Followed Hyperlink" xfId="1662" builtinId="9" hidden="1"/>
    <cellStyle name="Followed Hyperlink" xfId="1654" builtinId="9" hidden="1"/>
    <cellStyle name="Followed Hyperlink" xfId="1645" builtinId="9" hidden="1"/>
    <cellStyle name="Followed Hyperlink" xfId="1637" builtinId="9" hidden="1"/>
    <cellStyle name="Followed Hyperlink" xfId="1628" builtinId="9" hidden="1"/>
    <cellStyle name="Followed Hyperlink" xfId="1625" builtinId="9" hidden="1"/>
    <cellStyle name="Followed Hyperlink" xfId="1617" builtinId="9" hidden="1"/>
    <cellStyle name="Followed Hyperlink" xfId="1609" builtinId="9" hidden="1"/>
    <cellStyle name="Followed Hyperlink" xfId="1599" builtinId="9" hidden="1"/>
    <cellStyle name="Followed Hyperlink" xfId="1590" builtinId="9" hidden="1"/>
    <cellStyle name="Followed Hyperlink" xfId="1544" builtinId="9" hidden="1"/>
    <cellStyle name="Followed Hyperlink" xfId="1578" builtinId="9" hidden="1"/>
    <cellStyle name="Followed Hyperlink" xfId="1570" builtinId="9" hidden="1"/>
    <cellStyle name="Followed Hyperlink" xfId="1560" builtinId="9" hidden="1"/>
    <cellStyle name="Followed Hyperlink" xfId="1551" builtinId="9" hidden="1"/>
    <cellStyle name="Followed Hyperlink" xfId="1442" builtinId="9" hidden="1"/>
    <cellStyle name="Followed Hyperlink" xfId="1539" builtinId="9" hidden="1"/>
    <cellStyle name="Followed Hyperlink" xfId="1531" builtinId="9" hidden="1"/>
    <cellStyle name="Followed Hyperlink" xfId="1521" builtinId="9" hidden="1"/>
    <cellStyle name="Followed Hyperlink" xfId="1513" builtinId="9" hidden="1"/>
    <cellStyle name="Followed Hyperlink" xfId="1380" builtinId="9" hidden="1"/>
    <cellStyle name="Followed Hyperlink" xfId="1500" builtinId="9" hidden="1"/>
    <cellStyle name="Followed Hyperlink" xfId="1492" builtinId="9" hidden="1"/>
    <cellStyle name="Followed Hyperlink" xfId="1482" builtinId="9" hidden="1"/>
    <cellStyle name="Followed Hyperlink" xfId="1474" builtinId="9" hidden="1"/>
    <cellStyle name="Followed Hyperlink" xfId="1465" builtinId="9" hidden="1"/>
    <cellStyle name="Followed Hyperlink" xfId="1461" builtinId="9" hidden="1"/>
    <cellStyle name="Followed Hyperlink" xfId="1453" builtinId="9" hidden="1"/>
    <cellStyle name="Followed Hyperlink" xfId="1445" builtinId="9" hidden="1"/>
    <cellStyle name="Followed Hyperlink" xfId="1435" builtinId="9" hidden="1"/>
    <cellStyle name="Followed Hyperlink" xfId="1426" builtinId="9" hidden="1"/>
    <cellStyle name="Followed Hyperlink" xfId="1379" builtinId="9" hidden="1"/>
    <cellStyle name="Followed Hyperlink" xfId="1414" builtinId="9" hidden="1"/>
    <cellStyle name="Followed Hyperlink" xfId="1406" builtinId="9" hidden="1"/>
    <cellStyle name="Followed Hyperlink" xfId="1396" builtinId="9" hidden="1"/>
    <cellStyle name="Followed Hyperlink" xfId="1386" builtinId="9" hidden="1"/>
    <cellStyle name="Followed Hyperlink" xfId="1275" builtinId="9" hidden="1"/>
    <cellStyle name="Followed Hyperlink" xfId="1374" builtinId="9" hidden="1"/>
    <cellStyle name="Followed Hyperlink" xfId="1366" builtinId="9" hidden="1"/>
    <cellStyle name="Followed Hyperlink" xfId="1356" builtinId="9" hidden="1"/>
    <cellStyle name="Followed Hyperlink" xfId="1347" builtinId="9" hidden="1"/>
    <cellStyle name="Followed Hyperlink" xfId="1250" builtinId="9" hidden="1"/>
    <cellStyle name="Followed Hyperlink" xfId="1334" builtinId="9" hidden="1"/>
    <cellStyle name="Followed Hyperlink" xfId="1326" builtinId="9" hidden="1"/>
    <cellStyle name="Followed Hyperlink" xfId="1316" builtinId="9" hidden="1"/>
    <cellStyle name="Followed Hyperlink" xfId="1307" builtinId="9" hidden="1"/>
    <cellStyle name="Followed Hyperlink" xfId="1298" builtinId="9" hidden="1"/>
    <cellStyle name="Followed Hyperlink" xfId="1294" builtinId="9" hidden="1"/>
    <cellStyle name="Followed Hyperlink" xfId="1286" builtinId="9" hidden="1"/>
    <cellStyle name="Followed Hyperlink" xfId="1278" builtinId="9" hidden="1"/>
    <cellStyle name="Followed Hyperlink" xfId="1267" builtinId="9" hidden="1"/>
    <cellStyle name="Followed Hyperlink" xfId="1258" builtinId="9" hidden="1"/>
    <cellStyle name="Followed Hyperlink" xfId="1205" builtinId="9" hidden="1"/>
    <cellStyle name="Followed Hyperlink" xfId="1241" builtinId="9" hidden="1"/>
    <cellStyle name="Followed Hyperlink" xfId="1233" builtinId="9" hidden="1"/>
    <cellStyle name="Followed Hyperlink" xfId="1223" builtinId="9" hidden="1"/>
    <cellStyle name="Followed Hyperlink" xfId="1213" builtinId="9" hidden="1"/>
    <cellStyle name="Followed Hyperlink" xfId="1194" builtinId="9" hidden="1"/>
    <cellStyle name="Followed Hyperlink" xfId="1183" builtinId="9" hidden="1"/>
    <cellStyle name="Followed Hyperlink" xfId="1175" builtinId="9" hidden="1"/>
    <cellStyle name="Followed Hyperlink" xfId="1165" builtinId="9" hidden="1"/>
    <cellStyle name="Followed Hyperlink" xfId="1157" builtinId="9" hidden="1"/>
    <cellStyle name="Followed Hyperlink" xfId="1149" builtinId="9" hidden="1"/>
    <cellStyle name="Followed Hyperlink" xfId="1141" builtinId="9" hidden="1"/>
    <cellStyle name="Followed Hyperlink" xfId="1133" builtinId="9" hidden="1"/>
    <cellStyle name="Followed Hyperlink" xfId="1131" builtinId="9" hidden="1"/>
    <cellStyle name="Followed Hyperlink" xfId="1123" builtinId="9" hidden="1"/>
    <cellStyle name="Followed Hyperlink" xfId="1115" builtinId="9" hidden="1"/>
    <cellStyle name="Followed Hyperlink" xfId="1107" builtinId="9" hidden="1"/>
    <cellStyle name="Followed Hyperlink" xfId="1099" builtinId="9" hidden="1"/>
    <cellStyle name="Followed Hyperlink" xfId="1056" builtinId="9" hidden="1"/>
    <cellStyle name="Followed Hyperlink" xfId="1088" builtinId="9" hidden="1"/>
    <cellStyle name="Followed Hyperlink" xfId="1080" builtinId="9" hidden="1"/>
    <cellStyle name="Followed Hyperlink" xfId="1071" builtinId="9" hidden="1"/>
    <cellStyle name="Followed Hyperlink" xfId="1062" builtinId="9" hidden="1"/>
    <cellStyle name="Followed Hyperlink" xfId="954" builtinId="9" hidden="1"/>
    <cellStyle name="Followed Hyperlink" xfId="1051" builtinId="9" hidden="1"/>
    <cellStyle name="Followed Hyperlink" xfId="1043" builtinId="9" hidden="1"/>
    <cellStyle name="Followed Hyperlink" xfId="1033" builtinId="9" hidden="1"/>
    <cellStyle name="Followed Hyperlink" xfId="1025" builtinId="9" hidden="1"/>
    <cellStyle name="Followed Hyperlink" xfId="893" builtinId="9" hidden="1"/>
    <cellStyle name="Followed Hyperlink" xfId="1012" builtinId="9" hidden="1"/>
    <cellStyle name="Followed Hyperlink" xfId="1004" builtinId="9" hidden="1"/>
    <cellStyle name="Followed Hyperlink" xfId="994" builtinId="9" hidden="1"/>
    <cellStyle name="Followed Hyperlink" xfId="986" builtinId="9" hidden="1"/>
    <cellStyle name="Followed Hyperlink" xfId="977" builtinId="9" hidden="1"/>
    <cellStyle name="Followed Hyperlink" xfId="973" builtinId="9" hidden="1"/>
    <cellStyle name="Followed Hyperlink" xfId="965" builtinId="9" hidden="1"/>
    <cellStyle name="Followed Hyperlink" xfId="957" builtinId="9" hidden="1"/>
    <cellStyle name="Followed Hyperlink" xfId="947" builtinId="9" hidden="1"/>
    <cellStyle name="Followed Hyperlink" xfId="938" builtinId="9" hidden="1"/>
    <cellStyle name="Followed Hyperlink" xfId="892" builtinId="9" hidden="1"/>
    <cellStyle name="Followed Hyperlink" xfId="926" builtinId="9" hidden="1"/>
    <cellStyle name="Followed Hyperlink" xfId="918" builtinId="9" hidden="1"/>
    <cellStyle name="Followed Hyperlink" xfId="908" builtinId="9" hidden="1"/>
    <cellStyle name="Followed Hyperlink" xfId="899" builtinId="9" hidden="1"/>
    <cellStyle name="Followed Hyperlink" xfId="789" builtinId="9" hidden="1"/>
    <cellStyle name="Followed Hyperlink" xfId="887" builtinId="9" hidden="1"/>
    <cellStyle name="Followed Hyperlink" xfId="879" builtinId="9" hidden="1"/>
    <cellStyle name="Followed Hyperlink" xfId="869" builtinId="9" hidden="1"/>
    <cellStyle name="Followed Hyperlink" xfId="861" builtinId="9" hidden="1"/>
    <cellStyle name="Followed Hyperlink" xfId="726" builtinId="9" hidden="1"/>
    <cellStyle name="Followed Hyperlink" xfId="848" builtinId="9" hidden="1"/>
    <cellStyle name="Followed Hyperlink" xfId="840" builtinId="9" hidden="1"/>
    <cellStyle name="Followed Hyperlink" xfId="830" builtinId="9" hidden="1"/>
    <cellStyle name="Followed Hyperlink" xfId="821" builtinId="9" hidden="1"/>
    <cellStyle name="Followed Hyperlink" xfId="812" builtinId="9" hidden="1"/>
    <cellStyle name="Followed Hyperlink" xfId="808" builtinId="9" hidden="1"/>
    <cellStyle name="Followed Hyperlink" xfId="800" builtinId="9" hidden="1"/>
    <cellStyle name="Followed Hyperlink" xfId="792" builtinId="9" hidden="1"/>
    <cellStyle name="Followed Hyperlink" xfId="781" builtinId="9" hidden="1"/>
    <cellStyle name="Followed Hyperlink" xfId="772" builtinId="9" hidden="1"/>
    <cellStyle name="Followed Hyperlink" xfId="725" builtinId="9" hidden="1"/>
    <cellStyle name="Followed Hyperlink" xfId="760" builtinId="9" hidden="1"/>
    <cellStyle name="Followed Hyperlink" xfId="752" builtinId="9" hidden="1"/>
    <cellStyle name="Followed Hyperlink" xfId="742" builtinId="9" hidden="1"/>
    <cellStyle name="Followed Hyperlink" xfId="732" builtinId="9" hidden="1"/>
    <cellStyle name="Followed Hyperlink" xfId="651" builtinId="9" hidden="1"/>
    <cellStyle name="Followed Hyperlink" xfId="720" builtinId="9" hidden="1"/>
    <cellStyle name="Followed Hyperlink" xfId="712" builtinId="9" hidden="1"/>
    <cellStyle name="Followed Hyperlink" xfId="702" builtinId="9" hidden="1"/>
    <cellStyle name="Followed Hyperlink" xfId="693" builtinId="9" hidden="1"/>
    <cellStyle name="Followed Hyperlink" xfId="618" builtinId="9" hidden="1"/>
    <cellStyle name="Followed Hyperlink" xfId="675" builtinId="9" hidden="1"/>
    <cellStyle name="Followed Hyperlink" xfId="667" builtinId="9" hidden="1"/>
    <cellStyle name="Followed Hyperlink" xfId="657" builtinId="9" hidden="1"/>
    <cellStyle name="Followed Hyperlink" xfId="648" builtinId="9" hidden="1"/>
    <cellStyle name="Followed Hyperlink" xfId="639" builtinId="9" hidden="1"/>
    <cellStyle name="Followed Hyperlink" xfId="617" builtinId="9" hidden="1"/>
    <cellStyle name="Followed Hyperlink" xfId="609" builtinId="9" hidden="1"/>
    <cellStyle name="Followed Hyperlink" xfId="601" builtinId="9" hidden="1"/>
    <cellStyle name="Followed Hyperlink" xfId="590" builtinId="9" hidden="1"/>
    <cellStyle name="Followed Hyperlink" xfId="582" builtinId="9" hidden="1"/>
    <cellStyle name="Followed Hyperlink" xfId="574" builtinId="9" hidden="1"/>
    <cellStyle name="Followed Hyperlink" xfId="566" builtinId="9" hidden="1"/>
    <cellStyle name="Followed Hyperlink" xfId="462" builtinId="9" hidden="1"/>
    <cellStyle name="Followed Hyperlink" xfId="556" builtinId="9" hidden="1"/>
    <cellStyle name="Followed Hyperlink" xfId="548" builtinId="9" hidden="1"/>
    <cellStyle name="Followed Hyperlink" xfId="539" builtinId="9" hidden="1"/>
    <cellStyle name="Followed Hyperlink" xfId="531" builtinId="9" hidden="1"/>
    <cellStyle name="Followed Hyperlink" xfId="400" builtinId="9" hidden="1"/>
    <cellStyle name="Followed Hyperlink" xfId="520" builtinId="9" hidden="1"/>
    <cellStyle name="Followed Hyperlink" xfId="512" builtinId="9" hidden="1"/>
    <cellStyle name="Followed Hyperlink" xfId="502" builtinId="9" hidden="1"/>
    <cellStyle name="Followed Hyperlink" xfId="494" builtinId="9" hidden="1"/>
    <cellStyle name="Followed Hyperlink" xfId="485" builtinId="9" hidden="1"/>
    <cellStyle name="Followed Hyperlink" xfId="482" builtinId="9" hidden="1"/>
    <cellStyle name="Followed Hyperlink" xfId="474" builtinId="9" hidden="1"/>
    <cellStyle name="Followed Hyperlink" xfId="466" builtinId="9" hidden="1"/>
    <cellStyle name="Followed Hyperlink" xfId="455" builtinId="9" hidden="1"/>
    <cellStyle name="Followed Hyperlink" xfId="446" builtinId="9" hidden="1"/>
    <cellStyle name="Followed Hyperlink" xfId="399" builtinId="9" hidden="1"/>
    <cellStyle name="Followed Hyperlink" xfId="434" builtinId="9" hidden="1"/>
    <cellStyle name="Followed Hyperlink" xfId="426" builtinId="9" hidden="1"/>
    <cellStyle name="Followed Hyperlink" xfId="415" builtinId="9" hidden="1"/>
    <cellStyle name="Followed Hyperlink" xfId="406" builtinId="9" hidden="1"/>
    <cellStyle name="Followed Hyperlink" xfId="294" builtinId="9" hidden="1"/>
    <cellStyle name="Followed Hyperlink" xfId="394" builtinId="9" hidden="1"/>
    <cellStyle name="Followed Hyperlink" xfId="386" builtinId="9" hidden="1"/>
    <cellStyle name="Followed Hyperlink" xfId="375" builtinId="9" hidden="1"/>
    <cellStyle name="Followed Hyperlink" xfId="367" builtinId="9" hidden="1"/>
    <cellStyle name="Followed Hyperlink" xfId="231" builtinId="9" hidden="1"/>
    <cellStyle name="Followed Hyperlink" xfId="354" builtinId="9" hidden="1"/>
    <cellStyle name="Followed Hyperlink" xfId="346" builtinId="9" hidden="1"/>
    <cellStyle name="Followed Hyperlink" xfId="335" builtinId="9" hidden="1"/>
    <cellStyle name="Followed Hyperlink" xfId="327" builtinId="9" hidden="1"/>
    <cellStyle name="Followed Hyperlink" xfId="318" builtinId="9" hidden="1"/>
    <cellStyle name="Followed Hyperlink" xfId="314" builtinId="9" hidden="1"/>
    <cellStyle name="Followed Hyperlink" xfId="306" builtinId="9" hidden="1"/>
    <cellStyle name="Followed Hyperlink" xfId="298" builtinId="9" hidden="1"/>
    <cellStyle name="Followed Hyperlink" xfId="287" builtinId="9" hidden="1"/>
    <cellStyle name="Followed Hyperlink" xfId="278" builtinId="9" hidden="1"/>
    <cellStyle name="Followed Hyperlink" xfId="230" builtinId="9" hidden="1"/>
    <cellStyle name="Followed Hyperlink" xfId="266" builtinId="9" hidden="1"/>
    <cellStyle name="Followed Hyperlink" xfId="258" builtinId="9" hidden="1"/>
    <cellStyle name="Followed Hyperlink" xfId="247" builtinId="9" hidden="1"/>
    <cellStyle name="Followed Hyperlink" xfId="237" builtinId="9" hidden="1"/>
    <cellStyle name="Followed Hyperlink" xfId="123" builtinId="9" hidden="1"/>
    <cellStyle name="Followed Hyperlink" xfId="225" builtinId="9" hidden="1"/>
    <cellStyle name="Followed Hyperlink" xfId="217" builtinId="9" hidden="1"/>
    <cellStyle name="Followed Hyperlink" xfId="206" builtinId="9" hidden="1"/>
    <cellStyle name="Followed Hyperlink" xfId="197" builtinId="9" hidden="1"/>
    <cellStyle name="Followed Hyperlink" xfId="98" builtinId="9" hidden="1"/>
    <cellStyle name="Followed Hyperlink" xfId="184" builtinId="9" hidden="1"/>
    <cellStyle name="Followed Hyperlink" xfId="176" builtinId="9" hidden="1"/>
    <cellStyle name="Followed Hyperlink" xfId="165" builtinId="9" hidden="1"/>
    <cellStyle name="Followed Hyperlink" xfId="156" builtinId="9" hidden="1"/>
    <cellStyle name="Followed Hyperlink" xfId="147" builtinId="9" hidden="1"/>
    <cellStyle name="Followed Hyperlink" xfId="143" builtinId="9" hidden="1"/>
    <cellStyle name="Followed Hyperlink" xfId="70" builtinId="9" hidden="1"/>
    <cellStyle name="Followed Hyperlink" xfId="79" builtinId="9" hidden="1"/>
    <cellStyle name="Followed Hyperlink" xfId="83" builtinId="9" hidden="1"/>
    <cellStyle name="Followed Hyperlink" xfId="89" builtinId="9" hidden="1"/>
    <cellStyle name="Followed Hyperlink" xfId="95" builtinId="9" hidden="1"/>
    <cellStyle name="Followed Hyperlink" xfId="50" builtinId="9" hidden="1"/>
    <cellStyle name="Followed Hyperlink" xfId="106" builtinId="9" hidden="1"/>
    <cellStyle name="Followed Hyperlink" xfId="113" builtinId="9" hidden="1"/>
    <cellStyle name="Followed Hyperlink" xfId="118" builtinId="9" hidden="1"/>
    <cellStyle name="Followed Hyperlink" xfId="127" builtinId="9" hidden="1"/>
    <cellStyle name="Followed Hyperlink" xfId="133" builtinId="9" hidden="1"/>
    <cellStyle name="Followed Hyperlink" xfId="137" builtinId="9" hidden="1"/>
    <cellStyle name="Followed Hyperlink" xfId="139" builtinId="9" hidden="1"/>
    <cellStyle name="Followed Hyperlink" xfId="120" builtinId="9" hidden="1"/>
    <cellStyle name="Followed Hyperlink" xfId="33" builtinId="9" hidden="1"/>
    <cellStyle name="Followed Hyperlink" xfId="85" builtinId="9" hidden="1"/>
    <cellStyle name="Followed Hyperlink" xfId="65" builtinId="9" hidden="1"/>
    <cellStyle name="Followed Hyperlink" xfId="31" builtinId="9" hidden="1"/>
    <cellStyle name="Followed Hyperlink" xfId="39" builtinId="9" hidden="1"/>
    <cellStyle name="Followed Hyperlink" xfId="58" builtinId="9" hidden="1"/>
    <cellStyle name="Followed Hyperlink" xfId="63" builtinId="9" hidden="1"/>
    <cellStyle name="Followed Hyperlink" xfId="20" builtinId="9" hidden="1"/>
    <cellStyle name="Followed Hyperlink" xfId="24" builtinId="9" hidden="1"/>
    <cellStyle name="Followed Hyperlink" xfId="15" builtinId="9" hidden="1"/>
    <cellStyle name="Followed Hyperlink" xfId="13" builtinId="9" hidden="1"/>
    <cellStyle name="Followed Hyperlink" xfId="17" builtinId="9" hidden="1"/>
    <cellStyle name="Followed Hyperlink" xfId="27" builtinId="9" hidden="1"/>
    <cellStyle name="Followed Hyperlink" xfId="22" builtinId="9" hidden="1"/>
    <cellStyle name="Followed Hyperlink" xfId="56" builtinId="9" hidden="1"/>
    <cellStyle name="Followed Hyperlink" xfId="60" builtinId="9" hidden="1"/>
    <cellStyle name="Followed Hyperlink" xfId="41" builtinId="9" hidden="1"/>
    <cellStyle name="Followed Hyperlink" xfId="37" builtinId="9" hidden="1"/>
    <cellStyle name="Followed Hyperlink" xfId="29" builtinId="9" hidden="1"/>
    <cellStyle name="Followed Hyperlink" xfId="74" builtinId="9" hidden="1"/>
    <cellStyle name="Followed Hyperlink" xfId="93" builtinId="9" hidden="1"/>
    <cellStyle name="Followed Hyperlink" xfId="111" builtinId="9" hidden="1"/>
    <cellStyle name="Followed Hyperlink" xfId="131" builtinId="9" hidden="1"/>
    <cellStyle name="Followed Hyperlink" xfId="141" builtinId="9" hidden="1"/>
    <cellStyle name="Followed Hyperlink" xfId="135" builtinId="9" hidden="1"/>
    <cellStyle name="Followed Hyperlink" xfId="129" builtinId="9" hidden="1"/>
    <cellStyle name="Followed Hyperlink" xfId="122" builtinId="9" hidden="1"/>
    <cellStyle name="Followed Hyperlink" xfId="115" builtinId="9" hidden="1"/>
    <cellStyle name="Followed Hyperlink" xfId="108" builtinId="9" hidden="1"/>
    <cellStyle name="Followed Hyperlink" xfId="104" builtinId="9" hidden="1"/>
    <cellStyle name="Followed Hyperlink" xfId="52" builtinId="9" hidden="1"/>
    <cellStyle name="Followed Hyperlink" xfId="91" builtinId="9" hidden="1"/>
    <cellStyle name="Followed Hyperlink" xfId="87" builtinId="9" hidden="1"/>
    <cellStyle name="Followed Hyperlink" xfId="81" builtinId="9" hidden="1"/>
    <cellStyle name="Followed Hyperlink" xfId="72" builtinId="9" hidden="1"/>
    <cellStyle name="Followed Hyperlink" xfId="67" builtinId="9" hidden="1"/>
    <cellStyle name="Followed Hyperlink" xfId="68" builtinId="9" hidden="1"/>
    <cellStyle name="Followed Hyperlink" xfId="151" builtinId="9" hidden="1"/>
    <cellStyle name="Followed Hyperlink" xfId="161" builtinId="9" hidden="1"/>
    <cellStyle name="Followed Hyperlink" xfId="172" builtinId="9" hidden="1"/>
    <cellStyle name="Followed Hyperlink" xfId="180" builtinId="9" hidden="1"/>
    <cellStyle name="Followed Hyperlink" xfId="144" builtinId="9" hidden="1"/>
    <cellStyle name="Followed Hyperlink" xfId="192" builtinId="9" hidden="1"/>
    <cellStyle name="Followed Hyperlink" xfId="201" builtinId="9" hidden="1"/>
    <cellStyle name="Followed Hyperlink" xfId="213" builtinId="9" hidden="1"/>
    <cellStyle name="Followed Hyperlink" xfId="221" builtinId="9" hidden="1"/>
    <cellStyle name="Followed Hyperlink" xfId="229" builtinId="9" hidden="1"/>
    <cellStyle name="Followed Hyperlink" xfId="233" builtinId="9" hidden="1"/>
    <cellStyle name="Followed Hyperlink" xfId="242" builtinId="9" hidden="1"/>
    <cellStyle name="Followed Hyperlink" xfId="251" builtinId="9" hidden="1"/>
    <cellStyle name="Followed Hyperlink" xfId="262" builtinId="9" hidden="1"/>
    <cellStyle name="Followed Hyperlink" xfId="270" builtinId="9" hidden="1"/>
    <cellStyle name="Followed Hyperlink" xfId="145" builtinId="9" hidden="1"/>
    <cellStyle name="Followed Hyperlink" xfId="283" builtinId="9" hidden="1"/>
    <cellStyle name="Followed Hyperlink" xfId="291" builtinId="9" hidden="1"/>
    <cellStyle name="Followed Hyperlink" xfId="302" builtinId="9" hidden="1"/>
    <cellStyle name="Followed Hyperlink" xfId="310" builtinId="9" hidden="1"/>
    <cellStyle name="Followed Hyperlink" xfId="209" builtinId="9" hidden="1"/>
    <cellStyle name="Followed Hyperlink" xfId="322" builtinId="9" hidden="1"/>
    <cellStyle name="Followed Hyperlink" xfId="331" builtinId="9" hidden="1"/>
    <cellStyle name="Followed Hyperlink" xfId="342" builtinId="9" hidden="1"/>
    <cellStyle name="Followed Hyperlink" xfId="350" builtinId="9" hidden="1"/>
    <cellStyle name="Followed Hyperlink" xfId="315" builtinId="9" hidden="1"/>
    <cellStyle name="Followed Hyperlink" xfId="362" builtinId="9" hidden="1"/>
    <cellStyle name="Followed Hyperlink" xfId="371" builtinId="9" hidden="1"/>
    <cellStyle name="Followed Hyperlink" xfId="382" builtinId="9" hidden="1"/>
    <cellStyle name="Followed Hyperlink" xfId="390" builtinId="9" hidden="1"/>
    <cellStyle name="Followed Hyperlink" xfId="398" builtinId="9" hidden="1"/>
    <cellStyle name="Followed Hyperlink" xfId="402" builtinId="9" hidden="1"/>
    <cellStyle name="Followed Hyperlink" xfId="411" builtinId="9" hidden="1"/>
    <cellStyle name="Followed Hyperlink" xfId="419" builtinId="9" hidden="1"/>
    <cellStyle name="Followed Hyperlink" xfId="430" builtinId="9" hidden="1"/>
    <cellStyle name="Followed Hyperlink" xfId="438" builtinId="9" hidden="1"/>
    <cellStyle name="Followed Hyperlink" xfId="316" builtinId="9" hidden="1"/>
    <cellStyle name="Followed Hyperlink" xfId="451" builtinId="9" hidden="1"/>
    <cellStyle name="Followed Hyperlink" xfId="459" builtinId="9" hidden="1"/>
    <cellStyle name="Followed Hyperlink" xfId="470" builtinId="9" hidden="1"/>
    <cellStyle name="Followed Hyperlink" xfId="478" builtinId="9" hidden="1"/>
    <cellStyle name="Followed Hyperlink" xfId="378" builtinId="9" hidden="1"/>
    <cellStyle name="Followed Hyperlink" xfId="489" builtinId="9" hidden="1"/>
    <cellStyle name="Followed Hyperlink" xfId="498" builtinId="9" hidden="1"/>
    <cellStyle name="Followed Hyperlink" xfId="508" builtinId="9" hidden="1"/>
    <cellStyle name="Followed Hyperlink" xfId="516" builtinId="9" hidden="1"/>
    <cellStyle name="Followed Hyperlink" xfId="483" builtinId="9" hidden="1"/>
    <cellStyle name="Followed Hyperlink" xfId="527" builtinId="9" hidden="1"/>
    <cellStyle name="Followed Hyperlink" xfId="535" builtinId="9" hidden="1"/>
    <cellStyle name="Followed Hyperlink" xfId="544" builtinId="9" hidden="1"/>
    <cellStyle name="Followed Hyperlink" xfId="552" builtinId="9" hidden="1"/>
    <cellStyle name="Followed Hyperlink" xfId="560" builtinId="9" hidden="1"/>
    <cellStyle name="Followed Hyperlink" xfId="562" builtinId="9" hidden="1"/>
    <cellStyle name="Followed Hyperlink" xfId="570" builtinId="9" hidden="1"/>
    <cellStyle name="Followed Hyperlink" xfId="578" builtinId="9" hidden="1"/>
    <cellStyle name="Followed Hyperlink" xfId="586" builtinId="9" hidden="1"/>
    <cellStyle name="Followed Hyperlink" xfId="594" builtinId="9" hidden="1"/>
    <cellStyle name="Followed Hyperlink" xfId="605" builtinId="9" hidden="1"/>
    <cellStyle name="Followed Hyperlink" xfId="613" builtinId="9" hidden="1"/>
    <cellStyle name="Followed Hyperlink" xfId="624" builtinId="9" hidden="1"/>
    <cellStyle name="Followed Hyperlink" xfId="643" builtinId="9" hidden="1"/>
    <cellStyle name="Followed Hyperlink" xfId="653" builtinId="9" hidden="1"/>
    <cellStyle name="Followed Hyperlink" xfId="663" builtinId="9" hidden="1"/>
    <cellStyle name="Followed Hyperlink" xfId="671" builtinId="9" hidden="1"/>
    <cellStyle name="Followed Hyperlink" xfId="635" builtinId="9" hidden="1"/>
    <cellStyle name="Followed Hyperlink" xfId="688" builtinId="9" hidden="1"/>
    <cellStyle name="Followed Hyperlink" xfId="697" builtinId="9" hidden="1"/>
    <cellStyle name="Followed Hyperlink" xfId="708" builtinId="9" hidden="1"/>
    <cellStyle name="Followed Hyperlink" xfId="716" builtinId="9" hidden="1"/>
    <cellStyle name="Followed Hyperlink" xfId="724" builtinId="9" hidden="1"/>
    <cellStyle name="Followed Hyperlink" xfId="728" builtinId="9" hidden="1"/>
    <cellStyle name="Followed Hyperlink" xfId="737" builtinId="9" hidden="1"/>
    <cellStyle name="Followed Hyperlink" xfId="746" builtinId="9" hidden="1"/>
    <cellStyle name="Followed Hyperlink" xfId="756" builtinId="9" hidden="1"/>
    <cellStyle name="Followed Hyperlink" xfId="764" builtinId="9" hidden="1"/>
    <cellStyle name="Followed Hyperlink" xfId="680" builtinId="9" hidden="1"/>
    <cellStyle name="Followed Hyperlink" xfId="777" builtinId="9" hidden="1"/>
    <cellStyle name="Followed Hyperlink" xfId="786" builtinId="9" hidden="1"/>
    <cellStyle name="Followed Hyperlink" xfId="796" builtinId="9" hidden="1"/>
    <cellStyle name="Followed Hyperlink" xfId="804" builtinId="9" hidden="1"/>
    <cellStyle name="Followed Hyperlink" xfId="705" builtinId="9" hidden="1"/>
    <cellStyle name="Followed Hyperlink" xfId="816" builtinId="9" hidden="1"/>
    <cellStyle name="Followed Hyperlink" xfId="826" builtinId="9" hidden="1"/>
    <cellStyle name="Followed Hyperlink" xfId="836" builtinId="9" hidden="1"/>
    <cellStyle name="Followed Hyperlink" xfId="844" builtinId="9" hidden="1"/>
    <cellStyle name="Followed Hyperlink" xfId="809" builtinId="9" hidden="1"/>
    <cellStyle name="Followed Hyperlink" xfId="856" builtinId="9" hidden="1"/>
    <cellStyle name="Followed Hyperlink" xfId="865" builtinId="9" hidden="1"/>
    <cellStyle name="Followed Hyperlink" xfId="875" builtinId="9" hidden="1"/>
    <cellStyle name="Followed Hyperlink" xfId="883" builtinId="9" hidden="1"/>
    <cellStyle name="Followed Hyperlink" xfId="891" builtinId="9" hidden="1"/>
    <cellStyle name="Followed Hyperlink" xfId="895" builtinId="9" hidden="1"/>
    <cellStyle name="Followed Hyperlink" xfId="904" builtinId="9" hidden="1"/>
    <cellStyle name="Followed Hyperlink" xfId="912" builtinId="9" hidden="1"/>
    <cellStyle name="Followed Hyperlink" xfId="922" builtinId="9" hidden="1"/>
    <cellStyle name="Followed Hyperlink" xfId="930" builtinId="9" hidden="1"/>
    <cellStyle name="Followed Hyperlink" xfId="810" builtinId="9" hidden="1"/>
    <cellStyle name="Followed Hyperlink" xfId="943" builtinId="9" hidden="1"/>
    <cellStyle name="Followed Hyperlink" xfId="951" builtinId="9" hidden="1"/>
    <cellStyle name="Followed Hyperlink" xfId="961" builtinId="9" hidden="1"/>
    <cellStyle name="Followed Hyperlink" xfId="969" builtinId="9" hidden="1"/>
    <cellStyle name="Followed Hyperlink" xfId="872" builtinId="9" hidden="1"/>
    <cellStyle name="Followed Hyperlink" xfId="981" builtinId="9" hidden="1"/>
    <cellStyle name="Followed Hyperlink" xfId="990" builtinId="9" hidden="1"/>
    <cellStyle name="Followed Hyperlink" xfId="1000" builtinId="9" hidden="1"/>
    <cellStyle name="Followed Hyperlink" xfId="1008" builtinId="9" hidden="1"/>
    <cellStyle name="Followed Hyperlink" xfId="974" builtinId="9" hidden="1"/>
    <cellStyle name="Followed Hyperlink" xfId="1020" builtinId="9" hidden="1"/>
    <cellStyle name="Followed Hyperlink" xfId="1029" builtinId="9" hidden="1"/>
    <cellStyle name="Followed Hyperlink" xfId="1039" builtinId="9" hidden="1"/>
    <cellStyle name="Followed Hyperlink" xfId="1047" builtinId="9" hidden="1"/>
    <cellStyle name="Followed Hyperlink" xfId="1055" builtinId="9" hidden="1"/>
    <cellStyle name="Followed Hyperlink" xfId="1058" builtinId="9" hidden="1"/>
    <cellStyle name="Followed Hyperlink" xfId="1067" builtinId="9" hidden="1"/>
    <cellStyle name="Followed Hyperlink" xfId="1075" builtinId="9" hidden="1"/>
    <cellStyle name="Followed Hyperlink" xfId="1084" builtinId="9" hidden="1"/>
    <cellStyle name="Followed Hyperlink" xfId="1092" builtinId="9" hidden="1"/>
    <cellStyle name="Followed Hyperlink" xfId="975" builtinId="9" hidden="1"/>
    <cellStyle name="Followed Hyperlink" xfId="1103" builtinId="9" hidden="1"/>
    <cellStyle name="Followed Hyperlink" xfId="1111" builtinId="9" hidden="1"/>
    <cellStyle name="Followed Hyperlink" xfId="1119" builtinId="9" hidden="1"/>
    <cellStyle name="Followed Hyperlink" xfId="1127" builtinId="9" hidden="1"/>
    <cellStyle name="Followed Hyperlink" xfId="1036" builtinId="9" hidden="1"/>
    <cellStyle name="Followed Hyperlink" xfId="1137" builtinId="9" hidden="1"/>
    <cellStyle name="Followed Hyperlink" xfId="1145" builtinId="9" hidden="1"/>
    <cellStyle name="Followed Hyperlink" xfId="1153" builtinId="9" hidden="1"/>
    <cellStyle name="Followed Hyperlink" xfId="1161" builtinId="9" hidden="1"/>
    <cellStyle name="Followed Hyperlink" xfId="1171" builtinId="9" hidden="1"/>
    <cellStyle name="Followed Hyperlink" xfId="1179" builtinId="9" hidden="1"/>
    <cellStyle name="Followed Hyperlink" xfId="1187" builtinId="9" hidden="1"/>
    <cellStyle name="Followed Hyperlink" xfId="1209" builtinId="9" hidden="1"/>
    <cellStyle name="Followed Hyperlink" xfId="1218" builtinId="9" hidden="1"/>
    <cellStyle name="Followed Hyperlink" xfId="1227" builtinId="9" hidden="1"/>
    <cellStyle name="Followed Hyperlink" xfId="1237" builtinId="9" hidden="1"/>
    <cellStyle name="Followed Hyperlink" xfId="1245" builtinId="9" hidden="1"/>
    <cellStyle name="Followed Hyperlink" xfId="1188" builtinId="9" hidden="1"/>
    <cellStyle name="Followed Hyperlink" xfId="1263" builtinId="9" hidden="1"/>
    <cellStyle name="Followed Hyperlink" xfId="1272" builtinId="9" hidden="1"/>
    <cellStyle name="Followed Hyperlink" xfId="1282" builtinId="9" hidden="1"/>
    <cellStyle name="Followed Hyperlink" xfId="1290" builtinId="9" hidden="1"/>
    <cellStyle name="Followed Hyperlink" xfId="1221" builtinId="9" hidden="1"/>
    <cellStyle name="Followed Hyperlink" xfId="1302" builtinId="9" hidden="1"/>
    <cellStyle name="Followed Hyperlink" xfId="1312" builtinId="9" hidden="1"/>
    <cellStyle name="Followed Hyperlink" xfId="1322" builtinId="9" hidden="1"/>
    <cellStyle name="Followed Hyperlink" xfId="1330" builtinId="9" hidden="1"/>
    <cellStyle name="Followed Hyperlink" xfId="1295" builtinId="9" hidden="1"/>
    <cellStyle name="Followed Hyperlink" xfId="1342" builtinId="9" hidden="1"/>
    <cellStyle name="Followed Hyperlink" xfId="1351" builtinId="9" hidden="1"/>
    <cellStyle name="Followed Hyperlink" xfId="1362" builtinId="9" hidden="1"/>
    <cellStyle name="Followed Hyperlink" xfId="1370" builtinId="9" hidden="1"/>
    <cellStyle name="Followed Hyperlink" xfId="1378" builtinId="9" hidden="1"/>
    <cellStyle name="Followed Hyperlink" xfId="1382" builtinId="9" hidden="1"/>
    <cellStyle name="Followed Hyperlink" xfId="1391" builtinId="9" hidden="1"/>
    <cellStyle name="Followed Hyperlink" xfId="1400" builtinId="9" hidden="1"/>
    <cellStyle name="Followed Hyperlink" xfId="1410" builtinId="9" hidden="1"/>
    <cellStyle name="Followed Hyperlink" xfId="1418" builtinId="9" hidden="1"/>
    <cellStyle name="Followed Hyperlink" xfId="1296" builtinId="9" hidden="1"/>
    <cellStyle name="Followed Hyperlink" xfId="1431" builtinId="9" hidden="1"/>
    <cellStyle name="Followed Hyperlink" xfId="1439" builtinId="9" hidden="1"/>
    <cellStyle name="Followed Hyperlink" xfId="1449" builtinId="9" hidden="1"/>
    <cellStyle name="Followed Hyperlink" xfId="1457" builtinId="9" hidden="1"/>
    <cellStyle name="Followed Hyperlink" xfId="1359" builtinId="9" hidden="1"/>
    <cellStyle name="Followed Hyperlink" xfId="1469" builtinId="9" hidden="1"/>
    <cellStyle name="Followed Hyperlink" xfId="1478" builtinId="9" hidden="1"/>
    <cellStyle name="Followed Hyperlink" xfId="1488" builtinId="9" hidden="1"/>
    <cellStyle name="Followed Hyperlink" xfId="1496" builtinId="9" hidden="1"/>
    <cellStyle name="Followed Hyperlink" xfId="1462" builtinId="9" hidden="1"/>
    <cellStyle name="Followed Hyperlink" xfId="1508" builtinId="9" hidden="1"/>
    <cellStyle name="Followed Hyperlink" xfId="1517" builtinId="9" hidden="1"/>
    <cellStyle name="Followed Hyperlink" xfId="1527" builtinId="9" hidden="1"/>
    <cellStyle name="Followed Hyperlink" xfId="1535" builtinId="9" hidden="1"/>
    <cellStyle name="Followed Hyperlink" xfId="1543" builtinId="9" hidden="1"/>
    <cellStyle name="Followed Hyperlink" xfId="1547" builtinId="9" hidden="1"/>
    <cellStyle name="Followed Hyperlink" xfId="1556" builtinId="9" hidden="1"/>
    <cellStyle name="Followed Hyperlink" xfId="1564" builtinId="9" hidden="1"/>
    <cellStyle name="Followed Hyperlink" xfId="1574" builtinId="9" hidden="1"/>
    <cellStyle name="Followed Hyperlink" xfId="1582" builtinId="9" hidden="1"/>
    <cellStyle name="Followed Hyperlink" xfId="1463" builtinId="9" hidden="1"/>
    <cellStyle name="Followed Hyperlink" xfId="1595" builtinId="9" hidden="1"/>
    <cellStyle name="Followed Hyperlink" xfId="1603" builtinId="9" hidden="1"/>
    <cellStyle name="Followed Hyperlink" xfId="1613" builtinId="9" hidden="1"/>
    <cellStyle name="Followed Hyperlink" xfId="1621" builtinId="9" hidden="1"/>
    <cellStyle name="Followed Hyperlink" xfId="1524" builtinId="9" hidden="1"/>
    <cellStyle name="Followed Hyperlink" xfId="1632" builtinId="9" hidden="1"/>
    <cellStyle name="Followed Hyperlink" xfId="1641" builtinId="9" hidden="1"/>
    <cellStyle name="Followed Hyperlink" xfId="1650" builtinId="9" hidden="1"/>
    <cellStyle name="Followed Hyperlink" xfId="1658" builtinId="9" hidden="1"/>
    <cellStyle name="Followed Hyperlink" xfId="1626" builtinId="9" hidden="1"/>
    <cellStyle name="Followed Hyperlink" xfId="1669" builtinId="9" hidden="1"/>
    <cellStyle name="Followed Hyperlink" xfId="1677" builtinId="9" hidden="1"/>
    <cellStyle name="Followed Hyperlink" xfId="1685" builtinId="9" hidden="1"/>
    <cellStyle name="Followed Hyperlink" xfId="1693" builtinId="9" hidden="1"/>
    <cellStyle name="Followed Hyperlink" xfId="1701" builtinId="9" hidden="1"/>
    <cellStyle name="Followed Hyperlink" xfId="1703" builtinId="9" hidden="1"/>
    <cellStyle name="Followed Hyperlink" xfId="1711" builtinId="9" hidden="1"/>
    <cellStyle name="Followed Hyperlink" xfId="1719" builtinId="9" hidden="1"/>
    <cellStyle name="Followed Hyperlink" xfId="1727" builtinId="9" hidden="1"/>
    <cellStyle name="Followed Hyperlink" xfId="1735" builtinId="9" hidden="1"/>
    <cellStyle name="Followed Hyperlink" xfId="1745" builtinId="9" hidden="1"/>
    <cellStyle name="Followed Hyperlink" xfId="1753" builtinId="9" hidden="1"/>
    <cellStyle name="Followed Hyperlink" xfId="1764" builtinId="9" hidden="1"/>
    <cellStyle name="Followed Hyperlink" xfId="1783" builtinId="9" hidden="1"/>
    <cellStyle name="Followed Hyperlink" xfId="1793" builtinId="9" hidden="1"/>
    <cellStyle name="Followed Hyperlink" xfId="1803" builtinId="9" hidden="1"/>
    <cellStyle name="Followed Hyperlink" xfId="1811" builtinId="9" hidden="1"/>
    <cellStyle name="Followed Hyperlink" xfId="1775" builtinId="9" hidden="1"/>
    <cellStyle name="Followed Hyperlink" xfId="1828" builtinId="9" hidden="1"/>
    <cellStyle name="Followed Hyperlink" xfId="1837" builtinId="9" hidden="1"/>
    <cellStyle name="Followed Hyperlink" xfId="1848" builtinId="9" hidden="1"/>
    <cellStyle name="Followed Hyperlink" xfId="1856" builtinId="9" hidden="1"/>
    <cellStyle name="Followed Hyperlink" xfId="1864" builtinId="9" hidden="1"/>
    <cellStyle name="Followed Hyperlink" xfId="1868" builtinId="9" hidden="1"/>
    <cellStyle name="Followed Hyperlink" xfId="1877" builtinId="9" hidden="1"/>
    <cellStyle name="Followed Hyperlink" xfId="1886" builtinId="9" hidden="1"/>
    <cellStyle name="Followed Hyperlink" xfId="1896" builtinId="9" hidden="1"/>
    <cellStyle name="Followed Hyperlink" xfId="1904" builtinId="9" hidden="1"/>
    <cellStyle name="Followed Hyperlink" xfId="1820" builtinId="9" hidden="1"/>
    <cellStyle name="Followed Hyperlink" xfId="1917" builtinId="9" hidden="1"/>
    <cellStyle name="Followed Hyperlink" xfId="1926" builtinId="9" hidden="1"/>
    <cellStyle name="Followed Hyperlink" xfId="1936" builtinId="9" hidden="1"/>
    <cellStyle name="Followed Hyperlink" xfId="1944" builtinId="9" hidden="1"/>
    <cellStyle name="Followed Hyperlink" xfId="1845" builtinId="9" hidden="1"/>
    <cellStyle name="Followed Hyperlink" xfId="1956" builtinId="9" hidden="1"/>
    <cellStyle name="Followed Hyperlink" xfId="1966" builtinId="9" hidden="1"/>
    <cellStyle name="Followed Hyperlink" xfId="1976" builtinId="9" hidden="1"/>
    <cellStyle name="Followed Hyperlink" xfId="1984" builtinId="9" hidden="1"/>
    <cellStyle name="Followed Hyperlink" xfId="1949" builtinId="9" hidden="1"/>
    <cellStyle name="Followed Hyperlink" xfId="1996" builtinId="9" hidden="1"/>
    <cellStyle name="Followed Hyperlink" xfId="2005" builtinId="9" hidden="1"/>
    <cellStyle name="Followed Hyperlink" xfId="2015" builtinId="9" hidden="1"/>
    <cellStyle name="Followed Hyperlink" xfId="2023" builtinId="9" hidden="1"/>
    <cellStyle name="Followed Hyperlink" xfId="2031" builtinId="9" hidden="1"/>
    <cellStyle name="Followed Hyperlink" xfId="2035" builtinId="9" hidden="1"/>
    <cellStyle name="Followed Hyperlink" xfId="2044" builtinId="9" hidden="1"/>
    <cellStyle name="Followed Hyperlink" xfId="2052" builtinId="9" hidden="1"/>
    <cellStyle name="Followed Hyperlink" xfId="2062" builtinId="9" hidden="1"/>
    <cellStyle name="Followed Hyperlink" xfId="2070" builtinId="9" hidden="1"/>
    <cellStyle name="Followed Hyperlink" xfId="1950" builtinId="9" hidden="1"/>
    <cellStyle name="Followed Hyperlink" xfId="2083" builtinId="9" hidden="1"/>
    <cellStyle name="Followed Hyperlink" xfId="2091" builtinId="9" hidden="1"/>
    <cellStyle name="Followed Hyperlink" xfId="2101" builtinId="9" hidden="1"/>
    <cellStyle name="Followed Hyperlink" xfId="2109" builtinId="9" hidden="1"/>
    <cellStyle name="Followed Hyperlink" xfId="2012" builtinId="9" hidden="1"/>
    <cellStyle name="Followed Hyperlink" xfId="2121" builtinId="9" hidden="1"/>
    <cellStyle name="Followed Hyperlink" xfId="2130" builtinId="9" hidden="1"/>
    <cellStyle name="Followed Hyperlink" xfId="2140" builtinId="9" hidden="1"/>
    <cellStyle name="Followed Hyperlink" xfId="2148" builtinId="9" hidden="1"/>
    <cellStyle name="Followed Hyperlink" xfId="2114" builtinId="9" hidden="1"/>
    <cellStyle name="Followed Hyperlink" xfId="2160" builtinId="9" hidden="1"/>
    <cellStyle name="Followed Hyperlink" xfId="2169" builtinId="9" hidden="1"/>
    <cellStyle name="Followed Hyperlink" xfId="2179" builtinId="9" hidden="1"/>
    <cellStyle name="Followed Hyperlink" xfId="2187" builtinId="9" hidden="1"/>
    <cellStyle name="Followed Hyperlink" xfId="2195" builtinId="9" hidden="1"/>
    <cellStyle name="Followed Hyperlink" xfId="2198" builtinId="9" hidden="1"/>
    <cellStyle name="Followed Hyperlink" xfId="2207" builtinId="9" hidden="1"/>
    <cellStyle name="Followed Hyperlink" xfId="2215" builtinId="9" hidden="1"/>
    <cellStyle name="Followed Hyperlink" xfId="2224" builtinId="9" hidden="1"/>
    <cellStyle name="Followed Hyperlink" xfId="2232" builtinId="9" hidden="1"/>
    <cellStyle name="Followed Hyperlink" xfId="2115" builtinId="9" hidden="1"/>
    <cellStyle name="Followed Hyperlink" xfId="2243" builtinId="9" hidden="1"/>
    <cellStyle name="Followed Hyperlink" xfId="2251" builtinId="9" hidden="1"/>
    <cellStyle name="Followed Hyperlink" xfId="2259" builtinId="9" hidden="1"/>
    <cellStyle name="Followed Hyperlink" xfId="2267" builtinId="9" hidden="1"/>
    <cellStyle name="Followed Hyperlink" xfId="2176" builtinId="9" hidden="1"/>
    <cellStyle name="Followed Hyperlink" xfId="2277" builtinId="9" hidden="1"/>
    <cellStyle name="Followed Hyperlink" xfId="2285" builtinId="9" hidden="1"/>
    <cellStyle name="Followed Hyperlink" xfId="2293" builtinId="9" hidden="1"/>
    <cellStyle name="Followed Hyperlink" xfId="2301" builtinId="9" hidden="1"/>
    <cellStyle name="Followed Hyperlink" xfId="2307" builtinId="9" hidden="1"/>
    <cellStyle name="Followed Hyperlink" xfId="2299" builtinId="9" hidden="1"/>
    <cellStyle name="Followed Hyperlink" xfId="2291" builtinId="9" hidden="1"/>
    <cellStyle name="Followed Hyperlink" xfId="2283" builtinId="9" hidden="1"/>
    <cellStyle name="Followed Hyperlink" xfId="2275" builtinId="9" hidden="1"/>
    <cellStyle name="Followed Hyperlink" xfId="2235" builtinId="9" hidden="1"/>
    <cellStyle name="Followed Hyperlink" xfId="2265" builtinId="9" hidden="1"/>
    <cellStyle name="Followed Hyperlink" xfId="2257" builtinId="9" hidden="1"/>
    <cellStyle name="Followed Hyperlink" xfId="2249" builtinId="9" hidden="1"/>
    <cellStyle name="Followed Hyperlink" xfId="2241" builtinId="9" hidden="1"/>
    <cellStyle name="Followed Hyperlink" xfId="2135" builtinId="9" hidden="1"/>
    <cellStyle name="Followed Hyperlink" xfId="2230" builtinId="9" hidden="1"/>
    <cellStyle name="Followed Hyperlink" xfId="2222" builtinId="9" hidden="1"/>
    <cellStyle name="Followed Hyperlink" xfId="2213" builtinId="9" hidden="1"/>
    <cellStyle name="Followed Hyperlink" xfId="2205" builtinId="9" hidden="1"/>
    <cellStyle name="Followed Hyperlink" xfId="2074" builtinId="9" hidden="1"/>
    <cellStyle name="Followed Hyperlink" xfId="2193" builtinId="9" hidden="1"/>
    <cellStyle name="Followed Hyperlink" xfId="2185" builtinId="9" hidden="1"/>
    <cellStyle name="Followed Hyperlink" xfId="2175" builtinId="9" hidden="1"/>
    <cellStyle name="Followed Hyperlink" xfId="2167" builtinId="9" hidden="1"/>
    <cellStyle name="Followed Hyperlink" xfId="2158" builtinId="9" hidden="1"/>
    <cellStyle name="Followed Hyperlink" xfId="2154" builtinId="9" hidden="1"/>
    <cellStyle name="Followed Hyperlink" xfId="2146" builtinId="9" hidden="1"/>
    <cellStyle name="Followed Hyperlink" xfId="2138" builtinId="9" hidden="1"/>
    <cellStyle name="Followed Hyperlink" xfId="2128" builtinId="9" hidden="1"/>
    <cellStyle name="Followed Hyperlink" xfId="2119" builtinId="9" hidden="1"/>
    <cellStyle name="Followed Hyperlink" xfId="2073" builtinId="9" hidden="1"/>
    <cellStyle name="Followed Hyperlink" xfId="2107" builtinId="9" hidden="1"/>
    <cellStyle name="Followed Hyperlink" xfId="2099" builtinId="9" hidden="1"/>
    <cellStyle name="Followed Hyperlink" xfId="2089" builtinId="9" hidden="1"/>
    <cellStyle name="Followed Hyperlink" xfId="2080" builtinId="9" hidden="1"/>
    <cellStyle name="Followed Hyperlink" xfId="1971" builtinId="9" hidden="1"/>
    <cellStyle name="Followed Hyperlink" xfId="2068" builtinId="9" hidden="1"/>
    <cellStyle name="Followed Hyperlink" xfId="2060" builtinId="9" hidden="1"/>
    <cellStyle name="Followed Hyperlink" xfId="2050" builtinId="9" hidden="1"/>
    <cellStyle name="Followed Hyperlink" xfId="2042" builtinId="9" hidden="1"/>
    <cellStyle name="Followed Hyperlink" xfId="1908" builtinId="9" hidden="1"/>
    <cellStyle name="Followed Hyperlink" xfId="2029" builtinId="9" hidden="1"/>
    <cellStyle name="Followed Hyperlink" xfId="2021" builtinId="9" hidden="1"/>
    <cellStyle name="Followed Hyperlink" xfId="2011" builtinId="9" hidden="1"/>
    <cellStyle name="Followed Hyperlink" xfId="2003" builtinId="9" hidden="1"/>
    <cellStyle name="Followed Hyperlink" xfId="1994" builtinId="9" hidden="1"/>
    <cellStyle name="Followed Hyperlink" xfId="1990" builtinId="9" hidden="1"/>
    <cellStyle name="Followed Hyperlink" xfId="1982" builtinId="9" hidden="1"/>
    <cellStyle name="Followed Hyperlink" xfId="1974" builtinId="9" hidden="1"/>
    <cellStyle name="Followed Hyperlink" xfId="1963" builtinId="9" hidden="1"/>
    <cellStyle name="Followed Hyperlink" xfId="1954" builtinId="9" hidden="1"/>
    <cellStyle name="Followed Hyperlink" xfId="1907" builtinId="9" hidden="1"/>
    <cellStyle name="Followed Hyperlink" xfId="1942" builtinId="9" hidden="1"/>
    <cellStyle name="Followed Hyperlink" xfId="1934" builtinId="9" hidden="1"/>
    <cellStyle name="Followed Hyperlink" xfId="1924" builtinId="9" hidden="1"/>
    <cellStyle name="Followed Hyperlink" xfId="1914" builtinId="9" hidden="1"/>
    <cellStyle name="Followed Hyperlink" xfId="1774" builtinId="9" hidden="1"/>
    <cellStyle name="Followed Hyperlink" xfId="1902" builtinId="9" hidden="1"/>
    <cellStyle name="Followed Hyperlink" xfId="1894" builtinId="9" hidden="1"/>
    <cellStyle name="Followed Hyperlink" xfId="1884" builtinId="9" hidden="1"/>
    <cellStyle name="Followed Hyperlink" xfId="1875" builtinId="9" hidden="1"/>
    <cellStyle name="Followed Hyperlink" xfId="1784" builtinId="9" hidden="1"/>
    <cellStyle name="Followed Hyperlink" xfId="1862" builtinId="9" hidden="1"/>
    <cellStyle name="Followed Hyperlink" xfId="1854" builtinId="9" hidden="1"/>
    <cellStyle name="Followed Hyperlink" xfId="1844" builtinId="9" hidden="1"/>
    <cellStyle name="Followed Hyperlink" xfId="1835" builtinId="9" hidden="1"/>
    <cellStyle name="Followed Hyperlink" xfId="1826" builtinId="9" hidden="1"/>
    <cellStyle name="Followed Hyperlink" xfId="1817" builtinId="9" hidden="1"/>
    <cellStyle name="Followed Hyperlink" xfId="1809" builtinId="9" hidden="1"/>
    <cellStyle name="Followed Hyperlink" xfId="1801" builtinId="9" hidden="1"/>
    <cellStyle name="Followed Hyperlink" xfId="1790" builtinId="9" hidden="1"/>
    <cellStyle name="Followed Hyperlink" xfId="1781" builtinId="9" hidden="1"/>
    <cellStyle name="Followed Hyperlink" xfId="1762" builtinId="9" hidden="1"/>
    <cellStyle name="Followed Hyperlink" xfId="1751" builtinId="9" hidden="1"/>
    <cellStyle name="Followed Hyperlink" xfId="1743" builtinId="9" hidden="1"/>
    <cellStyle name="Followed Hyperlink" xfId="1733" builtinId="9" hidden="1"/>
    <cellStyle name="Followed Hyperlink" xfId="1725" builtinId="9" hidden="1"/>
    <cellStyle name="Followed Hyperlink" xfId="1717" builtinId="9" hidden="1"/>
    <cellStyle name="Followed Hyperlink" xfId="1709" builtinId="9" hidden="1"/>
    <cellStyle name="Followed Hyperlink" xfId="1586" builtinId="9" hidden="1"/>
    <cellStyle name="Followed Hyperlink" xfId="1699" builtinId="9" hidden="1"/>
    <cellStyle name="Followed Hyperlink" xfId="1691" builtinId="9" hidden="1"/>
    <cellStyle name="Followed Hyperlink" xfId="1683" builtinId="9" hidden="1"/>
    <cellStyle name="Followed Hyperlink" xfId="1675" builtinId="9" hidden="1"/>
    <cellStyle name="Followed Hyperlink" xfId="1667" builtinId="9" hidden="1"/>
    <cellStyle name="Followed Hyperlink" xfId="1664" builtinId="9" hidden="1"/>
    <cellStyle name="Followed Hyperlink" xfId="1656" builtinId="9" hidden="1"/>
    <cellStyle name="Followed Hyperlink" xfId="1648" builtinId="9" hidden="1"/>
    <cellStyle name="Followed Hyperlink" xfId="1639" builtinId="9" hidden="1"/>
    <cellStyle name="Followed Hyperlink" xfId="1630" builtinId="9" hidden="1"/>
    <cellStyle name="Followed Hyperlink" xfId="1585" builtinId="9" hidden="1"/>
    <cellStyle name="Followed Hyperlink" xfId="1619" builtinId="9" hidden="1"/>
    <cellStyle name="Followed Hyperlink" xfId="1611" builtinId="9" hidden="1"/>
    <cellStyle name="Followed Hyperlink" xfId="1601" builtinId="9" hidden="1"/>
    <cellStyle name="Followed Hyperlink" xfId="1592" builtinId="9" hidden="1"/>
    <cellStyle name="Followed Hyperlink" xfId="1483" builtinId="9" hidden="1"/>
    <cellStyle name="Followed Hyperlink" xfId="1580" builtinId="9" hidden="1"/>
    <cellStyle name="Followed Hyperlink" xfId="1572" builtinId="9" hidden="1"/>
    <cellStyle name="Followed Hyperlink" xfId="1562" builtinId="9" hidden="1"/>
    <cellStyle name="Followed Hyperlink" xfId="1554" builtinId="9" hidden="1"/>
    <cellStyle name="Followed Hyperlink" xfId="1422" builtinId="9" hidden="1"/>
    <cellStyle name="Followed Hyperlink" xfId="1541" builtinId="9" hidden="1"/>
    <cellStyle name="Followed Hyperlink" xfId="1533" builtinId="9" hidden="1"/>
    <cellStyle name="Followed Hyperlink" xfId="1523" builtinId="9" hidden="1"/>
    <cellStyle name="Followed Hyperlink" xfId="1515" builtinId="9" hidden="1"/>
    <cellStyle name="Followed Hyperlink" xfId="1506" builtinId="9" hidden="1"/>
    <cellStyle name="Followed Hyperlink" xfId="1502" builtinId="9" hidden="1"/>
    <cellStyle name="Followed Hyperlink" xfId="1494" builtinId="9" hidden="1"/>
    <cellStyle name="Followed Hyperlink" xfId="1486" builtinId="9" hidden="1"/>
    <cellStyle name="Followed Hyperlink" xfId="1476" builtinId="9" hidden="1"/>
    <cellStyle name="Followed Hyperlink" xfId="1467" builtinId="9" hidden="1"/>
    <cellStyle name="Followed Hyperlink" xfId="1421" builtinId="9" hidden="1"/>
    <cellStyle name="Followed Hyperlink" xfId="1455" builtinId="9" hidden="1"/>
    <cellStyle name="Followed Hyperlink" xfId="1447" builtinId="9" hidden="1"/>
    <cellStyle name="Followed Hyperlink" xfId="1437" builtinId="9" hidden="1"/>
    <cellStyle name="Followed Hyperlink" xfId="1428" builtinId="9" hidden="1"/>
    <cellStyle name="Followed Hyperlink" xfId="1317" builtinId="9" hidden="1"/>
    <cellStyle name="Followed Hyperlink" xfId="1416" builtinId="9" hidden="1"/>
    <cellStyle name="Followed Hyperlink" xfId="1408" builtinId="9" hidden="1"/>
    <cellStyle name="Followed Hyperlink" xfId="1398" builtinId="9" hidden="1"/>
    <cellStyle name="Followed Hyperlink" xfId="1389" builtinId="9" hidden="1"/>
    <cellStyle name="Followed Hyperlink" xfId="1254" builtinId="9" hidden="1"/>
    <cellStyle name="Followed Hyperlink" xfId="1376" builtinId="9" hidden="1"/>
    <cellStyle name="Followed Hyperlink" xfId="1368" builtinId="9" hidden="1"/>
    <cellStyle name="Followed Hyperlink" xfId="1358" builtinId="9" hidden="1"/>
    <cellStyle name="Followed Hyperlink" xfId="1349" builtinId="9" hidden="1"/>
    <cellStyle name="Followed Hyperlink" xfId="1340" builtinId="9" hidden="1"/>
    <cellStyle name="Followed Hyperlink" xfId="1336" builtinId="9" hidden="1"/>
    <cellStyle name="Followed Hyperlink" xfId="1328" builtinId="9" hidden="1"/>
    <cellStyle name="Followed Hyperlink" xfId="1320" builtinId="9" hidden="1"/>
    <cellStyle name="Followed Hyperlink" xfId="1309" builtinId="9" hidden="1"/>
    <cellStyle name="Followed Hyperlink" xfId="1300" builtinId="9" hidden="1"/>
    <cellStyle name="Followed Hyperlink" xfId="1253" builtinId="9" hidden="1"/>
    <cellStyle name="Followed Hyperlink" xfId="1288" builtinId="9" hidden="1"/>
    <cellStyle name="Followed Hyperlink" xfId="1280" builtinId="9" hidden="1"/>
    <cellStyle name="Followed Hyperlink" xfId="1270" builtinId="9" hidden="1"/>
    <cellStyle name="Followed Hyperlink" xfId="1260" builtinId="9" hidden="1"/>
    <cellStyle name="Followed Hyperlink" xfId="1203" builtinId="9" hidden="1"/>
    <cellStyle name="Followed Hyperlink" xfId="1243" builtinId="9" hidden="1"/>
    <cellStyle name="Followed Hyperlink" xfId="1235" builtinId="9" hidden="1"/>
    <cellStyle name="Followed Hyperlink" xfId="1225" builtinId="9" hidden="1"/>
    <cellStyle name="Followed Hyperlink" xfId="1216" builtinId="9" hidden="1"/>
    <cellStyle name="Followed Hyperlink" xfId="1196" builtinId="9" hidden="1"/>
    <cellStyle name="Followed Hyperlink" xfId="1185" builtinId="9" hidden="1"/>
    <cellStyle name="Followed Hyperlink" xfId="1177" builtinId="9" hidden="1"/>
    <cellStyle name="Followed Hyperlink" xfId="1167" builtinId="9" hidden="1"/>
    <cellStyle name="Followed Hyperlink" xfId="1159" builtinId="9" hidden="1"/>
    <cellStyle name="Followed Hyperlink" xfId="1151" builtinId="9" hidden="1"/>
    <cellStyle name="Followed Hyperlink" xfId="1143" builtinId="9" hidden="1"/>
    <cellStyle name="Followed Hyperlink" xfId="1135" builtinId="9" hidden="1"/>
    <cellStyle name="Followed Hyperlink" xfId="1095" builtinId="9" hidden="1"/>
    <cellStyle name="Followed Hyperlink" xfId="1125" builtinId="9" hidden="1"/>
    <cellStyle name="Followed Hyperlink" xfId="1117" builtinId="9" hidden="1"/>
    <cellStyle name="Followed Hyperlink" xfId="1109" builtinId="9" hidden="1"/>
    <cellStyle name="Followed Hyperlink" xfId="1101" builtinId="9" hidden="1"/>
    <cellStyle name="Followed Hyperlink" xfId="995" builtinId="9" hidden="1"/>
    <cellStyle name="Followed Hyperlink" xfId="1090" builtinId="9" hidden="1"/>
    <cellStyle name="Followed Hyperlink" xfId="1082" builtinId="9" hidden="1"/>
    <cellStyle name="Followed Hyperlink" xfId="1073" builtinId="9" hidden="1"/>
    <cellStyle name="Followed Hyperlink" xfId="1065" builtinId="9" hidden="1"/>
    <cellStyle name="Followed Hyperlink" xfId="934" builtinId="9" hidden="1"/>
    <cellStyle name="Followed Hyperlink" xfId="1053" builtinId="9" hidden="1"/>
    <cellStyle name="Followed Hyperlink" xfId="1045" builtinId="9" hidden="1"/>
    <cellStyle name="Followed Hyperlink" xfId="1035" builtinId="9" hidden="1"/>
    <cellStyle name="Followed Hyperlink" xfId="1027" builtinId="9" hidden="1"/>
    <cellStyle name="Followed Hyperlink" xfId="1018" builtinId="9" hidden="1"/>
    <cellStyle name="Followed Hyperlink" xfId="1014" builtinId="9" hidden="1"/>
    <cellStyle name="Followed Hyperlink" xfId="1006" builtinId="9" hidden="1"/>
    <cellStyle name="Followed Hyperlink" xfId="998" builtinId="9" hidden="1"/>
    <cellStyle name="Followed Hyperlink" xfId="988" builtinId="9" hidden="1"/>
    <cellStyle name="Followed Hyperlink" xfId="979" builtinId="9" hidden="1"/>
    <cellStyle name="Followed Hyperlink" xfId="933" builtinId="9" hidden="1"/>
    <cellStyle name="Followed Hyperlink" xfId="967" builtinId="9" hidden="1"/>
    <cellStyle name="Followed Hyperlink" xfId="959" builtinId="9" hidden="1"/>
    <cellStyle name="Followed Hyperlink" xfId="949" builtinId="9" hidden="1"/>
    <cellStyle name="Followed Hyperlink" xfId="940" builtinId="9" hidden="1"/>
    <cellStyle name="Followed Hyperlink" xfId="831" builtinId="9" hidden="1"/>
    <cellStyle name="Followed Hyperlink" xfId="928" builtinId="9" hidden="1"/>
    <cellStyle name="Followed Hyperlink" xfId="920" builtinId="9" hidden="1"/>
    <cellStyle name="Followed Hyperlink" xfId="910" builtinId="9" hidden="1"/>
    <cellStyle name="Followed Hyperlink" xfId="902" builtinId="9" hidden="1"/>
    <cellStyle name="Followed Hyperlink" xfId="768" builtinId="9" hidden="1"/>
    <cellStyle name="Followed Hyperlink" xfId="889" builtinId="9" hidden="1"/>
    <cellStyle name="Followed Hyperlink" xfId="881" builtinId="9" hidden="1"/>
    <cellStyle name="Followed Hyperlink" xfId="871" builtinId="9" hidden="1"/>
    <cellStyle name="Followed Hyperlink" xfId="863" builtinId="9" hidden="1"/>
    <cellStyle name="Followed Hyperlink" xfId="854" builtinId="9" hidden="1"/>
    <cellStyle name="Followed Hyperlink" xfId="850" builtinId="9" hidden="1"/>
    <cellStyle name="Followed Hyperlink" xfId="842" builtinId="9" hidden="1"/>
    <cellStyle name="Followed Hyperlink" xfId="834" builtinId="9" hidden="1"/>
    <cellStyle name="Followed Hyperlink" xfId="823" builtinId="9" hidden="1"/>
    <cellStyle name="Followed Hyperlink" xfId="814" builtinId="9" hidden="1"/>
    <cellStyle name="Followed Hyperlink" xfId="767" builtinId="9" hidden="1"/>
    <cellStyle name="Followed Hyperlink" xfId="802" builtinId="9" hidden="1"/>
    <cellStyle name="Followed Hyperlink" xfId="794" builtinId="9" hidden="1"/>
    <cellStyle name="Followed Hyperlink" xfId="784" builtinId="9" hidden="1"/>
    <cellStyle name="Followed Hyperlink" xfId="774" builtinId="9" hidden="1"/>
    <cellStyle name="Followed Hyperlink" xfId="634" builtinId="9" hidden="1"/>
    <cellStyle name="Followed Hyperlink" xfId="762" builtinId="9" hidden="1"/>
    <cellStyle name="Followed Hyperlink" xfId="754" builtinId="9" hidden="1"/>
    <cellStyle name="Followed Hyperlink" xfId="744" builtinId="9" hidden="1"/>
    <cellStyle name="Followed Hyperlink" xfId="735" builtinId="9" hidden="1"/>
    <cellStyle name="Followed Hyperlink" xfId="644" builtinId="9" hidden="1"/>
    <cellStyle name="Followed Hyperlink" xfId="722" builtinId="9" hidden="1"/>
    <cellStyle name="Followed Hyperlink" xfId="714" builtinId="9" hidden="1"/>
    <cellStyle name="Followed Hyperlink" xfId="704" builtinId="9" hidden="1"/>
    <cellStyle name="Followed Hyperlink" xfId="695" builtinId="9" hidden="1"/>
    <cellStyle name="Followed Hyperlink" xfId="686" builtinId="9" hidden="1"/>
    <cellStyle name="Followed Hyperlink" xfId="677" builtinId="9" hidden="1"/>
    <cellStyle name="Followed Hyperlink" xfId="669" builtinId="9" hidden="1"/>
    <cellStyle name="Followed Hyperlink" xfId="661" builtinId="9" hidden="1"/>
    <cellStyle name="Followed Hyperlink" xfId="650" builtinId="9" hidden="1"/>
    <cellStyle name="Followed Hyperlink" xfId="641" builtinId="9" hidden="1"/>
    <cellStyle name="Followed Hyperlink" xfId="622" builtinId="9" hidden="1"/>
    <cellStyle name="Followed Hyperlink" xfId="611" builtinId="9" hidden="1"/>
    <cellStyle name="Followed Hyperlink" xfId="603" builtinId="9" hidden="1"/>
    <cellStyle name="Followed Hyperlink" xfId="592" builtinId="9" hidden="1"/>
    <cellStyle name="Followed Hyperlink" xfId="584" builtinId="9" hidden="1"/>
    <cellStyle name="Followed Hyperlink" xfId="576" builtinId="9" hidden="1"/>
    <cellStyle name="Followed Hyperlink" xfId="568" builtinId="9" hidden="1"/>
    <cellStyle name="Followed Hyperlink" xfId="442" builtinId="9" hidden="1"/>
    <cellStyle name="Followed Hyperlink" xfId="558" builtinId="9" hidden="1"/>
    <cellStyle name="Followed Hyperlink" xfId="550" builtinId="9" hidden="1"/>
    <cellStyle name="Followed Hyperlink" xfId="541" builtinId="9" hidden="1"/>
    <cellStyle name="Followed Hyperlink" xfId="533" builtinId="9" hidden="1"/>
    <cellStyle name="Followed Hyperlink" xfId="525" builtinId="9" hidden="1"/>
    <cellStyle name="Followed Hyperlink" xfId="522" builtinId="9" hidden="1"/>
    <cellStyle name="Followed Hyperlink" xfId="514" builtinId="9" hidden="1"/>
    <cellStyle name="Followed Hyperlink" xfId="506" builtinId="9" hidden="1"/>
    <cellStyle name="Followed Hyperlink" xfId="496" builtinId="9" hidden="1"/>
    <cellStyle name="Followed Hyperlink" xfId="487" builtinId="9" hidden="1"/>
    <cellStyle name="Followed Hyperlink" xfId="441" builtinId="9" hidden="1"/>
    <cellStyle name="Followed Hyperlink" xfId="476" builtinId="9" hidden="1"/>
    <cellStyle name="Followed Hyperlink" xfId="468" builtinId="9" hidden="1"/>
    <cellStyle name="Followed Hyperlink" xfId="457" builtinId="9" hidden="1"/>
    <cellStyle name="Followed Hyperlink" xfId="448" builtinId="9" hidden="1"/>
    <cellStyle name="Followed Hyperlink" xfId="336" builtinId="9" hidden="1"/>
    <cellStyle name="Followed Hyperlink" xfId="436" builtinId="9" hidden="1"/>
    <cellStyle name="Followed Hyperlink" xfId="428" builtinId="9" hidden="1"/>
    <cellStyle name="Followed Hyperlink" xfId="417" builtinId="9" hidden="1"/>
    <cellStyle name="Followed Hyperlink" xfId="409" builtinId="9" hidden="1"/>
    <cellStyle name="Followed Hyperlink" xfId="274" builtinId="9" hidden="1"/>
    <cellStyle name="Followed Hyperlink" xfId="396" builtinId="9" hidden="1"/>
    <cellStyle name="Followed Hyperlink" xfId="388" builtinId="9" hidden="1"/>
    <cellStyle name="Followed Hyperlink" xfId="377" builtinId="9" hidden="1"/>
    <cellStyle name="Followed Hyperlink" xfId="369" builtinId="9" hidden="1"/>
    <cellStyle name="Followed Hyperlink" xfId="360" builtinId="9" hidden="1"/>
    <cellStyle name="Followed Hyperlink" xfId="356" builtinId="9" hidden="1"/>
    <cellStyle name="Followed Hyperlink" xfId="348" builtinId="9" hidden="1"/>
    <cellStyle name="Followed Hyperlink" xfId="215" builtinId="9" hidden="1"/>
    <cellStyle name="Followed Hyperlink" xfId="219" builtinId="9" hidden="1"/>
    <cellStyle name="Followed Hyperlink" xfId="223" builtinId="9" hidden="1"/>
    <cellStyle name="Followed Hyperlink" xfId="187" builtinId="9" hidden="1"/>
    <cellStyle name="Followed Hyperlink" xfId="102" builtinId="9" hidden="1"/>
    <cellStyle name="Followed Hyperlink" xfId="235" builtinId="9" hidden="1"/>
    <cellStyle name="Followed Hyperlink" xfId="244" builtinId="9" hidden="1"/>
    <cellStyle name="Followed Hyperlink" xfId="249" builtinId="9" hidden="1"/>
    <cellStyle name="Followed Hyperlink" xfId="256" builtinId="9" hidden="1"/>
    <cellStyle name="Followed Hyperlink" xfId="264" builtinId="9" hidden="1"/>
    <cellStyle name="Followed Hyperlink" xfId="268" builtinId="9" hidden="1"/>
    <cellStyle name="Followed Hyperlink" xfId="272" builtinId="9" hidden="1"/>
    <cellStyle name="Followed Hyperlink" xfId="276" builtinId="9" hidden="1"/>
    <cellStyle name="Followed Hyperlink" xfId="280" builtinId="9" hidden="1"/>
    <cellStyle name="Followed Hyperlink" xfId="285" builtinId="9" hidden="1"/>
    <cellStyle name="Followed Hyperlink" xfId="293" builtinId="9" hidden="1"/>
    <cellStyle name="Followed Hyperlink" xfId="300" builtinId="9" hidden="1"/>
    <cellStyle name="Followed Hyperlink" xfId="304" builtinId="9" hidden="1"/>
    <cellStyle name="Followed Hyperlink" xfId="312" builtinId="9" hidden="1"/>
    <cellStyle name="Followed Hyperlink" xfId="273" builtinId="9" hidden="1"/>
    <cellStyle name="Followed Hyperlink" xfId="188" builtinId="9" hidden="1"/>
    <cellStyle name="Followed Hyperlink" xfId="325" builtinId="9" hidden="1"/>
    <cellStyle name="Followed Hyperlink" xfId="329" builtinId="9" hidden="1"/>
    <cellStyle name="Followed Hyperlink" xfId="333" builtinId="9" hidden="1"/>
    <cellStyle name="Followed Hyperlink" xfId="344" builtinId="9" hidden="1"/>
    <cellStyle name="Followed Hyperlink" xfId="340" builtinId="9" hidden="1"/>
    <cellStyle name="Followed Hyperlink" xfId="320" builtinId="9" hidden="1"/>
    <cellStyle name="Followed Hyperlink" xfId="308" builtinId="9" hidden="1"/>
    <cellStyle name="Followed Hyperlink" xfId="289" builtinId="9" hidden="1"/>
    <cellStyle name="Followed Hyperlink" xfId="166" builtinId="9" hidden="1"/>
    <cellStyle name="Followed Hyperlink" xfId="260" builtinId="9" hidden="1"/>
    <cellStyle name="Followed Hyperlink" xfId="240" builtinId="9" hidden="1"/>
    <cellStyle name="Followed Hyperlink" xfId="227" builtinId="9" hidden="1"/>
    <cellStyle name="Followed Hyperlink" xfId="208" builtinId="9" hidden="1"/>
    <cellStyle name="Followed Hyperlink" xfId="174" builtinId="9" hidden="1"/>
    <cellStyle name="Followed Hyperlink" xfId="178" builtinId="9" hidden="1"/>
    <cellStyle name="Followed Hyperlink" xfId="182" builtinId="9" hidden="1"/>
    <cellStyle name="Followed Hyperlink" xfId="186" builtinId="9" hidden="1"/>
    <cellStyle name="Followed Hyperlink" xfId="51" builtinId="9" hidden="1"/>
    <cellStyle name="Followed Hyperlink" xfId="194" builtinId="9" hidden="1"/>
    <cellStyle name="Followed Hyperlink" xfId="199" builtinId="9" hidden="1"/>
    <cellStyle name="Followed Hyperlink" xfId="204" builtinId="9" hidden="1"/>
    <cellStyle name="Followed Hyperlink" xfId="190" builtinId="9" hidden="1"/>
    <cellStyle name="Followed Hyperlink" xfId="154" builtinId="9" hidden="1"/>
    <cellStyle name="Followed Hyperlink" xfId="158" builtinId="9" hidden="1"/>
    <cellStyle name="Followed Hyperlink" xfId="163" builtinId="9" hidden="1"/>
    <cellStyle name="Followed Hyperlink" xfId="170" builtinId="9" hidden="1"/>
    <cellStyle name="Followed Hyperlink" xfId="61" builtinId="9" hidden="1"/>
    <cellStyle name="Followed Hyperlink" xfId="149" builtinId="9" hidden="1"/>
    <cellStyle name="Followed Hyperlink" xfId="101" builtinId="9" hidden="1"/>
    <cellStyle name="Hyperlink" xfId="1821" builtinId="8" hidden="1"/>
    <cellStyle name="Hyperlink" xfId="1911" builtinId="8" hidden="1"/>
    <cellStyle name="Hyperlink" xfId="1916" builtinId="8" hidden="1"/>
    <cellStyle name="Hyperlink" xfId="1918" builtinId="8" hidden="1"/>
    <cellStyle name="Hyperlink" xfId="1925" builtinId="8" hidden="1"/>
    <cellStyle name="Hyperlink" xfId="1927" builtinId="8" hidden="1"/>
    <cellStyle name="Hyperlink" xfId="1931" builtinId="8" hidden="1"/>
    <cellStyle name="Hyperlink" xfId="1937" builtinId="8" hidden="1"/>
    <cellStyle name="Hyperlink" xfId="1939" builtinId="8" hidden="1"/>
    <cellStyle name="Hyperlink" xfId="1943" builtinId="8" hidden="1"/>
    <cellStyle name="Hyperlink" xfId="1947" builtinId="8" hidden="1"/>
    <cellStyle name="Hyperlink" xfId="1888" builtinId="8" hidden="1"/>
    <cellStyle name="Hyperlink" xfId="1776" builtinId="8" hidden="1"/>
    <cellStyle name="Hyperlink" xfId="1955" builtinId="8" hidden="1"/>
    <cellStyle name="Hyperlink" xfId="1958" builtinId="8" hidden="1"/>
    <cellStyle name="Hyperlink" xfId="1960" builtinId="8" hidden="1"/>
    <cellStyle name="Hyperlink" xfId="1967" builtinId="8" hidden="1"/>
    <cellStyle name="Hyperlink" xfId="1969" builtinId="8" hidden="1"/>
    <cellStyle name="Hyperlink" xfId="1975" builtinId="8" hidden="1"/>
    <cellStyle name="Hyperlink" xfId="1979" builtinId="8" hidden="1"/>
    <cellStyle name="Hyperlink" xfId="1983" builtinId="8" hidden="1"/>
    <cellStyle name="Hyperlink" xfId="1985" builtinId="8" hidden="1"/>
    <cellStyle name="Hyperlink" xfId="1915" builtinId="8" hidden="1"/>
    <cellStyle name="Hyperlink" xfId="1930" builtinId="8" hidden="1"/>
    <cellStyle name="Hyperlink" xfId="1777" builtinId="8" hidden="1"/>
    <cellStyle name="Hyperlink" xfId="1997" builtinId="8" hidden="1"/>
    <cellStyle name="Hyperlink" xfId="2000" builtinId="8" hidden="1"/>
    <cellStyle name="Hyperlink" xfId="2004" builtinId="8" hidden="1"/>
    <cellStyle name="Hyperlink" xfId="2008" builtinId="8" hidden="1"/>
    <cellStyle name="Hyperlink" xfId="2014" builtinId="8" hidden="1"/>
    <cellStyle name="Hyperlink" xfId="2016" builtinId="8" hidden="1"/>
    <cellStyle name="Hyperlink" xfId="2022" builtinId="8" hidden="1"/>
    <cellStyle name="Hyperlink" xfId="2024" builtinId="8" hidden="1"/>
    <cellStyle name="Hyperlink" xfId="2026" builtinId="8" hidden="1"/>
    <cellStyle name="Hyperlink" xfId="1957" builtinId="8" hidden="1"/>
    <cellStyle name="Hyperlink" xfId="1972" builtinId="8" hidden="1"/>
    <cellStyle name="Hyperlink" xfId="2034" builtinId="8" hidden="1"/>
    <cellStyle name="Hyperlink" xfId="2038" builtinId="8" hidden="1"/>
    <cellStyle name="Hyperlink" xfId="2043" builtinId="8" hidden="1"/>
    <cellStyle name="Hyperlink" xfId="2045" builtinId="8" hidden="1"/>
    <cellStyle name="Hyperlink" xfId="2051" builtinId="8" hidden="1"/>
    <cellStyle name="Hyperlink" xfId="2055" builtinId="8" hidden="1"/>
    <cellStyle name="Hyperlink" xfId="2057" builtinId="8" hidden="1"/>
    <cellStyle name="Hyperlink" xfId="2063" builtinId="8" hidden="1"/>
    <cellStyle name="Hyperlink" xfId="2065" builtinId="8" hidden="1"/>
    <cellStyle name="Hyperlink" xfId="2069" builtinId="8" hidden="1"/>
    <cellStyle name="Hyperlink" xfId="1999" builtinId="8" hidden="1"/>
    <cellStyle name="Hyperlink" xfId="1771" builtinId="8" hidden="1"/>
    <cellStyle name="Hyperlink" xfId="2075" builtinId="8" hidden="1"/>
    <cellStyle name="Hyperlink" xfId="2082" builtinId="8" hidden="1"/>
    <cellStyle name="Hyperlink" xfId="2084" builtinId="8" hidden="1"/>
    <cellStyle name="Hyperlink" xfId="2086" builtinId="8" hidden="1"/>
    <cellStyle name="Hyperlink" xfId="2092" builtinId="8" hidden="1"/>
    <cellStyle name="Hyperlink" xfId="2096" builtinId="8" hidden="1"/>
    <cellStyle name="Hyperlink" xfId="2100" builtinId="8" hidden="1"/>
    <cellStyle name="Hyperlink" xfId="2104" builtinId="8" hidden="1"/>
    <cellStyle name="Hyperlink" xfId="2108" builtinId="8" hidden="1"/>
    <cellStyle name="Hyperlink" xfId="2110" builtinId="8" hidden="1"/>
    <cellStyle name="Hyperlink" xfId="2054" builtinId="8" hidden="1"/>
    <cellStyle name="Hyperlink" xfId="1818" builtinId="8" hidden="1"/>
    <cellStyle name="Hyperlink" xfId="2116" builtinId="8" hidden="1"/>
    <cellStyle name="Hyperlink" xfId="2123" builtinId="8" hidden="1"/>
    <cellStyle name="Hyperlink" xfId="2125" builtinId="8" hidden="1"/>
    <cellStyle name="Hyperlink" xfId="2129" builtinId="8" hidden="1"/>
    <cellStyle name="Hyperlink" xfId="2133" builtinId="8" hidden="1"/>
    <cellStyle name="Hyperlink" xfId="2139" builtinId="8" hidden="1"/>
    <cellStyle name="Hyperlink" xfId="2141" builtinId="8" hidden="1"/>
    <cellStyle name="Hyperlink" xfId="2147" builtinId="8" hidden="1"/>
    <cellStyle name="Hyperlink" xfId="2149" builtinId="8" hidden="1"/>
    <cellStyle name="Hyperlink" xfId="2151" builtinId="8" hidden="1"/>
    <cellStyle name="Hyperlink" xfId="2095" builtinId="8" hidden="1"/>
    <cellStyle name="Hyperlink" xfId="1838" builtinId="8" hidden="1"/>
    <cellStyle name="Hyperlink" xfId="2159" builtinId="8" hidden="1"/>
    <cellStyle name="Hyperlink" xfId="2164" builtinId="8" hidden="1"/>
    <cellStyle name="Hyperlink" xfId="2168" builtinId="8" hidden="1"/>
    <cellStyle name="Hyperlink" xfId="2170" builtinId="8" hidden="1"/>
    <cellStyle name="Hyperlink" xfId="2178" builtinId="8" hidden="1"/>
    <cellStyle name="Hyperlink" xfId="2180" builtinId="8" hidden="1"/>
    <cellStyle name="Hyperlink" xfId="2182" builtinId="8" hidden="1"/>
    <cellStyle name="Hyperlink" xfId="2188" builtinId="8" hidden="1"/>
    <cellStyle name="Hyperlink" xfId="2190" builtinId="8" hidden="1"/>
    <cellStyle name="Hyperlink" xfId="2194" builtinId="8" hidden="1"/>
    <cellStyle name="Hyperlink" xfId="2136" builtinId="8" hidden="1"/>
    <cellStyle name="Hyperlink" xfId="2197" builtinId="8" hidden="1"/>
    <cellStyle name="Hyperlink" xfId="2199" builtinId="8" hidden="1"/>
    <cellStyle name="Hyperlink" xfId="2206" builtinId="8" hidden="1"/>
    <cellStyle name="Hyperlink" xfId="2208" builtinId="8" hidden="1"/>
    <cellStyle name="Hyperlink" xfId="2210" builtinId="8" hidden="1"/>
    <cellStyle name="Hyperlink" xfId="2217" builtinId="8" hidden="1"/>
    <cellStyle name="Hyperlink" xfId="2219" builtinId="8" hidden="1"/>
    <cellStyle name="Hyperlink" xfId="2223" builtinId="8" hidden="1"/>
    <cellStyle name="Hyperlink" xfId="2227" builtinId="8" hidden="1"/>
    <cellStyle name="Hyperlink" xfId="2231" builtinId="8" hidden="1"/>
    <cellStyle name="Hyperlink" xfId="2233" builtinId="8" hidden="1"/>
    <cellStyle name="Hyperlink" xfId="1922" builtinId="8" hidden="1"/>
    <cellStyle name="Hyperlink" xfId="2236" builtinId="8" hidden="1"/>
    <cellStyle name="Hyperlink" xfId="2238" builtinId="8" hidden="1"/>
    <cellStyle name="Hyperlink" xfId="2244" builtinId="8" hidden="1"/>
    <cellStyle name="Hyperlink" xfId="2246" builtinId="8" hidden="1"/>
    <cellStyle name="Hyperlink" xfId="2250" builtinId="8" hidden="1"/>
    <cellStyle name="Hyperlink" xfId="2254" builtinId="8" hidden="1"/>
    <cellStyle name="Hyperlink" xfId="2258" builtinId="8" hidden="1"/>
    <cellStyle name="Hyperlink" xfId="2260" builtinId="8" hidden="1"/>
    <cellStyle name="Hyperlink" xfId="2266" builtinId="8" hidden="1"/>
    <cellStyle name="Hyperlink" xfId="2268" builtinId="8" hidden="1"/>
    <cellStyle name="Hyperlink" xfId="2270" builtinId="8" hidden="1"/>
    <cellStyle name="Hyperlink" xfId="1964" builtinId="8" hidden="1"/>
    <cellStyle name="Hyperlink" xfId="2272" builtinId="8" hidden="1"/>
    <cellStyle name="Hyperlink" xfId="2276" builtinId="8" hidden="1"/>
    <cellStyle name="Hyperlink" xfId="2280" builtinId="8" hidden="1"/>
    <cellStyle name="Hyperlink" xfId="2284" builtinId="8" hidden="1"/>
    <cellStyle name="Hyperlink" xfId="2286" builtinId="8" hidden="1"/>
    <cellStyle name="Hyperlink" xfId="2292" builtinId="8" hidden="1"/>
    <cellStyle name="Hyperlink" xfId="2294" builtinId="8" hidden="1"/>
    <cellStyle name="Hyperlink" xfId="2296" builtinId="8" hidden="1"/>
    <cellStyle name="Hyperlink" xfId="2302" builtinId="8" hidden="1"/>
    <cellStyle name="Hyperlink" xfId="2304" builtinId="8" hidden="1"/>
    <cellStyle name="Hyperlink" xfId="2306" builtinId="8" hidden="1"/>
    <cellStyle name="Hyperlink" xfId="2290" builtinId="8" hidden="1"/>
    <cellStyle name="Hyperlink" xfId="2282" builtinId="8" hidden="1"/>
    <cellStyle name="Hyperlink" xfId="2274" builtinId="8" hidden="1"/>
    <cellStyle name="Hyperlink" xfId="2264" builtinId="8" hidden="1"/>
    <cellStyle name="Hyperlink" xfId="2256" builtinId="8" hidden="1"/>
    <cellStyle name="Hyperlink" xfId="2248" builtinId="8" hidden="1"/>
    <cellStyle name="Hyperlink" xfId="2177" builtinId="8" hidden="1"/>
    <cellStyle name="Hyperlink" xfId="2229" builtinId="8" hidden="1"/>
    <cellStyle name="Hyperlink" xfId="2221" builtinId="8" hidden="1"/>
    <cellStyle name="Hyperlink" xfId="2204" builtinId="8" hidden="1"/>
    <cellStyle name="Hyperlink" xfId="1880" builtinId="8" hidden="1"/>
    <cellStyle name="Hyperlink" xfId="2192" builtinId="8" hidden="1"/>
    <cellStyle name="Hyperlink" xfId="2174" builtinId="8" hidden="1"/>
    <cellStyle name="Hyperlink" xfId="2166" builtinId="8" hidden="1"/>
    <cellStyle name="Hyperlink" xfId="2157" builtinId="8" hidden="1"/>
    <cellStyle name="Hyperlink" xfId="2145" builtinId="8" hidden="1"/>
    <cellStyle name="Hyperlink" xfId="2137" builtinId="8" hidden="1"/>
    <cellStyle name="Hyperlink" xfId="2127" builtinId="8" hidden="1"/>
    <cellStyle name="Hyperlink" xfId="2040" builtinId="8" hidden="1"/>
    <cellStyle name="Hyperlink" xfId="2106" builtinId="8" hidden="1"/>
    <cellStyle name="Hyperlink" xfId="2098" builtinId="8" hidden="1"/>
    <cellStyle name="Hyperlink" xfId="2079" builtinId="8" hidden="1"/>
    <cellStyle name="Hyperlink" xfId="2013" builtinId="8" hidden="1"/>
    <cellStyle name="Hyperlink" xfId="2067" builtinId="8" hidden="1"/>
    <cellStyle name="Hyperlink" xfId="2049" builtinId="8" hidden="1"/>
    <cellStyle name="Hyperlink" xfId="2041" builtinId="8" hidden="1"/>
    <cellStyle name="Hyperlink" xfId="1760" builtinId="8" hidden="1"/>
    <cellStyle name="Hyperlink" xfId="2020" builtinId="8" hidden="1"/>
    <cellStyle name="Hyperlink" xfId="2010" builtinId="8" hidden="1"/>
    <cellStyle name="Hyperlink" xfId="2002" builtinId="8" hidden="1"/>
    <cellStyle name="Hyperlink" xfId="1989" builtinId="8" hidden="1"/>
    <cellStyle name="Hyperlink" xfId="1981" builtinId="8" hidden="1"/>
    <cellStyle name="Hyperlink" xfId="1973" builtinId="8" hidden="1"/>
    <cellStyle name="Hyperlink" xfId="1953" builtinId="8" hidden="1"/>
    <cellStyle name="Hyperlink" xfId="1873" builtinId="8" hidden="1"/>
    <cellStyle name="Hyperlink" xfId="1941" builtinId="8" hidden="1"/>
    <cellStyle name="Hyperlink" xfId="1923" builtinId="8" hidden="1"/>
    <cellStyle name="Hyperlink" xfId="1913" builtinId="8" hidden="1"/>
    <cellStyle name="Hyperlink" xfId="1846" builtinId="8" hidden="1"/>
    <cellStyle name="Hyperlink" xfId="1893" builtinId="8" hidden="1"/>
    <cellStyle name="Hyperlink" xfId="1883" builtinId="8" hidden="1"/>
    <cellStyle name="Hyperlink" xfId="1874" builtinId="8" hidden="1"/>
    <cellStyle name="Hyperlink" xfId="1861" builtinId="8" hidden="1"/>
    <cellStyle name="Hyperlink" xfId="1853" builtinId="8" hidden="1"/>
    <cellStyle name="Hyperlink" xfId="1843" builtinId="8" hidden="1"/>
    <cellStyle name="Hyperlink" xfId="1825" builtinId="8" hidden="1"/>
    <cellStyle name="Hyperlink" xfId="1816" builtinId="8" hidden="1"/>
    <cellStyle name="Hyperlink" xfId="1808" builtinId="8" hidden="1"/>
    <cellStyle name="Hyperlink" xfId="1789" builtinId="8" hidden="1"/>
    <cellStyle name="Hyperlink" xfId="1780" builtinId="8" hidden="1"/>
    <cellStyle name="Hyperlink" xfId="1761" builtinId="8" hidden="1"/>
    <cellStyle name="Hyperlink" xfId="1742" builtinId="8" hidden="1"/>
    <cellStyle name="Hyperlink" xfId="1732" builtinId="8" hidden="1"/>
    <cellStyle name="Hyperlink" xfId="1724" builtinId="8" hidden="1"/>
    <cellStyle name="Hyperlink" xfId="1708" builtinId="8" hidden="1"/>
    <cellStyle name="Hyperlink" xfId="1394" builtinId="8" hidden="1"/>
    <cellStyle name="Hyperlink" xfId="1698" builtinId="8" hidden="1"/>
    <cellStyle name="Hyperlink" xfId="1682" builtinId="8" hidden="1"/>
    <cellStyle name="Hyperlink" xfId="1674" builtinId="8" hidden="1"/>
    <cellStyle name="Hyperlink" xfId="1666" builtinId="8" hidden="1"/>
    <cellStyle name="Hyperlink" xfId="1655" builtinId="8" hidden="1"/>
    <cellStyle name="Hyperlink" xfId="1647" builtinId="8" hidden="1"/>
    <cellStyle name="Hyperlink" xfId="1638" builtinId="8" hidden="1"/>
    <cellStyle name="Hyperlink" xfId="1552" builtinId="8" hidden="1"/>
    <cellStyle name="Hyperlink" xfId="1618" builtinId="8" hidden="1"/>
    <cellStyle name="Hyperlink" xfId="1610" builtinId="8" hidden="1"/>
    <cellStyle name="Hyperlink" xfId="1591" builtinId="8" hidden="1"/>
    <cellStyle name="Hyperlink" xfId="1525" builtinId="8" hidden="1"/>
    <cellStyle name="Hyperlink" xfId="1579" builtinId="8" hidden="1"/>
    <cellStyle name="Hyperlink" xfId="1561" builtinId="8" hidden="1"/>
    <cellStyle name="Hyperlink" xfId="1553" builtinId="8" hidden="1"/>
    <cellStyle name="Hyperlink" xfId="1248" builtinId="8" hidden="1"/>
    <cellStyle name="Hyperlink" xfId="1532" builtinId="8" hidden="1"/>
    <cellStyle name="Hyperlink" xfId="1522" builtinId="8" hidden="1"/>
    <cellStyle name="Hyperlink" xfId="1514" builtinId="8" hidden="1"/>
    <cellStyle name="Hyperlink" xfId="1501" builtinId="8" hidden="1"/>
    <cellStyle name="Hyperlink" xfId="1493" builtinId="8" hidden="1"/>
    <cellStyle name="Hyperlink" xfId="1485" builtinId="8" hidden="1"/>
    <cellStyle name="Hyperlink" xfId="1466" builtinId="8" hidden="1"/>
    <cellStyle name="Hyperlink" xfId="1387" builtinId="8" hidden="1"/>
    <cellStyle name="Hyperlink" xfId="1454" builtinId="8" hidden="1"/>
    <cellStyle name="Hyperlink" xfId="1436" builtinId="8" hidden="1"/>
    <cellStyle name="Hyperlink" xfId="1427" builtinId="8" hidden="1"/>
    <cellStyle name="Hyperlink" xfId="1360" builtinId="8" hidden="1"/>
    <cellStyle name="Hyperlink" xfId="1407" builtinId="8" hidden="1"/>
    <cellStyle name="Hyperlink" xfId="1397" builtinId="8" hidden="1"/>
    <cellStyle name="Hyperlink" xfId="1388" builtinId="8" hidden="1"/>
    <cellStyle name="Hyperlink" xfId="1375" builtinId="8" hidden="1"/>
    <cellStyle name="Hyperlink" xfId="1367" builtinId="8" hidden="1"/>
    <cellStyle name="Hyperlink" xfId="1357" builtinId="8" hidden="1"/>
    <cellStyle name="Hyperlink" xfId="1339" builtinId="8" hidden="1"/>
    <cellStyle name="Hyperlink" xfId="1335" builtinId="8" hidden="1"/>
    <cellStyle name="Hyperlink" xfId="1327" builtinId="8" hidden="1"/>
    <cellStyle name="Hyperlink" xfId="1308" builtinId="8" hidden="1"/>
    <cellStyle name="Hyperlink" xfId="1299" builtinId="8" hidden="1"/>
    <cellStyle name="Hyperlink" xfId="1249" builtinId="8" hidden="1"/>
    <cellStyle name="Hyperlink" xfId="1279" builtinId="8" hidden="1"/>
    <cellStyle name="Hyperlink" xfId="1269" builtinId="8" hidden="1"/>
    <cellStyle name="Hyperlink" xfId="1259" builtinId="8" hidden="1"/>
    <cellStyle name="Hyperlink" xfId="1242" builtinId="8" hidden="1"/>
    <cellStyle name="Hyperlink" xfId="1234" builtinId="8" hidden="1"/>
    <cellStyle name="Hyperlink" xfId="1224" builtinId="8" hidden="1"/>
    <cellStyle name="Hyperlink" xfId="1195" builtinId="8" hidden="1"/>
    <cellStyle name="Hyperlink" xfId="1184" builtinId="8" hidden="1"/>
    <cellStyle name="Hyperlink" xfId="1176" builtinId="8" hidden="1"/>
    <cellStyle name="Hyperlink" xfId="1158" builtinId="8" hidden="1"/>
    <cellStyle name="Hyperlink" xfId="1150" builtinId="8" hidden="1"/>
    <cellStyle name="Hyperlink" xfId="1142" builtinId="8" hidden="1"/>
    <cellStyle name="Hyperlink" xfId="1063" builtinId="8" hidden="1"/>
    <cellStyle name="Hyperlink" xfId="1124" builtinId="8" hidden="1"/>
    <cellStyle name="Hyperlink" xfId="1116" builtinId="8" hidden="1"/>
    <cellStyle name="Hyperlink" xfId="1100" builtinId="8" hidden="1"/>
    <cellStyle name="Hyperlink" xfId="1037" builtinId="8" hidden="1"/>
    <cellStyle name="Hyperlink" xfId="1089" builtinId="8" hidden="1"/>
    <cellStyle name="Hyperlink" xfId="1072" builtinId="8" hidden="1"/>
    <cellStyle name="Hyperlink" xfId="1064" builtinId="8" hidden="1"/>
    <cellStyle name="Hyperlink" xfId="740" builtinId="8" hidden="1"/>
    <cellStyle name="Hyperlink" xfId="1044" builtinId="8" hidden="1"/>
    <cellStyle name="Hyperlink" xfId="1034" builtinId="8" hidden="1"/>
    <cellStyle name="Hyperlink" xfId="1026" builtinId="8" hidden="1"/>
    <cellStyle name="Hyperlink" xfId="1013" builtinId="8" hidden="1"/>
    <cellStyle name="Hyperlink" xfId="1005" builtinId="8" hidden="1"/>
    <cellStyle name="Hyperlink" xfId="997" builtinId="8" hidden="1"/>
    <cellStyle name="Hyperlink" xfId="978" builtinId="8" hidden="1"/>
    <cellStyle name="Hyperlink" xfId="900" builtinId="8" hidden="1"/>
    <cellStyle name="Hyperlink" xfId="966" builtinId="8" hidden="1"/>
    <cellStyle name="Hyperlink" xfId="948" builtinId="8" hidden="1"/>
    <cellStyle name="Hyperlink" xfId="939" builtinId="8" hidden="1"/>
    <cellStyle name="Hyperlink" xfId="873" builtinId="8" hidden="1"/>
    <cellStyle name="Hyperlink" xfId="919" builtinId="8" hidden="1"/>
    <cellStyle name="Hyperlink" xfId="909" builtinId="8" hidden="1"/>
    <cellStyle name="Hyperlink" xfId="901" builtinId="8" hidden="1"/>
    <cellStyle name="Hyperlink" xfId="888" builtinId="8" hidden="1"/>
    <cellStyle name="Hyperlink" xfId="880" builtinId="8" hidden="1"/>
    <cellStyle name="Hyperlink" xfId="870" builtinId="8" hidden="1"/>
    <cellStyle name="Hyperlink" xfId="853" builtinId="8" hidden="1"/>
    <cellStyle name="Hyperlink" xfId="849" builtinId="8" hidden="1"/>
    <cellStyle name="Hyperlink" xfId="383" builtinId="8" hidden="1"/>
    <cellStyle name="Hyperlink" xfId="387" builtinId="8" hidden="1"/>
    <cellStyle name="Hyperlink" xfId="389" builtinId="8" hidden="1"/>
    <cellStyle name="Hyperlink" xfId="391" builtinId="8" hidden="1"/>
    <cellStyle name="Hyperlink" xfId="397" builtinId="8" hidden="1"/>
    <cellStyle name="Hyperlink" xfId="323" builtinId="8" hidden="1"/>
    <cellStyle name="Hyperlink" xfId="337" builtinId="8" hidden="1"/>
    <cellStyle name="Hyperlink" xfId="401" builtinId="8" hidden="1"/>
    <cellStyle name="Hyperlink" xfId="403" builtinId="8" hidden="1"/>
    <cellStyle name="Hyperlink" xfId="405" builtinId="8" hidden="1"/>
    <cellStyle name="Hyperlink" xfId="412" builtinId="8" hidden="1"/>
    <cellStyle name="Hyperlink" xfId="414" builtinId="8" hidden="1"/>
    <cellStyle name="Hyperlink" xfId="416" builtinId="8" hidden="1"/>
    <cellStyle name="Hyperlink" xfId="423" builtinId="8" hidden="1"/>
    <cellStyle name="Hyperlink" xfId="425" builtinId="8" hidden="1"/>
    <cellStyle name="Hyperlink" xfId="429" builtinId="8" hidden="1"/>
    <cellStyle name="Hyperlink" xfId="433" builtinId="8" hidden="1"/>
    <cellStyle name="Hyperlink" xfId="435" builtinId="8" hidden="1"/>
    <cellStyle name="Hyperlink" xfId="437" builtinId="8" hidden="1"/>
    <cellStyle name="Hyperlink" xfId="365" builtinId="8" hidden="1"/>
    <cellStyle name="Hyperlink" xfId="116" builtinId="8" hidden="1"/>
    <cellStyle name="Hyperlink" xfId="443" builtinId="8" hidden="1"/>
    <cellStyle name="Hyperlink" xfId="447" builtinId="8" hidden="1"/>
    <cellStyle name="Hyperlink" xfId="450" builtinId="8" hidden="1"/>
    <cellStyle name="Hyperlink" xfId="452" builtinId="8" hidden="1"/>
    <cellStyle name="Hyperlink" xfId="458" builtinId="8" hidden="1"/>
    <cellStyle name="Hyperlink" xfId="460" builtinId="8" hidden="1"/>
    <cellStyle name="Hyperlink" xfId="465" builtinId="8" hidden="1"/>
    <cellStyle name="Hyperlink" xfId="469" builtinId="8" hidden="1"/>
    <cellStyle name="Hyperlink" xfId="471" builtinId="8" hidden="1"/>
    <cellStyle name="Hyperlink" xfId="473" builtinId="8" hidden="1"/>
    <cellStyle name="Hyperlink" xfId="479" builtinId="8" hidden="1"/>
    <cellStyle name="Hyperlink" xfId="481" builtinId="8" hidden="1"/>
    <cellStyle name="Hyperlink" xfId="407" builtinId="8" hidden="1"/>
    <cellStyle name="Hyperlink" xfId="159" builtinId="8" hidden="1"/>
    <cellStyle name="Hyperlink" xfId="484" builtinId="8" hidden="1"/>
    <cellStyle name="Hyperlink" xfId="488" builtinId="8" hidden="1"/>
    <cellStyle name="Hyperlink" xfId="493" builtinId="8" hidden="1"/>
    <cellStyle name="Hyperlink" xfId="495" builtinId="8" hidden="1"/>
    <cellStyle name="Hyperlink" xfId="497" builtinId="8" hidden="1"/>
    <cellStyle name="Hyperlink" xfId="501" builtinId="8" hidden="1"/>
    <cellStyle name="Hyperlink" xfId="507" builtinId="8" hidden="1"/>
    <cellStyle name="Hyperlink" xfId="509" builtinId="8" hidden="1"/>
    <cellStyle name="Hyperlink" xfId="513" builtinId="8" hidden="1"/>
    <cellStyle name="Hyperlink" xfId="515" builtinId="8" hidden="1"/>
    <cellStyle name="Hyperlink" xfId="517" builtinId="8" hidden="1"/>
    <cellStyle name="Hyperlink" xfId="449" builtinId="8" hidden="1"/>
    <cellStyle name="Hyperlink" xfId="463" builtinId="8" hidden="1"/>
    <cellStyle name="Hyperlink" xfId="202" builtinId="8" hidden="1"/>
    <cellStyle name="Hyperlink" xfId="526" builtinId="8" hidden="1"/>
    <cellStyle name="Hyperlink" xfId="528" builtinId="8" hidden="1"/>
    <cellStyle name="Hyperlink" xfId="530" builtinId="8" hidden="1"/>
    <cellStyle name="Hyperlink" xfId="536" builtinId="8" hidden="1"/>
    <cellStyle name="Hyperlink" xfId="538" builtinId="8" hidden="1"/>
    <cellStyle name="Hyperlink" xfId="540" builtinId="8" hidden="1"/>
    <cellStyle name="Hyperlink" xfId="545" builtinId="8" hidden="1"/>
    <cellStyle name="Hyperlink" xfId="547" builtinId="8" hidden="1"/>
    <cellStyle name="Hyperlink" xfId="551" builtinId="8" hidden="1"/>
    <cellStyle name="Hyperlink" xfId="555" builtinId="8" hidden="1"/>
    <cellStyle name="Hyperlink" xfId="557" builtinId="8" hidden="1"/>
    <cellStyle name="Hyperlink" xfId="559" builtinId="8" hidden="1"/>
    <cellStyle name="Hyperlink" xfId="503" builtinId="8" hidden="1"/>
    <cellStyle name="Hyperlink" xfId="561" builtinId="8" hidden="1"/>
    <cellStyle name="Hyperlink" xfId="563" builtinId="8" hidden="1"/>
    <cellStyle name="Hyperlink" xfId="567" builtinId="8" hidden="1"/>
    <cellStyle name="Hyperlink" xfId="569" builtinId="8" hidden="1"/>
    <cellStyle name="Hyperlink" xfId="571" builtinId="8" hidden="1"/>
    <cellStyle name="Hyperlink" xfId="577" builtinId="8" hidden="1"/>
    <cellStyle name="Hyperlink" xfId="579" builtinId="8" hidden="1"/>
    <cellStyle name="Hyperlink" xfId="581" builtinId="8" hidden="1"/>
    <cellStyle name="Hyperlink" xfId="585" builtinId="8" hidden="1"/>
    <cellStyle name="Hyperlink" xfId="587" builtinId="8" hidden="1"/>
    <cellStyle name="Hyperlink" xfId="589" builtinId="8" hidden="1"/>
    <cellStyle name="Hyperlink" xfId="595" builtinId="8" hidden="1"/>
    <cellStyle name="Hyperlink" xfId="600" builtinId="8" hidden="1"/>
    <cellStyle name="Hyperlink" xfId="602" builtinId="8" hidden="1"/>
    <cellStyle name="Hyperlink" xfId="606" builtinId="8" hidden="1"/>
    <cellStyle name="Hyperlink" xfId="608" builtinId="8" hidden="1"/>
    <cellStyle name="Hyperlink" xfId="612" builtinId="8" hidden="1"/>
    <cellStyle name="Hyperlink" xfId="616" builtinId="8" hidden="1"/>
    <cellStyle name="Hyperlink" xfId="621" builtinId="8" hidden="1"/>
    <cellStyle name="Hyperlink" xfId="623" builtinId="8" hidden="1"/>
    <cellStyle name="Hyperlink" xfId="638" builtinId="8" hidden="1"/>
    <cellStyle name="Hyperlink" xfId="642" builtinId="8" hidden="1"/>
    <cellStyle name="Hyperlink" xfId="645" builtinId="8" hidden="1"/>
    <cellStyle name="Hyperlink" xfId="649" builtinId="8" hidden="1"/>
    <cellStyle name="Hyperlink" xfId="652" builtinId="8" hidden="1"/>
    <cellStyle name="Hyperlink" xfId="654" builtinId="8" hidden="1"/>
    <cellStyle name="Hyperlink" xfId="662" builtinId="8" hidden="1"/>
    <cellStyle name="Hyperlink" xfId="664" builtinId="8" hidden="1"/>
    <cellStyle name="Hyperlink" xfId="666" builtinId="8" hidden="1"/>
    <cellStyle name="Hyperlink" xfId="670" builtinId="8" hidden="1"/>
    <cellStyle name="Hyperlink" xfId="672" builtinId="8" hidden="1"/>
    <cellStyle name="Hyperlink" xfId="674" builtinId="8" hidden="1"/>
    <cellStyle name="Hyperlink" xfId="627" builtinId="8" hidden="1"/>
    <cellStyle name="Hyperlink" xfId="629" builtinId="8" hidden="1"/>
    <cellStyle name="Hyperlink" xfId="685" builtinId="8" hidden="1"/>
    <cellStyle name="Hyperlink" xfId="689" builtinId="8" hidden="1"/>
    <cellStyle name="Hyperlink" xfId="692" builtinId="8" hidden="1"/>
    <cellStyle name="Hyperlink" xfId="696" builtinId="8" hidden="1"/>
    <cellStyle name="Hyperlink" xfId="701" builtinId="8" hidden="1"/>
    <cellStyle name="Hyperlink" xfId="703" builtinId="8" hidden="1"/>
    <cellStyle name="Hyperlink" xfId="707" builtinId="8" hidden="1"/>
    <cellStyle name="Hyperlink" xfId="711" builtinId="8" hidden="1"/>
    <cellStyle name="Hyperlink" xfId="715" builtinId="8" hidden="1"/>
    <cellStyle name="Hyperlink" xfId="717" builtinId="8" hidden="1"/>
    <cellStyle name="Hyperlink" xfId="721" builtinId="8" hidden="1"/>
    <cellStyle name="Hyperlink" xfId="723" builtinId="8" hidden="1"/>
    <cellStyle name="Hyperlink" xfId="679" builtinId="8" hidden="1"/>
    <cellStyle name="Hyperlink" xfId="727" builtinId="8" hidden="1"/>
    <cellStyle name="Hyperlink" xfId="729" builtinId="8" hidden="1"/>
    <cellStyle name="Hyperlink" xfId="731" builtinId="8" hidden="1"/>
    <cellStyle name="Hyperlink" xfId="736" builtinId="8" hidden="1"/>
    <cellStyle name="Hyperlink" xfId="738" builtinId="8" hidden="1"/>
    <cellStyle name="Hyperlink" xfId="741" builtinId="8" hidden="1"/>
    <cellStyle name="Hyperlink" xfId="749" builtinId="8" hidden="1"/>
    <cellStyle name="Hyperlink" xfId="751" builtinId="8" hidden="1"/>
    <cellStyle name="Hyperlink" xfId="753" builtinId="8" hidden="1"/>
    <cellStyle name="Hyperlink" xfId="757" builtinId="8" hidden="1"/>
    <cellStyle name="Hyperlink" xfId="759" builtinId="8" hidden="1"/>
    <cellStyle name="Hyperlink" xfId="763" builtinId="8" hidden="1"/>
    <cellStyle name="Hyperlink" xfId="691" builtinId="8" hidden="1"/>
    <cellStyle name="Hyperlink" xfId="706" builtinId="8" hidden="1"/>
    <cellStyle name="Hyperlink" xfId="681" builtinId="8" hidden="1"/>
    <cellStyle name="Hyperlink" xfId="771" builtinId="8" hidden="1"/>
    <cellStyle name="Hyperlink" xfId="776" builtinId="8" hidden="1"/>
    <cellStyle name="Hyperlink" xfId="778" builtinId="8" hidden="1"/>
    <cellStyle name="Hyperlink" xfId="783" builtinId="8" hidden="1"/>
    <cellStyle name="Hyperlink" xfId="785" builtinId="8" hidden="1"/>
    <cellStyle name="Hyperlink" xfId="787" builtinId="8" hidden="1"/>
    <cellStyle name="Hyperlink" xfId="795" builtinId="8" hidden="1"/>
    <cellStyle name="Hyperlink" xfId="797" builtinId="8" hidden="1"/>
    <cellStyle name="Hyperlink" xfId="799" builtinId="8" hidden="1"/>
    <cellStyle name="Hyperlink" xfId="803" builtinId="8" hidden="1"/>
    <cellStyle name="Hyperlink" xfId="805" builtinId="8" hidden="1"/>
    <cellStyle name="Hyperlink" xfId="807" builtinId="8" hidden="1"/>
    <cellStyle name="Hyperlink" xfId="636" builtinId="8" hidden="1"/>
    <cellStyle name="Hyperlink" xfId="811" builtinId="8" hidden="1"/>
    <cellStyle name="Hyperlink" xfId="813" builtinId="8" hidden="1"/>
    <cellStyle name="Hyperlink" xfId="818" builtinId="8" hidden="1"/>
    <cellStyle name="Hyperlink" xfId="820" builtinId="8" hidden="1"/>
    <cellStyle name="Hyperlink" xfId="825" builtinId="8" hidden="1"/>
    <cellStyle name="Hyperlink" xfId="829" builtinId="8" hidden="1"/>
    <cellStyle name="Hyperlink" xfId="833" builtinId="8" hidden="1"/>
    <cellStyle name="Hyperlink" xfId="835" builtinId="8" hidden="1"/>
    <cellStyle name="Hyperlink" xfId="839" builtinId="8" hidden="1"/>
    <cellStyle name="Hyperlink" xfId="843" builtinId="8" hidden="1"/>
    <cellStyle name="Hyperlink" xfId="845" builtinId="8" hidden="1"/>
    <cellStyle name="Hyperlink" xfId="822" builtinId="8" hidden="1"/>
    <cellStyle name="Hyperlink" xfId="733" builtinId="8" hidden="1"/>
    <cellStyle name="Hyperlink" xfId="793" builtinId="8" hidden="1"/>
    <cellStyle name="Hyperlink" xfId="761" builtinId="8" hidden="1"/>
    <cellStyle name="Hyperlink" xfId="743" builtinId="8" hidden="1"/>
    <cellStyle name="Hyperlink" xfId="682" builtinId="8" hidden="1"/>
    <cellStyle name="Hyperlink" xfId="694" builtinId="8" hidden="1"/>
    <cellStyle name="Hyperlink" xfId="676" builtinId="8" hidden="1"/>
    <cellStyle name="Hyperlink" xfId="660" builtinId="8" hidden="1"/>
    <cellStyle name="Hyperlink" xfId="610" builtinId="8" hidden="1"/>
    <cellStyle name="Hyperlink" xfId="591" builtinId="8" hidden="1"/>
    <cellStyle name="Hyperlink" xfId="575" builtinId="8" hidden="1"/>
    <cellStyle name="Hyperlink" xfId="549" builtinId="8" hidden="1"/>
    <cellStyle name="Hyperlink" xfId="532" builtinId="8" hidden="1"/>
    <cellStyle name="Hyperlink" xfId="521" builtinId="8" hidden="1"/>
    <cellStyle name="Hyperlink" xfId="486" builtinId="8" hidden="1"/>
    <cellStyle name="Hyperlink" xfId="475" builtinId="8" hidden="1"/>
    <cellStyle name="Hyperlink" xfId="456" builtinId="8" hidden="1"/>
    <cellStyle name="Hyperlink" xfId="427" builtinId="8" hidden="1"/>
    <cellStyle name="Hyperlink" xfId="408" builtinId="8" hidden="1"/>
    <cellStyle name="Hyperlink" xfId="395" builtinId="8" hidden="1"/>
    <cellStyle name="Hyperlink" xfId="200" builtinId="8" hidden="1"/>
    <cellStyle name="Hyperlink" xfId="203" builtinId="8" hidden="1"/>
    <cellStyle name="Hyperlink" xfId="205" builtinId="8" hidden="1"/>
    <cellStyle name="Hyperlink" xfId="212" builtinId="8" hidden="1"/>
    <cellStyle name="Hyperlink" xfId="214" builtinId="8" hidden="1"/>
    <cellStyle name="Hyperlink" xfId="216" builtinId="8" hidden="1"/>
    <cellStyle name="Hyperlink" xfId="220" builtinId="8" hidden="1"/>
    <cellStyle name="Hyperlink" xfId="222" builtinId="8" hidden="1"/>
    <cellStyle name="Hyperlink" xfId="224" builtinId="8" hidden="1"/>
    <cellStyle name="Hyperlink" xfId="228" builtinId="8" hidden="1"/>
    <cellStyle name="Hyperlink" xfId="152" builtinId="8" hidden="1"/>
    <cellStyle name="Hyperlink" xfId="167" builtinId="8" hidden="1"/>
    <cellStyle name="Hyperlink" xfId="234" builtinId="8" hidden="1"/>
    <cellStyle name="Hyperlink" xfId="236" builtinId="8" hidden="1"/>
    <cellStyle name="Hyperlink" xfId="239" builtinId="8" hidden="1"/>
    <cellStyle name="Hyperlink" xfId="243" builtinId="8" hidden="1"/>
    <cellStyle name="Hyperlink" xfId="246" builtinId="8" hidden="1"/>
    <cellStyle name="Hyperlink" xfId="248" builtinId="8" hidden="1"/>
    <cellStyle name="Hyperlink" xfId="255" builtinId="8" hidden="1"/>
    <cellStyle name="Hyperlink" xfId="257" builtinId="8" hidden="1"/>
    <cellStyle name="Hyperlink" xfId="259" builtinId="8" hidden="1"/>
    <cellStyle name="Hyperlink" xfId="263" builtinId="8" hidden="1"/>
    <cellStyle name="Hyperlink" xfId="265" builtinId="8" hidden="1"/>
    <cellStyle name="Hyperlink" xfId="269" builtinId="8" hidden="1"/>
    <cellStyle name="Hyperlink" xfId="195" builtinId="8" hidden="1"/>
    <cellStyle name="Hyperlink" xfId="210" builtinId="8" hidden="1"/>
    <cellStyle name="Hyperlink" xfId="54" builtinId="8" hidden="1"/>
    <cellStyle name="Hyperlink" xfId="277" builtinId="8" hidden="1"/>
    <cellStyle name="Hyperlink" xfId="279" builtinId="8" hidden="1"/>
    <cellStyle name="Hyperlink" xfId="282" builtinId="8" hidden="1"/>
    <cellStyle name="Hyperlink" xfId="286" builtinId="8" hidden="1"/>
    <cellStyle name="Hyperlink" xfId="288" builtinId="8" hidden="1"/>
    <cellStyle name="Hyperlink" xfId="290" builtinId="8" hidden="1"/>
    <cellStyle name="Hyperlink" xfId="297" builtinId="8" hidden="1"/>
    <cellStyle name="Hyperlink" xfId="301" builtinId="8" hidden="1"/>
    <cellStyle name="Hyperlink" xfId="303" builtinId="8" hidden="1"/>
    <cellStyle name="Hyperlink" xfId="307" builtinId="8" hidden="1"/>
    <cellStyle name="Hyperlink" xfId="309" builtinId="8" hidden="1"/>
    <cellStyle name="Hyperlink" xfId="311" builtinId="8" hidden="1"/>
    <cellStyle name="Hyperlink" xfId="238" builtinId="8" hidden="1"/>
    <cellStyle name="Hyperlink" xfId="253" builtinId="8" hidden="1"/>
    <cellStyle name="Hyperlink" xfId="35" builtinId="8" hidden="1"/>
    <cellStyle name="Hyperlink" xfId="319" builtinId="8" hidden="1"/>
    <cellStyle name="Hyperlink" xfId="321" builtinId="8" hidden="1"/>
    <cellStyle name="Hyperlink" xfId="324" builtinId="8" hidden="1"/>
    <cellStyle name="Hyperlink" xfId="330" builtinId="8" hidden="1"/>
    <cellStyle name="Hyperlink" xfId="332" builtinId="8" hidden="1"/>
    <cellStyle name="Hyperlink" xfId="334" builtinId="8" hidden="1"/>
    <cellStyle name="Hyperlink" xfId="341" builtinId="8" hidden="1"/>
    <cellStyle name="Hyperlink" xfId="343" builtinId="8" hidden="1"/>
    <cellStyle name="Hyperlink" xfId="345" builtinId="8" hidden="1"/>
    <cellStyle name="Hyperlink" xfId="349" builtinId="8" hidden="1"/>
    <cellStyle name="Hyperlink" xfId="351" builtinId="8" hidden="1"/>
    <cellStyle name="Hyperlink" xfId="353" builtinId="8" hidden="1"/>
    <cellStyle name="Hyperlink" xfId="281" builtinId="8" hidden="1"/>
    <cellStyle name="Hyperlink" xfId="295" builtinId="8" hidden="1"/>
    <cellStyle name="Hyperlink" xfId="48" builtinId="8" hidden="1"/>
    <cellStyle name="Hyperlink" xfId="363" builtinId="8" hidden="1"/>
    <cellStyle name="Hyperlink" xfId="366" builtinId="8" hidden="1"/>
    <cellStyle name="Hyperlink" xfId="368" builtinId="8" hidden="1"/>
    <cellStyle name="Hyperlink" xfId="372" builtinId="8" hidden="1"/>
    <cellStyle name="Hyperlink" xfId="374" builtinId="8" hidden="1"/>
    <cellStyle name="Hyperlink" xfId="376" builtinId="8" hidden="1"/>
    <cellStyle name="Hyperlink" xfId="359" builtinId="8" hidden="1"/>
    <cellStyle name="Hyperlink" xfId="328" builtinId="8" hidden="1"/>
    <cellStyle name="Hyperlink" xfId="299" builtinId="8" hidden="1"/>
    <cellStyle name="Hyperlink" xfId="53" builtinId="8" hidden="1"/>
    <cellStyle name="Hyperlink" xfId="198" builtinId="8" hidden="1"/>
    <cellStyle name="Hyperlink" xfId="114" builtinId="8" hidden="1"/>
    <cellStyle name="Hyperlink" xfId="119" builtinId="8" hidden="1"/>
    <cellStyle name="Hyperlink" xfId="121" builtinId="8" hidden="1"/>
    <cellStyle name="Hyperlink" xfId="126" builtinId="8" hidden="1"/>
    <cellStyle name="Hyperlink" xfId="130" builtinId="8" hidden="1"/>
    <cellStyle name="Hyperlink" xfId="132" builtinId="8" hidden="1"/>
    <cellStyle name="Hyperlink" xfId="134" builtinId="8" hidden="1"/>
    <cellStyle name="Hyperlink" xfId="138" builtinId="8" hidden="1"/>
    <cellStyle name="Hyperlink" xfId="140" builtinId="8" hidden="1"/>
    <cellStyle name="Hyperlink" xfId="142" builtinId="8" hidden="1"/>
    <cellStyle name="Hyperlink" xfId="49" builtinId="8" hidden="1"/>
    <cellStyle name="Hyperlink" xfId="100" builtinId="8" hidden="1"/>
    <cellStyle name="Hyperlink" xfId="146" builtinId="8" hidden="1"/>
    <cellStyle name="Hyperlink" xfId="150" builtinId="8" hidden="1"/>
    <cellStyle name="Hyperlink" xfId="153" builtinId="8" hidden="1"/>
    <cellStyle name="Hyperlink" xfId="155" builtinId="8" hidden="1"/>
    <cellStyle name="Hyperlink" xfId="160" builtinId="8" hidden="1"/>
    <cellStyle name="Hyperlink" xfId="162" builtinId="8" hidden="1"/>
    <cellStyle name="Hyperlink" xfId="164" builtinId="8" hidden="1"/>
    <cellStyle name="Hyperlink" xfId="173" builtinId="8" hidden="1"/>
    <cellStyle name="Hyperlink" xfId="175" builtinId="8" hidden="1"/>
    <cellStyle name="Hyperlink" xfId="177" builtinId="8" hidden="1"/>
    <cellStyle name="Hyperlink" xfId="181" builtinId="8" hidden="1"/>
    <cellStyle name="Hyperlink" xfId="183" builtinId="8" hidden="1"/>
    <cellStyle name="Hyperlink" xfId="185" builtinId="8" hidden="1"/>
    <cellStyle name="Hyperlink" xfId="124" builtinId="8" hidden="1"/>
    <cellStyle name="Hyperlink" xfId="99" builtinId="8" hidden="1"/>
    <cellStyle name="Hyperlink" xfId="189" builtinId="8" hidden="1"/>
    <cellStyle name="Hyperlink" xfId="193" builtinId="8" hidden="1"/>
    <cellStyle name="Hyperlink" xfId="169" builtinId="8" hidden="1"/>
    <cellStyle name="Hyperlink" xfId="69" builtinId="8" hidden="1"/>
    <cellStyle name="Hyperlink" xfId="73" builtinId="8" hidden="1"/>
    <cellStyle name="Hyperlink" xfId="78" builtinId="8" hidden="1"/>
    <cellStyle name="Hyperlink" xfId="80" builtinId="8" hidden="1"/>
    <cellStyle name="Hyperlink" xfId="84" builtinId="8" hidden="1"/>
    <cellStyle name="Hyperlink" xfId="86" builtinId="8" hidden="1"/>
    <cellStyle name="Hyperlink" xfId="88" builtinId="8" hidden="1"/>
    <cellStyle name="Hyperlink" xfId="92" builtinId="8" hidden="1"/>
    <cellStyle name="Hyperlink" xfId="94" builtinId="8" hidden="1"/>
    <cellStyle name="Hyperlink" xfId="34" builtinId="8" hidden="1"/>
    <cellStyle name="Hyperlink" xfId="103" builtinId="8" hidden="1"/>
    <cellStyle name="Hyperlink" xfId="105" builtinId="8" hidden="1"/>
    <cellStyle name="Hyperlink" xfId="107" builtinId="8" hidden="1"/>
    <cellStyle name="Hyperlink" xfId="112" builtinId="8" hidden="1"/>
    <cellStyle name="Hyperlink" xfId="44" builtinId="8" hidden="1"/>
    <cellStyle name="Hyperlink" xfId="36" builtinId="8" hidden="1"/>
    <cellStyle name="Hyperlink" xfId="40" builtinId="8" hidden="1"/>
    <cellStyle name="Hyperlink" xfId="55" builtinId="8" hidden="1"/>
    <cellStyle name="Hyperlink" xfId="57" builtinId="8" hidden="1"/>
    <cellStyle name="Hyperlink" xfId="62" builtinId="8" hidden="1"/>
    <cellStyle name="Hyperlink" xfId="64" builtinId="8" hidden="1"/>
    <cellStyle name="Hyperlink" xfId="66" builtinId="8" hidden="1"/>
    <cellStyle name="Hyperlink" xfId="23" builtinId="8" hidden="1"/>
    <cellStyle name="Hyperlink" xfId="26" builtinId="8" hidden="1"/>
    <cellStyle name="Hyperlink" xfId="28" builtinId="8" hidden="1"/>
    <cellStyle name="Hyperlink" xfId="16" builtinId="8" hidden="1"/>
    <cellStyle name="Hyperlink" xfId="19" builtinId="8" hidden="1"/>
    <cellStyle name="Hyperlink" xfId="14" builtinId="8" hidden="1"/>
    <cellStyle name="Hyperlink" xfId="12" builtinId="8" hidden="1"/>
    <cellStyle name="Hyperlink" xfId="30" builtinId="8" hidden="1"/>
    <cellStyle name="Hyperlink" xfId="21" builtinId="8" hidden="1"/>
    <cellStyle name="Hyperlink" xfId="59" builtinId="8" hidden="1"/>
    <cellStyle name="Hyperlink" xfId="38" builtinId="8" hidden="1"/>
    <cellStyle name="Hyperlink" xfId="110" builtinId="8" hidden="1"/>
    <cellStyle name="Hyperlink" xfId="46" builtinId="8" hidden="1"/>
    <cellStyle name="Hyperlink" xfId="90" builtinId="8" hidden="1"/>
    <cellStyle name="Hyperlink" xfId="82" builtinId="8" hidden="1"/>
    <cellStyle name="Hyperlink" xfId="71" builtinId="8" hidden="1"/>
    <cellStyle name="Hyperlink" xfId="191" builtinId="8" hidden="1"/>
    <cellStyle name="Hyperlink" xfId="109" builtinId="8" hidden="1"/>
    <cellStyle name="Hyperlink" xfId="179" builtinId="8" hidden="1"/>
    <cellStyle name="Hyperlink" xfId="171" builtinId="8" hidden="1"/>
    <cellStyle name="Hyperlink" xfId="157" builtinId="8" hidden="1"/>
    <cellStyle name="Hyperlink" xfId="148" builtinId="8" hidden="1"/>
    <cellStyle name="Hyperlink" xfId="97" builtinId="8" hidden="1"/>
    <cellStyle name="Hyperlink" xfId="136" builtinId="8" hidden="1"/>
    <cellStyle name="Hyperlink" xfId="128" builtinId="8" hidden="1"/>
    <cellStyle name="Hyperlink" xfId="117" builtinId="8" hidden="1"/>
    <cellStyle name="Hyperlink" xfId="267" builtinId="8" hidden="1"/>
    <cellStyle name="Hyperlink" xfId="381" builtinId="8" hidden="1"/>
    <cellStyle name="Hyperlink" xfId="370" builtinId="8" hidden="1"/>
    <cellStyle name="Hyperlink" xfId="361" builtinId="8" hidden="1"/>
    <cellStyle name="Hyperlink" xfId="355" builtinId="8" hidden="1"/>
    <cellStyle name="Hyperlink" xfId="347" builtinId="8" hidden="1"/>
    <cellStyle name="Hyperlink" xfId="339" builtinId="8" hidden="1"/>
    <cellStyle name="Hyperlink" xfId="326" builtinId="8" hidden="1"/>
    <cellStyle name="Hyperlink" xfId="317" builtinId="8" hidden="1"/>
    <cellStyle name="Hyperlink" xfId="313" builtinId="8" hidden="1"/>
    <cellStyle name="Hyperlink" xfId="305" builtinId="8" hidden="1"/>
    <cellStyle name="Hyperlink" xfId="292" builtinId="8" hidden="1"/>
    <cellStyle name="Hyperlink" xfId="284" builtinId="8" hidden="1"/>
    <cellStyle name="Hyperlink" xfId="275" builtinId="8" hidden="1"/>
    <cellStyle name="Hyperlink" xfId="271" builtinId="8" hidden="1"/>
    <cellStyle name="Hyperlink" xfId="261" builtinId="8" hidden="1"/>
    <cellStyle name="Hyperlink" xfId="250" builtinId="8" hidden="1"/>
    <cellStyle name="Hyperlink" xfId="241" builtinId="8" hidden="1"/>
    <cellStyle name="Hyperlink" xfId="232" builtinId="8" hidden="1"/>
    <cellStyle name="Hyperlink" xfId="226" builtinId="8" hidden="1"/>
    <cellStyle name="Hyperlink" xfId="218" builtinId="8" hidden="1"/>
    <cellStyle name="Hyperlink" xfId="207" builtinId="8" hidden="1"/>
    <cellStyle name="Hyperlink" xfId="196" builtinId="8" hidden="1"/>
    <cellStyle name="Hyperlink" xfId="379" builtinId="8" hidden="1"/>
    <cellStyle name="Hyperlink" xfId="505" builtinId="8" hidden="1"/>
    <cellStyle name="Hyperlink" xfId="245" builtinId="8" hidden="1"/>
    <cellStyle name="Hyperlink" xfId="640" builtinId="8" hidden="1"/>
    <cellStyle name="Hyperlink" xfId="713" builtinId="8" hidden="1"/>
    <cellStyle name="Hyperlink" xfId="773" builtinId="8" hidden="1"/>
    <cellStyle name="Hyperlink" xfId="841" builtinId="8" hidden="1"/>
    <cellStyle name="Hyperlink" xfId="837" builtinId="8" hidden="1"/>
    <cellStyle name="Hyperlink" xfId="827" builtinId="8" hidden="1"/>
    <cellStyle name="Hyperlink" xfId="815" builtinId="8" hidden="1"/>
    <cellStyle name="Hyperlink" xfId="748" builtinId="8" hidden="1"/>
    <cellStyle name="Hyperlink" xfId="801" builtinId="8" hidden="1"/>
    <cellStyle name="Hyperlink" xfId="791" builtinId="8" hidden="1"/>
    <cellStyle name="Hyperlink" xfId="780" builtinId="8" hidden="1"/>
    <cellStyle name="Hyperlink" xfId="769" builtinId="8" hidden="1"/>
    <cellStyle name="Hyperlink" xfId="765" builtinId="8" hidden="1"/>
    <cellStyle name="Hyperlink" xfId="755" builtinId="8" hidden="1"/>
    <cellStyle name="Hyperlink" xfId="745" builtinId="8" hidden="1"/>
    <cellStyle name="Hyperlink" xfId="734" builtinId="8" hidden="1"/>
    <cellStyle name="Hyperlink" xfId="632" builtinId="8" hidden="1"/>
    <cellStyle name="Hyperlink" xfId="719" builtinId="8" hidden="1"/>
    <cellStyle name="Hyperlink" xfId="709" builtinId="8" hidden="1"/>
    <cellStyle name="Hyperlink" xfId="699" builtinId="8" hidden="1"/>
    <cellStyle name="Hyperlink" xfId="687" builtinId="8" hidden="1"/>
    <cellStyle name="Hyperlink" xfId="619" builtinId="8" hidden="1"/>
    <cellStyle name="Hyperlink" xfId="668" builtinId="8" hidden="1"/>
    <cellStyle name="Hyperlink" xfId="656" builtinId="8" hidden="1"/>
    <cellStyle name="Hyperlink" xfId="647" builtinId="8" hidden="1"/>
    <cellStyle name="Hyperlink" xfId="625" builtinId="8" hidden="1"/>
    <cellStyle name="Hyperlink" xfId="614" builtinId="8" hidden="1"/>
    <cellStyle name="Hyperlink" xfId="604" builtinId="8" hidden="1"/>
    <cellStyle name="Hyperlink" xfId="593" builtinId="8" hidden="1"/>
    <cellStyle name="Hyperlink" xfId="583" builtinId="8" hidden="1"/>
    <cellStyle name="Hyperlink" xfId="573" builtinId="8" hidden="1"/>
    <cellStyle name="Hyperlink" xfId="565" builtinId="8" hidden="1"/>
    <cellStyle name="Hyperlink" xfId="490" builtinId="8" hidden="1"/>
    <cellStyle name="Hyperlink" xfId="553" builtinId="8" hidden="1"/>
    <cellStyle name="Hyperlink" xfId="543" builtinId="8" hidden="1"/>
    <cellStyle name="Hyperlink" xfId="534" builtinId="8" hidden="1"/>
    <cellStyle name="Hyperlink" xfId="524" builtinId="8" hidden="1"/>
    <cellStyle name="Hyperlink" xfId="519" builtinId="8" hidden="1"/>
    <cellStyle name="Hyperlink" xfId="511" builtinId="8" hidden="1"/>
    <cellStyle name="Hyperlink" xfId="499" builtinId="8" hidden="1"/>
    <cellStyle name="Hyperlink" xfId="491" builtinId="8" hidden="1"/>
    <cellStyle name="Hyperlink" xfId="421" builtinId="8" hidden="1"/>
    <cellStyle name="Hyperlink" xfId="477" builtinId="8" hidden="1"/>
    <cellStyle name="Hyperlink" xfId="467" builtinId="8" hidden="1"/>
    <cellStyle name="Hyperlink" xfId="454" builtinId="8" hidden="1"/>
    <cellStyle name="Hyperlink" xfId="445" builtinId="8" hidden="1"/>
    <cellStyle name="Hyperlink" xfId="439" builtinId="8" hidden="1"/>
    <cellStyle name="Hyperlink" xfId="431" builtinId="8" hidden="1"/>
    <cellStyle name="Hyperlink" xfId="418" builtinId="8" hidden="1"/>
    <cellStyle name="Hyperlink" xfId="410" builtinId="8" hidden="1"/>
    <cellStyle name="Hyperlink" xfId="96" builtinId="8" hidden="1"/>
    <cellStyle name="Hyperlink" xfId="393" builtinId="8" hidden="1"/>
    <cellStyle name="Hyperlink" xfId="385" builtinId="8" hidden="1"/>
    <cellStyle name="Hyperlink" xfId="862" builtinId="8" hidden="1"/>
    <cellStyle name="Hyperlink" xfId="620" builtinId="8" hidden="1"/>
    <cellStyle name="Hyperlink" xfId="927" builtinId="8" hidden="1"/>
    <cellStyle name="Hyperlink" xfId="958" builtinId="8" hidden="1"/>
    <cellStyle name="Hyperlink" xfId="987" builtinId="8" hidden="1"/>
    <cellStyle name="Hyperlink" xfId="1017" builtinId="8" hidden="1"/>
    <cellStyle name="Hyperlink" xfId="1052" builtinId="8" hidden="1"/>
    <cellStyle name="Hyperlink" xfId="1081" builtinId="8" hidden="1"/>
    <cellStyle name="Hyperlink" xfId="1108" builtinId="8" hidden="1"/>
    <cellStyle name="Hyperlink" xfId="1134" builtinId="8" hidden="1"/>
    <cellStyle name="Hyperlink" xfId="1166" builtinId="8" hidden="1"/>
    <cellStyle name="Hyperlink" xfId="1215" builtinId="8" hidden="1"/>
    <cellStyle name="Hyperlink" xfId="1197" builtinId="8" hidden="1"/>
    <cellStyle name="Hyperlink" xfId="1287" builtinId="8" hidden="1"/>
    <cellStyle name="Hyperlink" xfId="1319" builtinId="8" hidden="1"/>
    <cellStyle name="Hyperlink" xfId="1348" builtinId="8" hidden="1"/>
    <cellStyle name="Hyperlink" xfId="1206" builtinId="8" hidden="1"/>
    <cellStyle name="Hyperlink" xfId="1415" builtinId="8" hidden="1"/>
    <cellStyle name="Hyperlink" xfId="1446" builtinId="8" hidden="1"/>
    <cellStyle name="Hyperlink" xfId="1475" builtinId="8" hidden="1"/>
    <cellStyle name="Hyperlink" xfId="1505" builtinId="8" hidden="1"/>
    <cellStyle name="Hyperlink" xfId="1540" builtinId="8" hidden="1"/>
    <cellStyle name="Hyperlink" xfId="1571" builtinId="8" hidden="1"/>
    <cellStyle name="Hyperlink" xfId="1600" builtinId="8" hidden="1"/>
    <cellStyle name="Hyperlink" xfId="1629" builtinId="8" hidden="1"/>
    <cellStyle name="Hyperlink" xfId="1663" builtinId="8" hidden="1"/>
    <cellStyle name="Hyperlink" xfId="1690" builtinId="8" hidden="1"/>
    <cellStyle name="Hyperlink" xfId="1716" builtinId="8" hidden="1"/>
    <cellStyle name="Hyperlink" xfId="1750" builtinId="8" hidden="1"/>
    <cellStyle name="Hyperlink" xfId="1800" builtinId="8" hidden="1"/>
    <cellStyle name="Hyperlink" xfId="1834" builtinId="8" hidden="1"/>
    <cellStyle name="Hyperlink" xfId="1822" builtinId="8" hidden="1"/>
    <cellStyle name="Hyperlink" xfId="1901" builtinId="8" hidden="1"/>
    <cellStyle name="Hyperlink" xfId="1933" builtinId="8" hidden="1"/>
    <cellStyle name="Hyperlink" xfId="1962" builtinId="8" hidden="1"/>
    <cellStyle name="Hyperlink" xfId="1993" builtinId="8" hidden="1"/>
    <cellStyle name="Hyperlink" xfId="2028" builtinId="8" hidden="1"/>
    <cellStyle name="Hyperlink" xfId="2059" builtinId="8" hidden="1"/>
    <cellStyle name="Hyperlink" xfId="2088" builtinId="8" hidden="1"/>
    <cellStyle name="Hyperlink" xfId="2118" builtinId="8" hidden="1"/>
    <cellStyle name="Hyperlink" xfId="2153" builtinId="8" hidden="1"/>
    <cellStyle name="Hyperlink" xfId="2184" builtinId="8" hidden="1"/>
    <cellStyle name="Hyperlink" xfId="2212" builtinId="8" hidden="1"/>
    <cellStyle name="Hyperlink" xfId="2240" builtinId="8" hidden="1"/>
    <cellStyle name="Hyperlink" xfId="2203" builtinId="8" hidden="1"/>
    <cellStyle name="Hyperlink" xfId="2298" builtinId="8" hidden="1"/>
    <cellStyle name="Hyperlink" xfId="2300" builtinId="8" hidden="1"/>
    <cellStyle name="Hyperlink" xfId="2288" builtinId="8" hidden="1"/>
    <cellStyle name="Hyperlink" xfId="2278" builtinId="8" hidden="1"/>
    <cellStyle name="Hyperlink" xfId="2216" builtinId="8" hidden="1"/>
    <cellStyle name="Hyperlink" xfId="2262" builtinId="8" hidden="1"/>
    <cellStyle name="Hyperlink" xfId="2252" builtinId="8" hidden="1"/>
    <cellStyle name="Hyperlink" xfId="2242" builtinId="8" hidden="1"/>
    <cellStyle name="Hyperlink" xfId="2163" builtinId="8" hidden="1"/>
    <cellStyle name="Hyperlink" xfId="2225" builtinId="8" hidden="1"/>
    <cellStyle name="Hyperlink" xfId="2214" builtinId="8" hidden="1"/>
    <cellStyle name="Hyperlink" xfId="2201" builtinId="8" hidden="1"/>
    <cellStyle name="Hyperlink" xfId="2122" builtinId="8" hidden="1"/>
    <cellStyle name="Hyperlink" xfId="2186" builtinId="8" hidden="1"/>
    <cellStyle name="Hyperlink" xfId="2172" builtinId="8" hidden="1"/>
    <cellStyle name="Hyperlink" xfId="2161" builtinId="8" hidden="1"/>
    <cellStyle name="Hyperlink" xfId="2081" builtinId="8" hidden="1"/>
    <cellStyle name="Hyperlink" xfId="2143" builtinId="8" hidden="1"/>
    <cellStyle name="Hyperlink" xfId="2131" builtinId="8" hidden="1"/>
    <cellStyle name="Hyperlink" xfId="2120" builtinId="8" hidden="1"/>
    <cellStyle name="Hyperlink" xfId="2112" builtinId="8" hidden="1"/>
    <cellStyle name="Hyperlink" xfId="2102" builtinId="8" hidden="1"/>
    <cellStyle name="Hyperlink" xfId="2090" builtinId="8" hidden="1"/>
    <cellStyle name="Hyperlink" xfId="2077" builtinId="8" hidden="1"/>
    <cellStyle name="Hyperlink" xfId="2071" builtinId="8" hidden="1"/>
    <cellStyle name="Hyperlink" xfId="2061" builtinId="8" hidden="1"/>
    <cellStyle name="Hyperlink" xfId="2047" builtinId="8" hidden="1"/>
    <cellStyle name="Hyperlink" xfId="2036" builtinId="8" hidden="1"/>
    <cellStyle name="Hyperlink" xfId="2030" builtinId="8" hidden="1"/>
    <cellStyle name="Hyperlink" xfId="2018" builtinId="8" hidden="1"/>
    <cellStyle name="Hyperlink" xfId="2006" builtinId="8" hidden="1"/>
    <cellStyle name="Hyperlink" xfId="1995" builtinId="8" hidden="1"/>
    <cellStyle name="Hyperlink" xfId="1987" builtinId="8" hidden="1"/>
    <cellStyle name="Hyperlink" xfId="1977" builtinId="8" hidden="1"/>
    <cellStyle name="Hyperlink" xfId="1965" builtinId="8" hidden="1"/>
    <cellStyle name="Hyperlink" xfId="1951" builtinId="8" hidden="1"/>
    <cellStyle name="Hyperlink" xfId="1945" builtinId="8" hidden="1"/>
    <cellStyle name="Hyperlink" xfId="1935" builtinId="8" hidden="1"/>
    <cellStyle name="Hyperlink" xfId="1920" builtinId="8" hidden="1"/>
    <cellStyle name="Hyperlink" xfId="1909" builtinId="8" hidden="1"/>
    <cellStyle name="Hyperlink" xfId="1301" builtinId="8" hidden="1"/>
    <cellStyle name="Hyperlink" xfId="1304" builtinId="8" hidden="1"/>
    <cellStyle name="Hyperlink" xfId="1306" builtinId="8" hidden="1"/>
    <cellStyle name="Hyperlink" xfId="1311" builtinId="8" hidden="1"/>
    <cellStyle name="Hyperlink" xfId="1313" builtinId="8" hidden="1"/>
    <cellStyle name="Hyperlink" xfId="1315" builtinId="8" hidden="1"/>
    <cellStyle name="Hyperlink" xfId="1323" builtinId="8" hidden="1"/>
    <cellStyle name="Hyperlink" xfId="1325" builtinId="8" hidden="1"/>
    <cellStyle name="Hyperlink" xfId="1329" builtinId="8" hidden="1"/>
    <cellStyle name="Hyperlink" xfId="1331" builtinId="8" hidden="1"/>
    <cellStyle name="Hyperlink" xfId="1333" builtinId="8" hidden="1"/>
    <cellStyle name="Hyperlink" xfId="1261" builtinId="8" hidden="1"/>
    <cellStyle name="Hyperlink" xfId="1276" builtinId="8" hidden="1"/>
    <cellStyle name="Hyperlink" xfId="1341" builtinId="8" hidden="1"/>
    <cellStyle name="Hyperlink" xfId="1343" builtinId="8" hidden="1"/>
    <cellStyle name="Hyperlink" xfId="1346" builtinId="8" hidden="1"/>
    <cellStyle name="Hyperlink" xfId="1350" builtinId="8" hidden="1"/>
    <cellStyle name="Hyperlink" xfId="1353" builtinId="8" hidden="1"/>
    <cellStyle name="Hyperlink" xfId="1355" builtinId="8" hidden="1"/>
    <cellStyle name="Hyperlink" xfId="1361" builtinId="8" hidden="1"/>
    <cellStyle name="Hyperlink" xfId="1365" builtinId="8" hidden="1"/>
    <cellStyle name="Hyperlink" xfId="1369" builtinId="8" hidden="1"/>
    <cellStyle name="Hyperlink" xfId="1371" builtinId="8" hidden="1"/>
    <cellStyle name="Hyperlink" xfId="1373" builtinId="8" hidden="1"/>
    <cellStyle name="Hyperlink" xfId="1377" builtinId="8" hidden="1"/>
    <cellStyle name="Hyperlink" xfId="1303" builtinId="8" hidden="1"/>
    <cellStyle name="Hyperlink" xfId="1318" builtinId="8" hidden="1"/>
    <cellStyle name="Hyperlink" xfId="1383" builtinId="8" hidden="1"/>
    <cellStyle name="Hyperlink" xfId="1385" builtinId="8" hidden="1"/>
    <cellStyle name="Hyperlink" xfId="1390" builtinId="8" hidden="1"/>
    <cellStyle name="Hyperlink" xfId="1392" builtinId="8" hidden="1"/>
    <cellStyle name="Hyperlink" xfId="1395" builtinId="8" hidden="1"/>
    <cellStyle name="Hyperlink" xfId="1399" builtinId="8" hidden="1"/>
    <cellStyle name="Hyperlink" xfId="1403" builtinId="8" hidden="1"/>
    <cellStyle name="Hyperlink" xfId="1409" builtinId="8" hidden="1"/>
    <cellStyle name="Hyperlink" xfId="1411" builtinId="8" hidden="1"/>
    <cellStyle name="Hyperlink" xfId="1413" builtinId="8" hidden="1"/>
    <cellStyle name="Hyperlink" xfId="1417" builtinId="8" hidden="1"/>
    <cellStyle name="Hyperlink" xfId="1419" builtinId="8" hidden="1"/>
    <cellStyle name="Hyperlink" xfId="1345" builtinId="8" hidden="1"/>
    <cellStyle name="Hyperlink" xfId="1207" builtinId="8" hidden="1"/>
    <cellStyle name="Hyperlink" xfId="1425" builtinId="8" hidden="1"/>
    <cellStyle name="Hyperlink" xfId="1430" builtinId="8" hidden="1"/>
    <cellStyle name="Hyperlink" xfId="1432" builtinId="8" hidden="1"/>
    <cellStyle name="Hyperlink" xfId="1434" builtinId="8" hidden="1"/>
    <cellStyle name="Hyperlink" xfId="1438" builtinId="8" hidden="1"/>
    <cellStyle name="Hyperlink" xfId="1440" builtinId="8" hidden="1"/>
    <cellStyle name="Hyperlink" xfId="1444" builtinId="8" hidden="1"/>
    <cellStyle name="Hyperlink" xfId="1450" builtinId="8" hidden="1"/>
    <cellStyle name="Hyperlink" xfId="1452" builtinId="8" hidden="1"/>
    <cellStyle name="Hyperlink" xfId="1456" builtinId="8" hidden="1"/>
    <cellStyle name="Hyperlink" xfId="1458" builtinId="8" hidden="1"/>
    <cellStyle name="Hyperlink" xfId="1460" builtinId="8" hidden="1"/>
    <cellStyle name="Hyperlink" xfId="1402" builtinId="8" hidden="1"/>
    <cellStyle name="Hyperlink" xfId="1190" builtinId="8" hidden="1"/>
    <cellStyle name="Hyperlink" xfId="1468" builtinId="8" hidden="1"/>
    <cellStyle name="Hyperlink" xfId="1471" builtinId="8" hidden="1"/>
    <cellStyle name="Hyperlink" xfId="1473" builtinId="8" hidden="1"/>
    <cellStyle name="Hyperlink" xfId="1477" builtinId="8" hidden="1"/>
    <cellStyle name="Hyperlink" xfId="1479" builtinId="8" hidden="1"/>
    <cellStyle name="Hyperlink" xfId="1481" builtinId="8" hidden="1"/>
    <cellStyle name="Hyperlink" xfId="1487" builtinId="8" hidden="1"/>
    <cellStyle name="Hyperlink" xfId="1491" builtinId="8" hidden="1"/>
    <cellStyle name="Hyperlink" xfId="1495" builtinId="8" hidden="1"/>
    <cellStyle name="Hyperlink" xfId="1497" builtinId="8" hidden="1"/>
    <cellStyle name="Hyperlink" xfId="1499" builtinId="8" hidden="1"/>
    <cellStyle name="Hyperlink" xfId="1429" builtinId="8" hidden="1"/>
    <cellStyle name="Hyperlink" xfId="1443" builtinId="8" hidden="1"/>
    <cellStyle name="Hyperlink" xfId="1201" builtinId="8" hidden="1"/>
    <cellStyle name="Hyperlink" xfId="1509" builtinId="8" hidden="1"/>
    <cellStyle name="Hyperlink" xfId="1512" builtinId="8" hidden="1"/>
    <cellStyle name="Hyperlink" xfId="1516" builtinId="8" hidden="1"/>
    <cellStyle name="Hyperlink" xfId="1518" builtinId="8" hidden="1"/>
    <cellStyle name="Hyperlink" xfId="1520" builtinId="8" hidden="1"/>
    <cellStyle name="Hyperlink" xfId="1526" builtinId="8" hidden="1"/>
    <cellStyle name="Hyperlink" xfId="1528" builtinId="8" hidden="1"/>
    <cellStyle name="Hyperlink" xfId="1534" builtinId="8" hidden="1"/>
    <cellStyle name="Hyperlink" xfId="1536" builtinId="8" hidden="1"/>
    <cellStyle name="Hyperlink" xfId="1538" builtinId="8" hidden="1"/>
    <cellStyle name="Hyperlink" xfId="1542" builtinId="8" hidden="1"/>
    <cellStyle name="Hyperlink" xfId="1470" builtinId="8" hidden="1"/>
    <cellStyle name="Hyperlink" xfId="1484" builtinId="8" hidden="1"/>
    <cellStyle name="Hyperlink" xfId="1546" builtinId="8" hidden="1"/>
    <cellStyle name="Hyperlink" xfId="1550" builtinId="8" hidden="1"/>
    <cellStyle name="Hyperlink" xfId="1555" builtinId="8" hidden="1"/>
    <cellStyle name="Hyperlink" xfId="1557" builtinId="8" hidden="1"/>
    <cellStyle name="Hyperlink" xfId="1559" builtinId="8" hidden="1"/>
    <cellStyle name="Hyperlink" xfId="1563" builtinId="8" hidden="1"/>
    <cellStyle name="Hyperlink" xfId="1567" builtinId="8" hidden="1"/>
    <cellStyle name="Hyperlink" xfId="1569" builtinId="8" hidden="1"/>
    <cellStyle name="Hyperlink" xfId="1575" builtinId="8" hidden="1"/>
    <cellStyle name="Hyperlink" xfId="1577" builtinId="8" hidden="1"/>
    <cellStyle name="Hyperlink" xfId="1581" builtinId="8" hidden="1"/>
    <cellStyle name="Hyperlink" xfId="1583" builtinId="8" hidden="1"/>
    <cellStyle name="Hyperlink" xfId="1511" builtinId="8" hidden="1"/>
    <cellStyle name="Hyperlink" xfId="1268" builtinId="8" hidden="1"/>
    <cellStyle name="Hyperlink" xfId="1587" builtinId="8" hidden="1"/>
    <cellStyle name="Hyperlink" xfId="1594" builtinId="8" hidden="1"/>
    <cellStyle name="Hyperlink" xfId="1596" builtinId="8" hidden="1"/>
    <cellStyle name="Hyperlink" xfId="1598" builtinId="8" hidden="1"/>
    <cellStyle name="Hyperlink" xfId="1602" builtinId="8" hidden="1"/>
    <cellStyle name="Hyperlink" xfId="1604" builtinId="8" hidden="1"/>
    <cellStyle name="Hyperlink" xfId="1608" builtinId="8" hidden="1"/>
    <cellStyle name="Hyperlink" xfId="1612" builtinId="8" hidden="1"/>
    <cellStyle name="Hyperlink" xfId="1616" builtinId="8" hidden="1"/>
    <cellStyle name="Hyperlink" xfId="1620" builtinId="8" hidden="1"/>
    <cellStyle name="Hyperlink" xfId="1622" builtinId="8" hidden="1"/>
    <cellStyle name="Hyperlink" xfId="1624" builtinId="8" hidden="1"/>
    <cellStyle name="Hyperlink" xfId="1566" builtinId="8" hidden="1"/>
    <cellStyle name="Hyperlink" xfId="1310" builtinId="8" hidden="1"/>
    <cellStyle name="Hyperlink" xfId="1627" builtinId="8" hidden="1"/>
    <cellStyle name="Hyperlink" xfId="1634" builtinId="8" hidden="1"/>
    <cellStyle name="Hyperlink" xfId="1636" builtinId="8" hidden="1"/>
    <cellStyle name="Hyperlink" xfId="1640" builtinId="8" hidden="1"/>
    <cellStyle name="Hyperlink" xfId="1642" builtinId="8" hidden="1"/>
    <cellStyle name="Hyperlink" xfId="1644" builtinId="8" hidden="1"/>
    <cellStyle name="Hyperlink" xfId="1649" builtinId="8" hidden="1"/>
    <cellStyle name="Hyperlink" xfId="1651" builtinId="8" hidden="1"/>
    <cellStyle name="Hyperlink" xfId="1657" builtinId="8" hidden="1"/>
    <cellStyle name="Hyperlink" xfId="1659" builtinId="8" hidden="1"/>
    <cellStyle name="Hyperlink" xfId="1661" builtinId="8" hidden="1"/>
    <cellStyle name="Hyperlink" xfId="1593" builtinId="8" hidden="1"/>
    <cellStyle name="Hyperlink" xfId="1607" builtinId="8" hidden="1"/>
    <cellStyle name="Hyperlink" xfId="1352" builtinId="8" hidden="1"/>
    <cellStyle name="Hyperlink" xfId="1668" builtinId="8" hidden="1"/>
    <cellStyle name="Hyperlink" xfId="1672" builtinId="8" hidden="1"/>
    <cellStyle name="Hyperlink" xfId="1676" builtinId="8" hidden="1"/>
    <cellStyle name="Hyperlink" xfId="1678" builtinId="8" hidden="1"/>
    <cellStyle name="Hyperlink" xfId="1680" builtinId="8" hidden="1"/>
    <cellStyle name="Hyperlink" xfId="1684" builtinId="8" hidden="1"/>
    <cellStyle name="Hyperlink" xfId="1686" builtinId="8" hidden="1"/>
    <cellStyle name="Hyperlink" xfId="1688" builtinId="8" hidden="1"/>
    <cellStyle name="Hyperlink" xfId="1694" builtinId="8" hidden="1"/>
    <cellStyle name="Hyperlink" xfId="1696" builtinId="8" hidden="1"/>
    <cellStyle name="Hyperlink" xfId="1700" builtinId="8" hidden="1"/>
    <cellStyle name="Hyperlink" xfId="1633" builtinId="8" hidden="1"/>
    <cellStyle name="Hyperlink" xfId="1646" builtinId="8" hidden="1"/>
    <cellStyle name="Hyperlink" xfId="1702" builtinId="8" hidden="1"/>
    <cellStyle name="Hyperlink" xfId="1704" builtinId="8" hidden="1"/>
    <cellStyle name="Hyperlink" xfId="1710" builtinId="8" hidden="1"/>
    <cellStyle name="Hyperlink" xfId="1712" builtinId="8" hidden="1"/>
    <cellStyle name="Hyperlink" xfId="1714" builtinId="8" hidden="1"/>
    <cellStyle name="Hyperlink" xfId="1718" builtinId="8" hidden="1"/>
    <cellStyle name="Hyperlink" xfId="1720" builtinId="8" hidden="1"/>
    <cellStyle name="Hyperlink" xfId="1722" builtinId="8" hidden="1"/>
    <cellStyle name="Hyperlink" xfId="1726" builtinId="8" hidden="1"/>
    <cellStyle name="Hyperlink" xfId="1730" builtinId="8" hidden="1"/>
    <cellStyle name="Hyperlink" xfId="1734" builtinId="8" hidden="1"/>
    <cellStyle name="Hyperlink" xfId="1736" builtinId="8" hidden="1"/>
    <cellStyle name="Hyperlink" xfId="1740" builtinId="8" hidden="1"/>
    <cellStyle name="Hyperlink" xfId="1744" builtinId="8" hidden="1"/>
    <cellStyle name="Hyperlink" xfId="1746" builtinId="8" hidden="1"/>
    <cellStyle name="Hyperlink" xfId="1748" builtinId="8" hidden="1"/>
    <cellStyle name="Hyperlink" xfId="1754" builtinId="8" hidden="1"/>
    <cellStyle name="Hyperlink" xfId="1756" builtinId="8" hidden="1"/>
    <cellStyle name="Hyperlink" xfId="1763" builtinId="8" hidden="1"/>
    <cellStyle name="Hyperlink" xfId="1765" builtinId="8" hidden="1"/>
    <cellStyle name="Hyperlink" xfId="1778" builtinId="8" hidden="1"/>
    <cellStyle name="Hyperlink" xfId="1782" builtinId="8" hidden="1"/>
    <cellStyle name="Hyperlink" xfId="1785" builtinId="8" hidden="1"/>
    <cellStyle name="Hyperlink" xfId="1792" builtinId="8" hidden="1"/>
    <cellStyle name="Hyperlink" xfId="1794" builtinId="8" hidden="1"/>
    <cellStyle name="Hyperlink" xfId="1796" builtinId="8" hidden="1"/>
    <cellStyle name="Hyperlink" xfId="1802" builtinId="8" hidden="1"/>
    <cellStyle name="Hyperlink" xfId="1804" builtinId="8" hidden="1"/>
    <cellStyle name="Hyperlink" xfId="1806" builtinId="8" hidden="1"/>
    <cellStyle name="Hyperlink" xfId="1810" builtinId="8" hidden="1"/>
    <cellStyle name="Hyperlink" xfId="1814" builtinId="8" hidden="1"/>
    <cellStyle name="Hyperlink" xfId="1759" builtinId="8" hidden="1"/>
    <cellStyle name="Hyperlink" xfId="1767" builtinId="8" hidden="1"/>
    <cellStyle name="Hyperlink" xfId="1769" builtinId="8" hidden="1"/>
    <cellStyle name="Hyperlink" xfId="1827" builtinId="8" hidden="1"/>
    <cellStyle name="Hyperlink" xfId="1829" builtinId="8" hidden="1"/>
    <cellStyle name="Hyperlink" xfId="1832" builtinId="8" hidden="1"/>
    <cellStyle name="Hyperlink" xfId="1839" builtinId="8" hidden="1"/>
    <cellStyle name="Hyperlink" xfId="1841" builtinId="8" hidden="1"/>
    <cellStyle name="Hyperlink" xfId="1847" builtinId="8" hidden="1"/>
    <cellStyle name="Hyperlink" xfId="1849" builtinId="8" hidden="1"/>
    <cellStyle name="Hyperlink" xfId="1851" builtinId="8" hidden="1"/>
    <cellStyle name="Hyperlink" xfId="1855" builtinId="8" hidden="1"/>
    <cellStyle name="Hyperlink" xfId="1857" builtinId="8" hidden="1"/>
    <cellStyle name="Hyperlink" xfId="1863" builtinId="8" hidden="1"/>
    <cellStyle name="Hyperlink" xfId="1819" builtinId="8" hidden="1"/>
    <cellStyle name="Hyperlink" xfId="1772" builtinId="8" hidden="1"/>
    <cellStyle name="Hyperlink" xfId="1867" builtinId="8" hidden="1"/>
    <cellStyle name="Hyperlink" xfId="1869" builtinId="8" hidden="1"/>
    <cellStyle name="Hyperlink" xfId="1871" builtinId="8" hidden="1"/>
    <cellStyle name="Hyperlink" xfId="1876" builtinId="8" hidden="1"/>
    <cellStyle name="Hyperlink" xfId="1881" builtinId="8" hidden="1"/>
    <cellStyle name="Hyperlink" xfId="1885" builtinId="8" hidden="1"/>
    <cellStyle name="Hyperlink" xfId="1889" builtinId="8" hidden="1"/>
    <cellStyle name="Hyperlink" xfId="1891" builtinId="8" hidden="1"/>
    <cellStyle name="Hyperlink" xfId="1895" builtinId="8" hidden="1"/>
    <cellStyle name="Hyperlink" xfId="1897" builtinId="8" hidden="1"/>
    <cellStyle name="Hyperlink" xfId="1899" builtinId="8" hidden="1"/>
    <cellStyle name="Hyperlink" xfId="1905" builtinId="8" hidden="1"/>
    <cellStyle name="Hyperlink" xfId="1831" builtinId="8" hidden="1"/>
    <cellStyle name="Hyperlink" xfId="1903" builtinId="8" hidden="1"/>
    <cellStyle name="Hyperlink" xfId="1878" builtinId="8" hidden="1"/>
    <cellStyle name="Hyperlink" xfId="1859" builtinId="8" hidden="1"/>
    <cellStyle name="Hyperlink" xfId="1836" builtinId="8" hidden="1"/>
    <cellStyle name="Hyperlink" xfId="1812" builtinId="8" hidden="1"/>
    <cellStyle name="Hyperlink" xfId="1787" builtinId="8" hidden="1"/>
    <cellStyle name="Hyperlink" xfId="1752" builtinId="8" hidden="1"/>
    <cellStyle name="Hyperlink" xfId="1728" builtinId="8" hidden="1"/>
    <cellStyle name="Hyperlink" xfId="1706" builtinId="8" hidden="1"/>
    <cellStyle name="Hyperlink" xfId="1692" builtinId="8" hidden="1"/>
    <cellStyle name="Hyperlink" xfId="1670" builtinId="8" hidden="1"/>
    <cellStyle name="Hyperlink" xfId="1653" builtinId="8" hidden="1"/>
    <cellStyle name="Hyperlink" xfId="1631" builtinId="8" hidden="1"/>
    <cellStyle name="Hyperlink" xfId="1614" builtinId="8" hidden="1"/>
    <cellStyle name="Hyperlink" xfId="1589" builtinId="8" hidden="1"/>
    <cellStyle name="Hyperlink" xfId="1573" builtinId="8" hidden="1"/>
    <cellStyle name="Hyperlink" xfId="1548" builtinId="8" hidden="1"/>
    <cellStyle name="Hyperlink" xfId="1530" builtinId="8" hidden="1"/>
    <cellStyle name="Hyperlink" xfId="1507" builtinId="8" hidden="1"/>
    <cellStyle name="Hyperlink" xfId="1489" builtinId="8" hidden="1"/>
    <cellStyle name="Hyperlink" xfId="1464" builtinId="8" hidden="1"/>
    <cellStyle name="Hyperlink" xfId="1448" builtinId="8" hidden="1"/>
    <cellStyle name="Hyperlink" xfId="1423" builtinId="8" hidden="1"/>
    <cellStyle name="Hyperlink" xfId="1405" builtinId="8" hidden="1"/>
    <cellStyle name="Hyperlink" xfId="1381" builtinId="8" hidden="1"/>
    <cellStyle name="Hyperlink" xfId="1363" builtinId="8" hidden="1"/>
    <cellStyle name="Hyperlink" xfId="1251" builtinId="8" hidden="1"/>
    <cellStyle name="Hyperlink" xfId="1321" builtinId="8" hidden="1"/>
    <cellStyle name="Hyperlink" xfId="1050" builtinId="8" hidden="1"/>
    <cellStyle name="Hyperlink" xfId="982" builtinId="8" hidden="1"/>
    <cellStyle name="Hyperlink" xfId="996" builtinId="8" hidden="1"/>
    <cellStyle name="Hyperlink" xfId="1057" builtinId="8" hidden="1"/>
    <cellStyle name="Hyperlink" xfId="1059" builtinId="8" hidden="1"/>
    <cellStyle name="Hyperlink" xfId="1061" builtinId="8" hidden="1"/>
    <cellStyle name="Hyperlink" xfId="1066" builtinId="8" hidden="1"/>
    <cellStyle name="Hyperlink" xfId="1068" builtinId="8" hidden="1"/>
    <cellStyle name="Hyperlink" xfId="1070" builtinId="8" hidden="1"/>
    <cellStyle name="Hyperlink" xfId="1074" builtinId="8" hidden="1"/>
    <cellStyle name="Hyperlink" xfId="1077" builtinId="8" hidden="1"/>
    <cellStyle name="Hyperlink" xfId="1079" builtinId="8" hidden="1"/>
    <cellStyle name="Hyperlink" xfId="1083" builtinId="8" hidden="1"/>
    <cellStyle name="Hyperlink" xfId="1085" builtinId="8" hidden="1"/>
    <cellStyle name="Hyperlink" xfId="1087" builtinId="8" hidden="1"/>
    <cellStyle name="Hyperlink" xfId="1091" builtinId="8" hidden="1"/>
    <cellStyle name="Hyperlink" xfId="1023" builtinId="8" hidden="1"/>
    <cellStyle name="Hyperlink" xfId="782" builtinId="8" hidden="1"/>
    <cellStyle name="Hyperlink" xfId="1096" builtinId="8" hidden="1"/>
    <cellStyle name="Hyperlink" xfId="1098" builtinId="8" hidden="1"/>
    <cellStyle name="Hyperlink" xfId="1102" builtinId="8" hidden="1"/>
    <cellStyle name="Hyperlink" xfId="1104" builtinId="8" hidden="1"/>
    <cellStyle name="Hyperlink" xfId="1106" builtinId="8" hidden="1"/>
    <cellStyle name="Hyperlink" xfId="1110" builtinId="8" hidden="1"/>
    <cellStyle name="Hyperlink" xfId="1112" builtinId="8" hidden="1"/>
    <cellStyle name="Hyperlink" xfId="1114" builtinId="8" hidden="1"/>
    <cellStyle name="Hyperlink" xfId="1118" builtinId="8" hidden="1"/>
    <cellStyle name="Hyperlink" xfId="1120" builtinId="8" hidden="1"/>
    <cellStyle name="Hyperlink" xfId="1122" builtinId="8" hidden="1"/>
    <cellStyle name="Hyperlink" xfId="1126" builtinId="8" hidden="1"/>
    <cellStyle name="Hyperlink" xfId="1128" builtinId="8" hidden="1"/>
    <cellStyle name="Hyperlink" xfId="1076" builtinId="8" hidden="1"/>
    <cellStyle name="Hyperlink" xfId="824" builtinId="8" hidden="1"/>
    <cellStyle name="Hyperlink" xfId="1132" builtinId="8" hidden="1"/>
    <cellStyle name="Hyperlink" xfId="1136" builtinId="8" hidden="1"/>
    <cellStyle name="Hyperlink" xfId="1138" builtinId="8" hidden="1"/>
    <cellStyle name="Hyperlink" xfId="1140" builtinId="8" hidden="1"/>
    <cellStyle name="Hyperlink" xfId="1144" builtinId="8" hidden="1"/>
    <cellStyle name="Hyperlink" xfId="1146" builtinId="8" hidden="1"/>
    <cellStyle name="Hyperlink" xfId="1148" builtinId="8" hidden="1"/>
    <cellStyle name="Hyperlink" xfId="1152" builtinId="8" hidden="1"/>
    <cellStyle name="Hyperlink" xfId="1154" builtinId="8" hidden="1"/>
    <cellStyle name="Hyperlink" xfId="1156" builtinId="8" hidden="1"/>
    <cellStyle name="Hyperlink" xfId="1160" builtinId="8" hidden="1"/>
    <cellStyle name="Hyperlink" xfId="1162" builtinId="8" hidden="1"/>
    <cellStyle name="Hyperlink" xfId="1164" builtinId="8" hidden="1"/>
    <cellStyle name="Hyperlink" xfId="1172" builtinId="8" hidden="1"/>
    <cellStyle name="Hyperlink" xfId="1174" builtinId="8" hidden="1"/>
    <cellStyle name="Hyperlink" xfId="1178" builtinId="8" hidden="1"/>
    <cellStyle name="Hyperlink" xfId="1180" builtinId="8" hidden="1"/>
    <cellStyle name="Hyperlink" xfId="1182" builtinId="8" hidden="1"/>
    <cellStyle name="Hyperlink" xfId="1186" builtinId="8" hidden="1"/>
    <cellStyle name="Hyperlink" xfId="1191" builtinId="8" hidden="1"/>
    <cellStyle name="Hyperlink" xfId="1193" builtinId="8" hidden="1"/>
    <cellStyle name="Hyperlink" xfId="1208" builtinId="8" hidden="1"/>
    <cellStyle name="Hyperlink" xfId="1210" builtinId="8" hidden="1"/>
    <cellStyle name="Hyperlink" xfId="1212" builtinId="8" hidden="1"/>
    <cellStyle name="Hyperlink" xfId="1217" builtinId="8" hidden="1"/>
    <cellStyle name="Hyperlink" xfId="1219" builtinId="8" hidden="1"/>
    <cellStyle name="Hyperlink" xfId="1222" builtinId="8" hidden="1"/>
    <cellStyle name="Hyperlink" xfId="1226" builtinId="8" hidden="1"/>
    <cellStyle name="Hyperlink" xfId="1232" builtinId="8" hidden="1"/>
    <cellStyle name="Hyperlink" xfId="1236" builtinId="8" hidden="1"/>
    <cellStyle name="Hyperlink" xfId="1238" builtinId="8" hidden="1"/>
    <cellStyle name="Hyperlink" xfId="1240" builtinId="8" hidden="1"/>
    <cellStyle name="Hyperlink" xfId="1244" builtinId="8" hidden="1"/>
    <cellStyle name="Hyperlink" xfId="1246" builtinId="8" hidden="1"/>
    <cellStyle name="Hyperlink" xfId="1189" builtinId="8" hidden="1"/>
    <cellStyle name="Hyperlink" xfId="1199" builtinId="8" hidden="1"/>
    <cellStyle name="Hyperlink" xfId="1255" builtinId="8" hidden="1"/>
    <cellStyle name="Hyperlink" xfId="1257" builtinId="8" hidden="1"/>
    <cellStyle name="Hyperlink" xfId="1262" builtinId="8" hidden="1"/>
    <cellStyle name="Hyperlink" xfId="1264" builtinId="8" hidden="1"/>
    <cellStyle name="Hyperlink" xfId="1266" builtinId="8" hidden="1"/>
    <cellStyle name="Hyperlink" xfId="1271" builtinId="8" hidden="1"/>
    <cellStyle name="Hyperlink" xfId="1273" builtinId="8" hidden="1"/>
    <cellStyle name="Hyperlink" xfId="1281" builtinId="8" hidden="1"/>
    <cellStyle name="Hyperlink" xfId="1283" builtinId="8" hidden="1"/>
    <cellStyle name="Hyperlink" xfId="1285" builtinId="8" hidden="1"/>
    <cellStyle name="Hyperlink" xfId="1289" builtinId="8" hidden="1"/>
    <cellStyle name="Hyperlink" xfId="1291" builtinId="8" hidden="1"/>
    <cellStyle name="Hyperlink" xfId="1293" builtinId="8" hidden="1"/>
    <cellStyle name="Hyperlink" xfId="1202" builtinId="8" hidden="1"/>
    <cellStyle name="Hyperlink" xfId="1252" builtinId="8" hidden="1"/>
    <cellStyle name="Hyperlink" xfId="1297" builtinId="8" hidden="1"/>
    <cellStyle name="Hyperlink" xfId="1277" builtinId="8" hidden="1"/>
    <cellStyle name="Hyperlink" xfId="1230" builtinId="8" hidden="1"/>
    <cellStyle name="Hyperlink" xfId="1170" builtinId="8" hidden="1"/>
    <cellStyle name="Hyperlink" xfId="1130" builtinId="8" hidden="1"/>
    <cellStyle name="Hyperlink" xfId="1093" builtinId="8" hidden="1"/>
    <cellStyle name="Hyperlink" xfId="1054" builtinId="8" hidden="1"/>
    <cellStyle name="Hyperlink" xfId="944" builtinId="8" hidden="1"/>
    <cellStyle name="Hyperlink" xfId="946" builtinId="8" hidden="1"/>
    <cellStyle name="Hyperlink" xfId="950" builtinId="8" hidden="1"/>
    <cellStyle name="Hyperlink" xfId="952" builtinId="8" hidden="1"/>
    <cellStyle name="Hyperlink" xfId="956" builtinId="8" hidden="1"/>
    <cellStyle name="Hyperlink" xfId="960" builtinId="8" hidden="1"/>
    <cellStyle name="Hyperlink" xfId="962" builtinId="8" hidden="1"/>
    <cellStyle name="Hyperlink" xfId="964" builtinId="8" hidden="1"/>
    <cellStyle name="Hyperlink" xfId="968" builtinId="8" hidden="1"/>
    <cellStyle name="Hyperlink" xfId="970" builtinId="8" hidden="1"/>
    <cellStyle name="Hyperlink" xfId="972" builtinId="8" hidden="1"/>
    <cellStyle name="Hyperlink" xfId="914" builtinId="8" hidden="1"/>
    <cellStyle name="Hyperlink" xfId="678" builtinId="8" hidden="1"/>
    <cellStyle name="Hyperlink" xfId="976" builtinId="8" hidden="1"/>
    <cellStyle name="Hyperlink" xfId="980" builtinId="8" hidden="1"/>
    <cellStyle name="Hyperlink" xfId="983" builtinId="8" hidden="1"/>
    <cellStyle name="Hyperlink" xfId="985" builtinId="8" hidden="1"/>
    <cellStyle name="Hyperlink" xfId="989" builtinId="8" hidden="1"/>
    <cellStyle name="Hyperlink" xfId="991" builtinId="8" hidden="1"/>
    <cellStyle name="Hyperlink" xfId="993" builtinId="8" hidden="1"/>
    <cellStyle name="Hyperlink" xfId="999" builtinId="8" hidden="1"/>
    <cellStyle name="Hyperlink" xfId="1001" builtinId="8" hidden="1"/>
    <cellStyle name="Hyperlink" xfId="1003" builtinId="8" hidden="1"/>
    <cellStyle name="Hyperlink" xfId="1007" builtinId="8" hidden="1"/>
    <cellStyle name="Hyperlink" xfId="1009" builtinId="8" hidden="1"/>
    <cellStyle name="Hyperlink" xfId="941" builtinId="8" hidden="1"/>
    <cellStyle name="Hyperlink" xfId="955" builtinId="8" hidden="1"/>
    <cellStyle name="Hyperlink" xfId="698" builtinId="8" hidden="1"/>
    <cellStyle name="Hyperlink" xfId="1019" builtinId="8" hidden="1"/>
    <cellStyle name="Hyperlink" xfId="1021" builtinId="8" hidden="1"/>
    <cellStyle name="Hyperlink" xfId="1024" builtinId="8" hidden="1"/>
    <cellStyle name="Hyperlink" xfId="1028" builtinId="8" hidden="1"/>
    <cellStyle name="Hyperlink" xfId="1030" builtinId="8" hidden="1"/>
    <cellStyle name="Hyperlink" xfId="1032" builtinId="8" hidden="1"/>
    <cellStyle name="Hyperlink" xfId="1038" builtinId="8" hidden="1"/>
    <cellStyle name="Hyperlink" xfId="1040" builtinId="8" hidden="1"/>
    <cellStyle name="Hyperlink" xfId="1042" builtinId="8" hidden="1"/>
    <cellStyle name="Hyperlink" xfId="1046" builtinId="8" hidden="1"/>
    <cellStyle name="Hyperlink" xfId="1048" builtinId="8" hidden="1"/>
    <cellStyle name="Hyperlink" xfId="1011" builtinId="8" hidden="1"/>
    <cellStyle name="Hyperlink" xfId="832" builtinId="8" hidden="1"/>
    <cellStyle name="Hyperlink" xfId="894" builtinId="8" hidden="1"/>
    <cellStyle name="Hyperlink" xfId="896" builtinId="8" hidden="1"/>
    <cellStyle name="Hyperlink" xfId="898" builtinId="8" hidden="1"/>
    <cellStyle name="Hyperlink" xfId="903" builtinId="8" hidden="1"/>
    <cellStyle name="Hyperlink" xfId="905" builtinId="8" hidden="1"/>
    <cellStyle name="Hyperlink" xfId="907" builtinId="8" hidden="1"/>
    <cellStyle name="Hyperlink" xfId="911" builtinId="8" hidden="1"/>
    <cellStyle name="Hyperlink" xfId="915" builtinId="8" hidden="1"/>
    <cellStyle name="Hyperlink" xfId="917" builtinId="8" hidden="1"/>
    <cellStyle name="Hyperlink" xfId="921" builtinId="8" hidden="1"/>
    <cellStyle name="Hyperlink" xfId="923" builtinId="8" hidden="1"/>
    <cellStyle name="Hyperlink" xfId="925" builtinId="8" hidden="1"/>
    <cellStyle name="Hyperlink" xfId="931" builtinId="8" hidden="1"/>
    <cellStyle name="Hyperlink" xfId="859" builtinId="8" hidden="1"/>
    <cellStyle name="Hyperlink" xfId="631" builtinId="8" hidden="1"/>
    <cellStyle name="Hyperlink" xfId="935" builtinId="8" hidden="1"/>
    <cellStyle name="Hyperlink" xfId="937" builtinId="8" hidden="1"/>
    <cellStyle name="Hyperlink" xfId="942" builtinId="8" hidden="1"/>
    <cellStyle name="Hyperlink" xfId="929" builtinId="8" hidden="1"/>
    <cellStyle name="Hyperlink" xfId="868" builtinId="8" hidden="1"/>
    <cellStyle name="Hyperlink" xfId="874" builtinId="8" hidden="1"/>
    <cellStyle name="Hyperlink" xfId="876" builtinId="8" hidden="1"/>
    <cellStyle name="Hyperlink" xfId="878" builtinId="8" hidden="1"/>
    <cellStyle name="Hyperlink" xfId="882" builtinId="8" hidden="1"/>
    <cellStyle name="Hyperlink" xfId="884" builtinId="8" hidden="1"/>
    <cellStyle name="Hyperlink" xfId="886" builtinId="8" hidden="1"/>
    <cellStyle name="Hyperlink" xfId="890" builtinId="8" hidden="1"/>
    <cellStyle name="Hyperlink" xfId="817" builtinId="8" hidden="1"/>
    <cellStyle name="Hyperlink" xfId="855" builtinId="8" hidden="1"/>
    <cellStyle name="Hyperlink" xfId="857" builtinId="8" hidden="1"/>
    <cellStyle name="Hyperlink" xfId="860" builtinId="8" hidden="1"/>
    <cellStyle name="Hyperlink" xfId="864" builtinId="8" hidden="1"/>
    <cellStyle name="Hyperlink" xfId="866" builtinId="8" hidden="1"/>
    <cellStyle name="Hyperlink" xfId="790" builtinId="8" hidden="1"/>
    <cellStyle name="Hyperlink" xfId="637" builtinId="8" hidden="1"/>
    <cellStyle name="Hyperlink" xfId="775" builtinId="8" hidden="1"/>
    <cellStyle name="Hyperlink" xfId="847" builtinId="8" hidden="1"/>
    <cellStyle name="Normal" xfId="0" builtinId="0"/>
    <cellStyle name="Normal 2" xfId="3" xr:uid="{00000000-0005-0000-0000-0000E3080000}"/>
    <cellStyle name="Normal 2 2" xfId="7" xr:uid="{00000000-0005-0000-0000-0000E4080000}"/>
    <cellStyle name="Normal 3" xfId="4" xr:uid="{00000000-0005-0000-0000-0000E5080000}"/>
    <cellStyle name="Normal 3 2" xfId="77" xr:uid="{00000000-0005-0000-0000-0000E6080000}"/>
    <cellStyle name="Normal 3 2 2" xfId="659" xr:uid="{00000000-0005-0000-0000-0000E7080000}"/>
    <cellStyle name="Normal 3 2 2 2" xfId="1799" xr:uid="{00000000-0005-0000-0000-0000E8080000}"/>
    <cellStyle name="Normal 3 2 3" xfId="1229" xr:uid="{00000000-0005-0000-0000-0000E9080000}"/>
    <cellStyle name="Normal 3 3" xfId="47" xr:uid="{00000000-0005-0000-0000-0000EA080000}"/>
    <cellStyle name="Normal 3 3 2" xfId="630" xr:uid="{00000000-0005-0000-0000-0000EB080000}"/>
    <cellStyle name="Normal 3 3 2 2" xfId="1770" xr:uid="{00000000-0005-0000-0000-0000EC080000}"/>
    <cellStyle name="Normal 3 3 3" xfId="1200" xr:uid="{00000000-0005-0000-0000-0000ED080000}"/>
    <cellStyle name="Normal 3 4" xfId="599" xr:uid="{00000000-0005-0000-0000-0000EE080000}"/>
    <cellStyle name="Normal 3 4 2" xfId="1739" xr:uid="{00000000-0005-0000-0000-0000EF080000}"/>
    <cellStyle name="Normal 3 5" xfId="1169" xr:uid="{00000000-0005-0000-0000-0000F0080000}"/>
    <cellStyle name="Normal 4" xfId="1" xr:uid="{00000000-0005-0000-0000-0000F1080000}"/>
    <cellStyle name="Normal 5" xfId="9" xr:uid="{00000000-0005-0000-0000-0000F2080000}"/>
    <cellStyle name="Normal 6" xfId="43" xr:uid="{00000000-0005-0000-0000-0000F3080000}"/>
    <cellStyle name="Percent" xfId="597" builtinId="5"/>
    <cellStyle name="Percent 2" xfId="10" xr:uid="{00000000-0005-0000-0000-0000F5080000}"/>
    <cellStyle name="チェック セル 2" xfId="6" xr:uid="{00000000-0005-0000-0000-0000F6080000}"/>
    <cellStyle name="標準 2" xfId="2" xr:uid="{00000000-0005-0000-0000-0000F7080000}"/>
    <cellStyle name="標準 2 2" xfId="76" xr:uid="{00000000-0005-0000-0000-0000F8080000}"/>
    <cellStyle name="標準 2 2 2" xfId="658" xr:uid="{00000000-0005-0000-0000-0000F9080000}"/>
    <cellStyle name="標準 2 2 2 2" xfId="1798" xr:uid="{00000000-0005-0000-0000-0000FA080000}"/>
    <cellStyle name="標準 2 2 3" xfId="1228" xr:uid="{00000000-0005-0000-0000-0000FB080000}"/>
    <cellStyle name="標準 2 3" xfId="45" xr:uid="{00000000-0005-0000-0000-0000FC080000}"/>
    <cellStyle name="標準 2 3 2" xfId="628" xr:uid="{00000000-0005-0000-0000-0000FD080000}"/>
    <cellStyle name="標準 2 3 2 2" xfId="1768" xr:uid="{00000000-0005-0000-0000-0000FE080000}"/>
    <cellStyle name="標準 2 3 3" xfId="1198" xr:uid="{00000000-0005-0000-0000-0000FF080000}"/>
    <cellStyle name="標準 2 4" xfId="598" xr:uid="{00000000-0005-0000-0000-000000090000}"/>
    <cellStyle name="標準 2 4 2" xfId="1738" xr:uid="{00000000-0005-0000-0000-000001090000}"/>
    <cellStyle name="標準 2 5" xfId="1168" xr:uid="{00000000-0005-0000-0000-000002090000}"/>
    <cellStyle name="標準 3" xfId="5" xr:uid="{00000000-0005-0000-0000-000003090000}"/>
  </cellStyles>
  <dxfs count="52">
    <dxf>
      <font>
        <color auto="1"/>
      </font>
      <fill>
        <patternFill>
          <bgColor theme="5" tint="0.59996337778862885"/>
        </patternFill>
      </fill>
      <border>
        <vertical/>
        <horizontal/>
      </border>
    </dxf>
    <dxf>
      <fill>
        <patternFill>
          <bgColor theme="1"/>
        </patternFill>
      </fill>
    </dxf>
    <dxf>
      <font>
        <color auto="1"/>
      </font>
      <fill>
        <patternFill>
          <bgColor theme="5" tint="0.59996337778862885"/>
        </patternFill>
      </fill>
      <border>
        <vertical/>
        <horizontal/>
      </border>
    </dxf>
    <dxf>
      <fill>
        <patternFill>
          <bgColor theme="1"/>
        </patternFill>
      </fill>
    </dxf>
    <dxf>
      <font>
        <color auto="1"/>
      </font>
      <fill>
        <patternFill>
          <bgColor theme="5" tint="0.59996337778862885"/>
        </patternFill>
      </fill>
      <border>
        <vertical/>
        <horizontal/>
      </border>
    </dxf>
    <dxf>
      <fill>
        <patternFill>
          <bgColor theme="1"/>
        </patternFill>
      </fill>
    </dxf>
    <dxf>
      <font>
        <color auto="1"/>
      </font>
      <fill>
        <patternFill>
          <bgColor theme="5" tint="0.59996337778862885"/>
        </patternFill>
      </fill>
      <border>
        <vertical/>
        <horizontal/>
      </border>
    </dxf>
    <dxf>
      <fill>
        <patternFill>
          <bgColor theme="1"/>
        </patternFill>
      </fill>
    </dxf>
    <dxf>
      <font>
        <color auto="1"/>
      </font>
      <fill>
        <patternFill>
          <bgColor theme="5" tint="0.59996337778862885"/>
        </patternFill>
      </fill>
      <border>
        <vertical/>
        <horizontal/>
      </border>
    </dxf>
    <dxf>
      <fill>
        <patternFill>
          <bgColor theme="1"/>
        </patternFill>
      </fill>
    </dxf>
    <dxf>
      <font>
        <color auto="1"/>
      </font>
      <fill>
        <patternFill>
          <bgColor theme="5" tint="0.59996337778862885"/>
        </patternFill>
      </fill>
      <border>
        <vertical/>
        <horizontal/>
      </border>
    </dxf>
    <dxf>
      <fill>
        <patternFill>
          <bgColor theme="1"/>
        </patternFill>
      </fill>
    </dxf>
    <dxf>
      <font>
        <color auto="1"/>
      </font>
      <fill>
        <patternFill>
          <bgColor theme="5" tint="0.59996337778862885"/>
        </patternFill>
      </fill>
      <border>
        <vertical/>
        <horizontal/>
      </border>
    </dxf>
    <dxf>
      <fill>
        <patternFill>
          <bgColor theme="1"/>
        </patternFill>
      </fill>
    </dxf>
    <dxf>
      <font>
        <color auto="1"/>
      </font>
      <fill>
        <patternFill>
          <bgColor theme="5" tint="0.59996337778862885"/>
        </patternFill>
      </fill>
      <border>
        <vertical/>
        <horizontal/>
      </border>
    </dxf>
    <dxf>
      <fill>
        <patternFill>
          <bgColor theme="1"/>
        </patternFill>
      </fill>
    </dxf>
    <dxf>
      <font>
        <color auto="1"/>
      </font>
      <fill>
        <patternFill>
          <bgColor theme="5" tint="0.59996337778862885"/>
        </patternFill>
      </fill>
      <border>
        <vertical/>
        <horizontal/>
      </border>
    </dxf>
    <dxf>
      <fill>
        <patternFill>
          <bgColor theme="1"/>
        </patternFill>
      </fill>
    </dxf>
    <dxf>
      <font>
        <color auto="1"/>
      </font>
      <fill>
        <patternFill>
          <bgColor theme="5" tint="0.59996337778862885"/>
        </patternFill>
      </fill>
      <border>
        <vertical/>
        <horizontal/>
      </border>
    </dxf>
    <dxf>
      <fill>
        <patternFill>
          <bgColor theme="1"/>
        </patternFill>
      </fill>
    </dxf>
    <dxf>
      <font>
        <color auto="1"/>
      </font>
      <fill>
        <patternFill>
          <bgColor theme="5" tint="0.59996337778862885"/>
        </patternFill>
      </fill>
      <border>
        <vertical/>
        <horizontal/>
      </border>
    </dxf>
    <dxf>
      <fill>
        <patternFill>
          <bgColor theme="1"/>
        </patternFill>
      </fill>
    </dxf>
    <dxf>
      <font>
        <color auto="1"/>
      </font>
      <fill>
        <patternFill>
          <bgColor theme="5" tint="0.59996337778862885"/>
        </patternFill>
      </fill>
      <border>
        <vertical/>
        <horizontal/>
      </border>
    </dxf>
    <dxf>
      <fill>
        <patternFill>
          <bgColor theme="1"/>
        </patternFill>
      </fill>
    </dxf>
    <dxf>
      <font>
        <color auto="1"/>
      </font>
      <fill>
        <patternFill>
          <bgColor theme="5" tint="0.59996337778862885"/>
        </patternFill>
      </fill>
      <border>
        <vertical/>
        <horizontal/>
      </border>
    </dxf>
    <dxf>
      <fill>
        <patternFill>
          <bgColor theme="1"/>
        </patternFill>
      </fill>
    </dxf>
    <dxf>
      <font>
        <color auto="1"/>
      </font>
      <fill>
        <patternFill>
          <bgColor theme="5" tint="0.59996337778862885"/>
        </patternFill>
      </fill>
      <border>
        <vertical/>
        <horizontal/>
      </border>
    </dxf>
    <dxf>
      <fill>
        <patternFill>
          <bgColor theme="1"/>
        </patternFill>
      </fill>
    </dxf>
    <dxf>
      <font>
        <color auto="1"/>
      </font>
      <fill>
        <patternFill>
          <bgColor theme="5" tint="0.59996337778862885"/>
        </patternFill>
      </fill>
      <border>
        <vertical/>
        <horizontal/>
      </border>
    </dxf>
    <dxf>
      <fill>
        <patternFill>
          <bgColor theme="1"/>
        </patternFill>
      </fill>
    </dxf>
    <dxf>
      <font>
        <color auto="1"/>
      </font>
      <fill>
        <patternFill>
          <bgColor theme="5" tint="0.59996337778862885"/>
        </patternFill>
      </fill>
      <border>
        <vertical/>
        <horizontal/>
      </border>
    </dxf>
    <dxf>
      <fill>
        <patternFill>
          <bgColor theme="1"/>
        </patternFill>
      </fill>
    </dxf>
    <dxf>
      <font>
        <color auto="1"/>
      </font>
      <fill>
        <patternFill>
          <bgColor theme="5" tint="0.59996337778862885"/>
        </patternFill>
      </fill>
      <border>
        <vertical/>
        <horizontal/>
      </border>
    </dxf>
    <dxf>
      <fill>
        <patternFill>
          <bgColor theme="1"/>
        </patternFill>
      </fill>
    </dxf>
    <dxf>
      <font>
        <color auto="1"/>
      </font>
      <fill>
        <patternFill>
          <bgColor theme="5" tint="0.59996337778862885"/>
        </patternFill>
      </fill>
      <border>
        <vertical/>
        <horizontal/>
      </border>
    </dxf>
    <dxf>
      <fill>
        <patternFill>
          <bgColor theme="1"/>
        </patternFill>
      </fill>
    </dxf>
    <dxf>
      <font>
        <color auto="1"/>
      </font>
      <fill>
        <patternFill>
          <bgColor theme="5" tint="0.59996337778862885"/>
        </patternFill>
      </fill>
      <border>
        <vertical/>
        <horizontal/>
      </border>
    </dxf>
    <dxf>
      <fill>
        <patternFill>
          <bgColor theme="1"/>
        </patternFill>
      </fill>
    </dxf>
    <dxf>
      <font>
        <color auto="1"/>
      </font>
      <fill>
        <patternFill>
          <bgColor theme="5" tint="0.59996337778862885"/>
        </patternFill>
      </fill>
      <border>
        <vertical/>
        <horizontal/>
      </border>
    </dxf>
    <dxf>
      <font>
        <color auto="1"/>
      </font>
      <fill>
        <patternFill>
          <bgColor theme="5" tint="0.59996337778862885"/>
        </patternFill>
      </fill>
      <border>
        <vertical/>
        <horizontal/>
      </border>
    </dxf>
    <dxf>
      <fill>
        <patternFill>
          <bgColor theme="1"/>
        </patternFill>
      </fill>
    </dxf>
    <dxf>
      <font>
        <color auto="1"/>
      </font>
      <fill>
        <patternFill>
          <bgColor theme="5" tint="0.59996337778862885"/>
        </patternFill>
      </fill>
      <border>
        <vertical/>
        <horizontal/>
      </border>
    </dxf>
    <dxf>
      <font>
        <color auto="1"/>
      </font>
      <fill>
        <patternFill>
          <bgColor theme="5" tint="0.59996337778862885"/>
        </patternFill>
      </fill>
      <border>
        <vertical/>
        <horizontal/>
      </border>
    </dxf>
    <dxf>
      <fill>
        <patternFill>
          <bgColor theme="1"/>
        </patternFill>
      </fill>
    </dxf>
    <dxf>
      <font>
        <color auto="1"/>
      </font>
      <fill>
        <patternFill>
          <bgColor theme="5" tint="0.59996337778862885"/>
        </patternFill>
      </fill>
      <border>
        <vertical/>
        <horizontal/>
      </border>
    </dxf>
    <dxf>
      <font>
        <color auto="1"/>
      </font>
      <fill>
        <patternFill>
          <bgColor theme="5" tint="0.59996337778862885"/>
        </patternFill>
      </fill>
      <border>
        <vertical/>
        <horizontal/>
      </border>
    </dxf>
    <dxf>
      <fill>
        <patternFill>
          <bgColor theme="1"/>
        </patternFill>
      </fill>
    </dxf>
    <dxf>
      <font>
        <color auto="1"/>
      </font>
      <fill>
        <patternFill>
          <bgColor theme="5" tint="0.59996337778862885"/>
        </patternFill>
      </fill>
      <border>
        <vertical/>
        <horizontal/>
      </border>
    </dxf>
    <dxf>
      <font>
        <color auto="1"/>
      </font>
      <fill>
        <patternFill>
          <bgColor theme="5" tint="0.59996337778862885"/>
        </patternFill>
      </fill>
      <border>
        <vertical/>
        <horizontal/>
      </border>
    </dxf>
    <dxf>
      <font>
        <color auto="1"/>
      </font>
      <fill>
        <patternFill>
          <bgColor theme="5" tint="0.59996337778862885"/>
        </patternFill>
      </fill>
      <border>
        <vertical/>
        <horizontal/>
      </border>
    </dxf>
    <dxf>
      <font>
        <color auto="1"/>
      </font>
      <fill>
        <patternFill>
          <bgColor theme="5" tint="0.59996337778862885"/>
        </patternFill>
      </fill>
      <border>
        <vertical/>
        <horizontal/>
      </border>
    </dxf>
    <dxf>
      <fill>
        <patternFill>
          <bgColor theme="1"/>
        </patternFill>
      </fill>
    </dxf>
  </dxfs>
  <tableStyles count="0" defaultTableStyle="TableStyleMedium2" defaultPivotStyle="PivotStyleLight16"/>
  <colors>
    <mruColors>
      <color rgb="FFCC66FF"/>
      <color rgb="FFFF00FF"/>
      <color rgb="FFFFFF99"/>
      <color rgb="FFCC00CC"/>
      <color rgb="FFFF0066"/>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 /><Relationship Id="rId13" Type="http://schemas.openxmlformats.org/officeDocument/2006/relationships/worksheet" Target="worksheets/sheet13.xml" /><Relationship Id="rId18" Type="http://schemas.openxmlformats.org/officeDocument/2006/relationships/worksheet" Target="worksheets/sheet18.xml" /><Relationship Id="rId3" Type="http://schemas.openxmlformats.org/officeDocument/2006/relationships/worksheet" Target="worksheets/sheet3.xml" /><Relationship Id="rId21" Type="http://schemas.openxmlformats.org/officeDocument/2006/relationships/styles" Target="styles.xml" /><Relationship Id="rId7" Type="http://schemas.openxmlformats.org/officeDocument/2006/relationships/worksheet" Target="worksheets/sheet7.xml" /><Relationship Id="rId12" Type="http://schemas.openxmlformats.org/officeDocument/2006/relationships/worksheet" Target="worksheets/sheet12.xml" /><Relationship Id="rId17" Type="http://schemas.openxmlformats.org/officeDocument/2006/relationships/worksheet" Target="worksheets/sheet17.xml" /><Relationship Id="rId2" Type="http://schemas.openxmlformats.org/officeDocument/2006/relationships/worksheet" Target="worksheets/sheet2.xml" /><Relationship Id="rId16" Type="http://schemas.openxmlformats.org/officeDocument/2006/relationships/worksheet" Target="worksheets/sheet16.xml" /><Relationship Id="rId20" Type="http://schemas.openxmlformats.org/officeDocument/2006/relationships/theme" Target="theme/theme1.xml" /><Relationship Id="rId1" Type="http://schemas.openxmlformats.org/officeDocument/2006/relationships/worksheet" Target="worksheets/sheet1.xml" /><Relationship Id="rId6" Type="http://schemas.openxmlformats.org/officeDocument/2006/relationships/worksheet" Target="worksheets/sheet6.xml" /><Relationship Id="rId11" Type="http://schemas.openxmlformats.org/officeDocument/2006/relationships/worksheet" Target="worksheets/sheet11.xml" /><Relationship Id="rId5" Type="http://schemas.openxmlformats.org/officeDocument/2006/relationships/worksheet" Target="worksheets/sheet5.xml" /><Relationship Id="rId15" Type="http://schemas.openxmlformats.org/officeDocument/2006/relationships/worksheet" Target="worksheets/sheet15.xml" /><Relationship Id="rId23" Type="http://schemas.openxmlformats.org/officeDocument/2006/relationships/calcChain" Target="calcChain.xml" /><Relationship Id="rId10" Type="http://schemas.openxmlformats.org/officeDocument/2006/relationships/worksheet" Target="worksheets/sheet10.xml" /><Relationship Id="rId19" Type="http://schemas.openxmlformats.org/officeDocument/2006/relationships/worksheet" Target="worksheets/sheet19.xml" /><Relationship Id="rId4" Type="http://schemas.openxmlformats.org/officeDocument/2006/relationships/worksheet" Target="worksheets/sheet4.xml" /><Relationship Id="rId9" Type="http://schemas.openxmlformats.org/officeDocument/2006/relationships/worksheet" Target="worksheets/sheet9.xml" /><Relationship Id="rId14" Type="http://schemas.openxmlformats.org/officeDocument/2006/relationships/worksheet" Target="worksheets/sheet14.xml" /><Relationship Id="rId22" Type="http://schemas.openxmlformats.org/officeDocument/2006/relationships/sharedStrings" Target="sharedStrings.xml" /></Relationships>
</file>

<file path=xl/charts/_rels/chart5.xml.rels><?xml version="1.0" encoding="UTF-8" standalone="yes"?>
<Relationships xmlns="http://schemas.openxmlformats.org/package/2006/relationships"><Relationship Id="rId1" Type="http://schemas.openxmlformats.org/officeDocument/2006/relationships/themeOverride" Target="../theme/themeOverride1.xml"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ja-JP" sz="2400"/>
            </a:pPr>
            <a:r>
              <a:rPr lang="en-US" sz="2400"/>
              <a:t>AV Coke Moisture</a:t>
            </a:r>
            <a:r>
              <a:rPr lang="en-US" sz="2400" baseline="0"/>
              <a:t> &amp; Temperature</a:t>
            </a:r>
            <a:endParaRPr lang="en-US" sz="2400"/>
          </a:p>
        </c:rich>
      </c:tx>
      <c:overlay val="0"/>
    </c:title>
    <c:autoTitleDeleted val="0"/>
    <c:plotArea>
      <c:layout/>
      <c:lineChart>
        <c:grouping val="stacked"/>
        <c:varyColors val="0"/>
        <c:ser>
          <c:idx val="0"/>
          <c:order val="0"/>
          <c:tx>
            <c:v>AV Coke Moisture</c:v>
          </c:tx>
          <c:spPr>
            <a:ln w="57150"/>
          </c:spPr>
          <c:marker>
            <c:symbol val="none"/>
          </c:marker>
          <c:cat>
            <c:multiLvlStrRef>
              <c:f>'Coke Moisture'!$C$4:$D$200</c:f>
              <c:multiLvlStrCache>
                <c:ptCount val="197"/>
                <c:lvl>
                  <c:pt idx="0">
                    <c:v>8:00</c:v>
                  </c:pt>
                  <c:pt idx="1">
                    <c:v>13:00</c:v>
                  </c:pt>
                  <c:pt idx="2">
                    <c:v>15:40</c:v>
                  </c:pt>
                  <c:pt idx="3">
                    <c:v>18:15</c:v>
                  </c:pt>
                  <c:pt idx="4">
                    <c:v>21:00</c:v>
                  </c:pt>
                  <c:pt idx="5">
                    <c:v>12:50</c:v>
                  </c:pt>
                  <c:pt idx="6">
                    <c:v>4:15</c:v>
                  </c:pt>
                  <c:pt idx="7">
                    <c:v>11:15</c:v>
                  </c:pt>
                  <c:pt idx="8">
                    <c:v>14:30</c:v>
                  </c:pt>
                  <c:pt idx="9">
                    <c:v>18:30</c:v>
                  </c:pt>
                  <c:pt idx="10">
                    <c:v>22:45</c:v>
                  </c:pt>
                  <c:pt idx="11">
                    <c:v>2:15</c:v>
                  </c:pt>
                  <c:pt idx="12">
                    <c:v>5:47</c:v>
                  </c:pt>
                  <c:pt idx="13">
                    <c:v>8:10</c:v>
                  </c:pt>
                  <c:pt idx="14">
                    <c:v>13:30</c:v>
                  </c:pt>
                  <c:pt idx="15">
                    <c:v>17:00</c:v>
                  </c:pt>
                  <c:pt idx="16">
                    <c:v>20:45</c:v>
                  </c:pt>
                  <c:pt idx="17">
                    <c:v>23:10</c:v>
                  </c:pt>
                  <c:pt idx="18">
                    <c:v>3:40</c:v>
                  </c:pt>
                  <c:pt idx="19">
                    <c:v>11:25</c:v>
                  </c:pt>
                  <c:pt idx="20">
                    <c:v>15:00</c:v>
                  </c:pt>
                  <c:pt idx="21">
                    <c:v>18:15</c:v>
                  </c:pt>
                  <c:pt idx="22">
                    <c:v>22:50</c:v>
                  </c:pt>
                  <c:pt idx="23">
                    <c:v>2:05</c:v>
                  </c:pt>
                  <c:pt idx="24">
                    <c:v>11:00</c:v>
                  </c:pt>
                  <c:pt idx="25">
                    <c:v>15:30</c:v>
                  </c:pt>
                  <c:pt idx="26">
                    <c:v>18:10</c:v>
                  </c:pt>
                  <c:pt idx="27">
                    <c:v>22:50</c:v>
                  </c:pt>
                  <c:pt idx="28">
                    <c:v>2:05</c:v>
                  </c:pt>
                  <c:pt idx="29">
                    <c:v>8:30</c:v>
                  </c:pt>
                  <c:pt idx="30">
                    <c:v>12:00</c:v>
                  </c:pt>
                  <c:pt idx="31">
                    <c:v>15:40</c:v>
                  </c:pt>
                  <c:pt idx="32">
                    <c:v>18:10</c:v>
                  </c:pt>
                  <c:pt idx="33">
                    <c:v>22:00</c:v>
                  </c:pt>
                  <c:pt idx="34">
                    <c:v>2:10</c:v>
                  </c:pt>
                  <c:pt idx="35">
                    <c:v>12:10</c:v>
                  </c:pt>
                  <c:pt idx="36">
                    <c:v>15:45</c:v>
                  </c:pt>
                  <c:pt idx="37">
                    <c:v>19:10</c:v>
                  </c:pt>
                  <c:pt idx="38">
                    <c:v>23:10</c:v>
                  </c:pt>
                  <c:pt idx="39">
                    <c:v>2:30</c:v>
                  </c:pt>
                  <c:pt idx="40">
                    <c:v>3:25</c:v>
                  </c:pt>
                  <c:pt idx="41">
                    <c:v>12:50</c:v>
                  </c:pt>
                  <c:pt idx="42">
                    <c:v>14:35</c:v>
                  </c:pt>
                  <c:pt idx="43">
                    <c:v>18:10</c:v>
                  </c:pt>
                  <c:pt idx="44">
                    <c:v>22:30</c:v>
                  </c:pt>
                  <c:pt idx="45">
                    <c:v>2:45</c:v>
                  </c:pt>
                  <c:pt idx="46">
                    <c:v>9:35</c:v>
                  </c:pt>
                  <c:pt idx="47">
                    <c:v>13:05</c:v>
                  </c:pt>
                  <c:pt idx="48">
                    <c:v>20:10</c:v>
                  </c:pt>
                  <c:pt idx="49">
                    <c:v>2:10</c:v>
                  </c:pt>
                  <c:pt idx="50">
                    <c:v>9:00</c:v>
                  </c:pt>
                  <c:pt idx="51">
                    <c:v>14:15</c:v>
                  </c:pt>
                  <c:pt idx="52">
                    <c:v>23:10</c:v>
                  </c:pt>
                  <c:pt idx="53">
                    <c:v>0:15</c:v>
                  </c:pt>
                  <c:pt idx="54">
                    <c:v>3:40</c:v>
                  </c:pt>
                  <c:pt idx="55">
                    <c:v>16:45</c:v>
                  </c:pt>
                  <c:pt idx="56">
                    <c:v>15:35</c:v>
                  </c:pt>
                  <c:pt idx="57">
                    <c:v>19:45</c:v>
                  </c:pt>
                  <c:pt idx="58">
                    <c:v>11:45</c:v>
                  </c:pt>
                  <c:pt idx="59">
                    <c:v>4:40</c:v>
                  </c:pt>
                  <c:pt idx="60">
                    <c:v>14:35</c:v>
                  </c:pt>
                  <c:pt idx="61">
                    <c:v>18:05</c:v>
                  </c:pt>
                  <c:pt idx="62">
                    <c:v>22:00</c:v>
                  </c:pt>
                  <c:pt idx="63">
                    <c:v>2:10</c:v>
                  </c:pt>
                  <c:pt idx="64">
                    <c:v>11:15</c:v>
                  </c:pt>
                  <c:pt idx="65">
                    <c:v>11:15</c:v>
                  </c:pt>
                  <c:pt idx="66">
                    <c:v>14:15</c:v>
                  </c:pt>
                  <c:pt idx="67">
                    <c:v>12:45</c:v>
                  </c:pt>
                  <c:pt idx="68">
                    <c:v>14:35</c:v>
                  </c:pt>
                  <c:pt idx="69">
                    <c:v>12:10</c:v>
                  </c:pt>
                  <c:pt idx="70">
                    <c:v>15:35</c:v>
                  </c:pt>
                  <c:pt idx="71">
                    <c:v>18:25</c:v>
                  </c:pt>
                  <c:pt idx="72">
                    <c:v>0:10</c:v>
                  </c:pt>
                  <c:pt idx="73">
                    <c:v>3:45</c:v>
                  </c:pt>
                  <c:pt idx="74">
                    <c:v>11:10</c:v>
                  </c:pt>
                  <c:pt idx="75">
                    <c:v>15:15</c:v>
                  </c:pt>
                  <c:pt idx="76">
                    <c:v>18:20</c:v>
                  </c:pt>
                  <c:pt idx="77">
                    <c:v>22:50</c:v>
                  </c:pt>
                  <c:pt idx="78">
                    <c:v>2:14</c:v>
                  </c:pt>
                  <c:pt idx="79">
                    <c:v>11:10</c:v>
                  </c:pt>
                  <c:pt idx="80">
                    <c:v>14:40</c:v>
                  </c:pt>
                  <c:pt idx="81">
                    <c:v>18:20</c:v>
                  </c:pt>
                  <c:pt idx="82">
                    <c:v>22:40</c:v>
                  </c:pt>
                  <c:pt idx="83">
                    <c:v>2:25</c:v>
                  </c:pt>
                  <c:pt idx="84">
                    <c:v>12:30</c:v>
                  </c:pt>
                  <c:pt idx="85">
                    <c:v>14:40</c:v>
                  </c:pt>
                  <c:pt idx="86">
                    <c:v>18:20</c:v>
                  </c:pt>
                  <c:pt idx="87">
                    <c:v>22:50</c:v>
                  </c:pt>
                  <c:pt idx="88">
                    <c:v>2:20</c:v>
                  </c:pt>
                  <c:pt idx="89">
                    <c:v>12:15</c:v>
                  </c:pt>
                  <c:pt idx="90">
                    <c:v>14:45</c:v>
                  </c:pt>
                  <c:pt idx="91">
                    <c:v>18:30</c:v>
                  </c:pt>
                  <c:pt idx="92">
                    <c:v>22:40</c:v>
                  </c:pt>
                  <c:pt idx="93">
                    <c:v>2:10</c:v>
                  </c:pt>
                  <c:pt idx="94">
                    <c:v>12:45</c:v>
                  </c:pt>
                  <c:pt idx="95">
                    <c:v>15:15</c:v>
                  </c:pt>
                  <c:pt idx="96">
                    <c:v>2:05</c:v>
                  </c:pt>
                  <c:pt idx="97">
                    <c:v>12:00</c:v>
                  </c:pt>
                  <c:pt idx="98">
                    <c:v>15:30</c:v>
                  </c:pt>
                  <c:pt idx="99">
                    <c:v>2:15</c:v>
                  </c:pt>
                  <c:pt idx="100">
                    <c:v>5:30</c:v>
                  </c:pt>
                  <c:pt idx="101">
                    <c:v>22:50</c:v>
                  </c:pt>
                  <c:pt idx="102">
                    <c:v>2:15</c:v>
                  </c:pt>
                  <c:pt idx="103">
                    <c:v>11:05</c:v>
                  </c:pt>
                  <c:pt idx="104">
                    <c:v>14:45</c:v>
                  </c:pt>
                  <c:pt idx="105">
                    <c:v>18:50</c:v>
                  </c:pt>
                  <c:pt idx="106">
                    <c:v>22:45</c:v>
                  </c:pt>
                  <c:pt idx="107">
                    <c:v>11:00</c:v>
                  </c:pt>
                  <c:pt idx="108">
                    <c:v>14:45</c:v>
                  </c:pt>
                  <c:pt idx="109">
                    <c:v>18:50</c:v>
                  </c:pt>
                  <c:pt idx="110">
                    <c:v>22:45</c:v>
                  </c:pt>
                  <c:pt idx="111">
                    <c:v>2:15</c:v>
                  </c:pt>
                  <c:pt idx="112">
                    <c:v>11:45</c:v>
                  </c:pt>
                  <c:pt idx="113">
                    <c:v>16:40</c:v>
                  </c:pt>
                  <c:pt idx="114">
                    <c:v>20:15</c:v>
                  </c:pt>
                  <c:pt idx="115">
                    <c:v>12:30</c:v>
                  </c:pt>
                  <c:pt idx="116">
                    <c:v>16:20</c:v>
                  </c:pt>
                  <c:pt idx="117">
                    <c:v>23:40</c:v>
                  </c:pt>
                  <c:pt idx="118">
                    <c:v>3:15</c:v>
                  </c:pt>
                  <c:pt idx="119">
                    <c:v>14:15</c:v>
                  </c:pt>
                  <c:pt idx="120">
                    <c:v>16:10</c:v>
                  </c:pt>
                  <c:pt idx="121">
                    <c:v>20:15</c:v>
                  </c:pt>
                  <c:pt idx="122">
                    <c:v>23:20</c:v>
                  </c:pt>
                  <c:pt idx="123">
                    <c:v>2:50</c:v>
                  </c:pt>
                  <c:pt idx="124">
                    <c:v>14:15</c:v>
                  </c:pt>
                  <c:pt idx="125">
                    <c:v>16:10</c:v>
                  </c:pt>
                  <c:pt idx="126">
                    <c:v>20:15</c:v>
                  </c:pt>
                  <c:pt idx="127">
                    <c:v>1:40</c:v>
                  </c:pt>
                  <c:pt idx="128">
                    <c:v>5:45</c:v>
                  </c:pt>
                  <c:pt idx="129">
                    <c:v>12:30</c:v>
                  </c:pt>
                  <c:pt idx="130">
                    <c:v>14:48</c:v>
                  </c:pt>
                  <c:pt idx="131">
                    <c:v>20:15</c:v>
                  </c:pt>
                  <c:pt idx="132">
                    <c:v>23:20</c:v>
                  </c:pt>
                  <c:pt idx="133">
                    <c:v>2:20</c:v>
                  </c:pt>
                  <c:pt idx="134">
                    <c:v>11:00</c:v>
                  </c:pt>
                  <c:pt idx="135">
                    <c:v>14:40</c:v>
                  </c:pt>
                  <c:pt idx="136">
                    <c:v>18:15</c:v>
                  </c:pt>
                  <c:pt idx="137">
                    <c:v>23:20</c:v>
                  </c:pt>
                  <c:pt idx="138">
                    <c:v>2:15</c:v>
                  </c:pt>
                  <c:pt idx="139">
                    <c:v>10:45</c:v>
                  </c:pt>
                  <c:pt idx="140">
                    <c:v>14:45</c:v>
                  </c:pt>
                  <c:pt idx="141">
                    <c:v>21:06</c:v>
                  </c:pt>
                  <c:pt idx="142">
                    <c:v>1:25</c:v>
                  </c:pt>
                  <c:pt idx="143">
                    <c:v>14:45</c:v>
                  </c:pt>
                  <c:pt idx="144">
                    <c:v>1:30</c:v>
                  </c:pt>
                  <c:pt idx="145">
                    <c:v>3:00</c:v>
                  </c:pt>
                  <c:pt idx="146">
                    <c:v>15:15</c:v>
                  </c:pt>
                  <c:pt idx="147">
                    <c:v>11:40</c:v>
                  </c:pt>
                  <c:pt idx="148">
                    <c:v>19:10</c:v>
                  </c:pt>
                  <c:pt idx="149">
                    <c:v>23:05</c:v>
                  </c:pt>
                  <c:pt idx="150">
                    <c:v>2:05</c:v>
                  </c:pt>
                  <c:pt idx="151">
                    <c:v>11:55</c:v>
                  </c:pt>
                  <c:pt idx="152">
                    <c:v>15:40</c:v>
                  </c:pt>
                  <c:pt idx="153">
                    <c:v>19:10</c:v>
                  </c:pt>
                  <c:pt idx="154">
                    <c:v>2:45</c:v>
                  </c:pt>
                  <c:pt idx="155">
                    <c:v>12:15</c:v>
                  </c:pt>
                  <c:pt idx="156">
                    <c:v>15:45</c:v>
                  </c:pt>
                  <c:pt idx="157">
                    <c:v>19:30</c:v>
                  </c:pt>
                  <c:pt idx="158">
                    <c:v>23:30</c:v>
                  </c:pt>
                  <c:pt idx="159">
                    <c:v>2:45</c:v>
                  </c:pt>
                  <c:pt idx="160">
                    <c:v>11:45</c:v>
                  </c:pt>
                  <c:pt idx="161">
                    <c:v>15:45</c:v>
                  </c:pt>
                  <c:pt idx="162">
                    <c:v>19:30</c:v>
                  </c:pt>
                  <c:pt idx="163">
                    <c:v>0:20</c:v>
                  </c:pt>
                  <c:pt idx="164">
                    <c:v>3:55</c:v>
                  </c:pt>
                  <c:pt idx="165">
                    <c:v>11:55</c:v>
                  </c:pt>
                  <c:pt idx="166">
                    <c:v>15:45</c:v>
                  </c:pt>
                  <c:pt idx="167">
                    <c:v>20:30</c:v>
                  </c:pt>
                  <c:pt idx="168">
                    <c:v>0:25</c:v>
                  </c:pt>
                  <c:pt idx="169">
                    <c:v>3:45</c:v>
                  </c:pt>
                  <c:pt idx="170">
                    <c:v>11:45</c:v>
                  </c:pt>
                  <c:pt idx="171">
                    <c:v>15:45</c:v>
                  </c:pt>
                  <c:pt idx="172">
                    <c:v>20:38</c:v>
                  </c:pt>
                  <c:pt idx="173">
                    <c:v>0:00</c:v>
                  </c:pt>
                  <c:pt idx="174">
                    <c:v>3:50</c:v>
                  </c:pt>
                  <c:pt idx="175">
                    <c:v>14:15</c:v>
                  </c:pt>
                  <c:pt idx="176">
                    <c:v>17:45</c:v>
                  </c:pt>
                  <c:pt idx="177">
                    <c:v>19:45</c:v>
                  </c:pt>
                  <c:pt idx="178">
                    <c:v>0:15</c:v>
                  </c:pt>
                  <c:pt idx="179">
                    <c:v>11:45</c:v>
                  </c:pt>
                  <c:pt idx="180">
                    <c:v>15:45</c:v>
                  </c:pt>
                  <c:pt idx="181">
                    <c:v>21:15</c:v>
                  </c:pt>
                  <c:pt idx="182">
                    <c:v>1:18</c:v>
                  </c:pt>
                  <c:pt idx="183">
                    <c:v>4:50</c:v>
                  </c:pt>
                  <c:pt idx="184">
                    <c:v>11:45</c:v>
                  </c:pt>
                  <c:pt idx="185">
                    <c:v>15:45</c:v>
                  </c:pt>
                  <c:pt idx="186">
                    <c:v>21:15</c:v>
                  </c:pt>
                  <c:pt idx="187">
                    <c:v>0:15</c:v>
                  </c:pt>
                  <c:pt idx="188">
                    <c:v>3:50</c:v>
                  </c:pt>
                  <c:pt idx="189">
                    <c:v>11:40</c:v>
                  </c:pt>
                  <c:pt idx="190">
                    <c:v>15:40</c:v>
                  </c:pt>
                  <c:pt idx="191">
                    <c:v>21:15</c:v>
                  </c:pt>
                  <c:pt idx="192">
                    <c:v>0:15</c:v>
                  </c:pt>
                  <c:pt idx="193">
                    <c:v>3:40</c:v>
                  </c:pt>
                  <c:pt idx="194">
                    <c:v>11:35</c:v>
                  </c:pt>
                  <c:pt idx="195">
                    <c:v>15:45</c:v>
                  </c:pt>
                  <c:pt idx="196">
                    <c:v>21:00</c:v>
                  </c:pt>
                </c:lvl>
                <c:lvl>
                  <c:pt idx="0">
                    <c:v>30-Dec-15</c:v>
                  </c:pt>
                  <c:pt idx="1">
                    <c:v>30-Dec-15</c:v>
                  </c:pt>
                  <c:pt idx="2">
                    <c:v>30-Dec-15</c:v>
                  </c:pt>
                  <c:pt idx="3">
                    <c:v>30-Dec-15</c:v>
                  </c:pt>
                  <c:pt idx="4">
                    <c:v>30-Dec-15</c:v>
                  </c:pt>
                  <c:pt idx="5">
                    <c:v>31-Dec-15</c:v>
                  </c:pt>
                  <c:pt idx="6">
                    <c:v>31-Dec-15</c:v>
                  </c:pt>
                  <c:pt idx="7">
                    <c:v>31-Dec-15</c:v>
                  </c:pt>
                  <c:pt idx="8">
                    <c:v>31-Dec-15</c:v>
                  </c:pt>
                  <c:pt idx="9">
                    <c:v>31-Dec-15</c:v>
                  </c:pt>
                  <c:pt idx="10">
                    <c:v>31-Dec-15</c:v>
                  </c:pt>
                  <c:pt idx="11">
                    <c:v>1-Jan-16</c:v>
                  </c:pt>
                  <c:pt idx="12">
                    <c:v>1-Jan-16</c:v>
                  </c:pt>
                  <c:pt idx="13">
                    <c:v>1-Jan-16</c:v>
                  </c:pt>
                  <c:pt idx="14">
                    <c:v>1-Jan-16</c:v>
                  </c:pt>
                  <c:pt idx="15">
                    <c:v>1-Jan-16</c:v>
                  </c:pt>
                  <c:pt idx="16">
                    <c:v>1-Jan-16</c:v>
                  </c:pt>
                  <c:pt idx="17">
                    <c:v>1-Jan-16</c:v>
                  </c:pt>
                  <c:pt idx="18">
                    <c:v>2-Jan-16</c:v>
                  </c:pt>
                  <c:pt idx="19">
                    <c:v>2-Jan-16</c:v>
                  </c:pt>
                  <c:pt idx="20">
                    <c:v>2-Jan-16</c:v>
                  </c:pt>
                  <c:pt idx="21">
                    <c:v>2-Jan-16</c:v>
                  </c:pt>
                  <c:pt idx="22">
                    <c:v>2-Jan-16</c:v>
                  </c:pt>
                  <c:pt idx="23">
                    <c:v>3-Jan-16</c:v>
                  </c:pt>
                  <c:pt idx="24">
                    <c:v>3-Jan-16</c:v>
                  </c:pt>
                  <c:pt idx="25">
                    <c:v>3-Jan-16</c:v>
                  </c:pt>
                  <c:pt idx="26">
                    <c:v>3-Jan-16</c:v>
                  </c:pt>
                  <c:pt idx="27">
                    <c:v>3-Jan-16</c:v>
                  </c:pt>
                  <c:pt idx="28">
                    <c:v>4-Jan-16</c:v>
                  </c:pt>
                  <c:pt idx="29">
                    <c:v>4-Jan-16</c:v>
                  </c:pt>
                  <c:pt idx="30">
                    <c:v>4-Jan-16</c:v>
                  </c:pt>
                  <c:pt idx="31">
                    <c:v>4-Jan-16</c:v>
                  </c:pt>
                  <c:pt idx="32">
                    <c:v>4-Jan-16</c:v>
                  </c:pt>
                  <c:pt idx="33">
                    <c:v>4-Jan-16</c:v>
                  </c:pt>
                  <c:pt idx="34">
                    <c:v>5-Jan-16</c:v>
                  </c:pt>
                  <c:pt idx="35">
                    <c:v>5-Jan-16</c:v>
                  </c:pt>
                  <c:pt idx="36">
                    <c:v>5-Jan-16</c:v>
                  </c:pt>
                  <c:pt idx="37">
                    <c:v>5-Jan-16</c:v>
                  </c:pt>
                  <c:pt idx="38">
                    <c:v>5-Jan-16</c:v>
                  </c:pt>
                  <c:pt idx="39">
                    <c:v>6-Jan-16</c:v>
                  </c:pt>
                  <c:pt idx="40">
                    <c:v>6-Jan-16</c:v>
                  </c:pt>
                  <c:pt idx="41">
                    <c:v>6-Jan-16</c:v>
                  </c:pt>
                  <c:pt idx="42">
                    <c:v>6-Jan-16</c:v>
                  </c:pt>
                  <c:pt idx="43">
                    <c:v>6-Jan-16</c:v>
                  </c:pt>
                  <c:pt idx="44">
                    <c:v>6-Jan-16</c:v>
                  </c:pt>
                  <c:pt idx="45">
                    <c:v>7-Jan-16</c:v>
                  </c:pt>
                  <c:pt idx="46">
                    <c:v>7-Jan-16</c:v>
                  </c:pt>
                  <c:pt idx="47">
                    <c:v>7-Jan-16</c:v>
                  </c:pt>
                  <c:pt idx="48">
                    <c:v>7-Jan-16</c:v>
                  </c:pt>
                  <c:pt idx="49">
                    <c:v>8-Jan-16</c:v>
                  </c:pt>
                  <c:pt idx="50">
                    <c:v>8-Jan-16</c:v>
                  </c:pt>
                  <c:pt idx="51">
                    <c:v>8-Jan-16</c:v>
                  </c:pt>
                  <c:pt idx="52">
                    <c:v>8-Jan-16</c:v>
                  </c:pt>
                  <c:pt idx="53">
                    <c:v>9-Jan-16</c:v>
                  </c:pt>
                  <c:pt idx="54">
                    <c:v>9-Jan-16</c:v>
                  </c:pt>
                  <c:pt idx="55">
                    <c:v>9-Jan-16</c:v>
                  </c:pt>
                  <c:pt idx="56">
                    <c:v>10-Jan-16</c:v>
                  </c:pt>
                  <c:pt idx="57">
                    <c:v>10-Jan-16</c:v>
                  </c:pt>
                  <c:pt idx="58">
                    <c:v>10-Jan-16</c:v>
                  </c:pt>
                  <c:pt idx="59">
                    <c:v>11-Jan-16</c:v>
                  </c:pt>
                  <c:pt idx="60">
                    <c:v>11-Jan-16</c:v>
                  </c:pt>
                  <c:pt idx="61">
                    <c:v>11-Jan-16</c:v>
                  </c:pt>
                  <c:pt idx="62">
                    <c:v>11-Jan-16</c:v>
                  </c:pt>
                  <c:pt idx="63">
                    <c:v>12-Jan-16</c:v>
                  </c:pt>
                  <c:pt idx="64">
                    <c:v>13-Jan-16</c:v>
                  </c:pt>
                  <c:pt idx="65">
                    <c:v>14-Jan-16</c:v>
                  </c:pt>
                  <c:pt idx="66">
                    <c:v>15-Jan-16</c:v>
                  </c:pt>
                  <c:pt idx="67">
                    <c:v>16-Jan-16</c:v>
                  </c:pt>
                  <c:pt idx="68">
                    <c:v>16-Jan-16</c:v>
                  </c:pt>
                  <c:pt idx="69">
                    <c:v>17-Jan-16</c:v>
                  </c:pt>
                  <c:pt idx="70">
                    <c:v>17-Jan-16</c:v>
                  </c:pt>
                  <c:pt idx="71">
                    <c:v>17-Jan-16</c:v>
                  </c:pt>
                  <c:pt idx="72">
                    <c:v>18-Jan-16</c:v>
                  </c:pt>
                  <c:pt idx="73">
                    <c:v>18-Jan-16</c:v>
                  </c:pt>
                  <c:pt idx="74">
                    <c:v>18-Jan-16</c:v>
                  </c:pt>
                  <c:pt idx="75">
                    <c:v>18-Jan-16</c:v>
                  </c:pt>
                  <c:pt idx="76">
                    <c:v>18-Jan-16</c:v>
                  </c:pt>
                  <c:pt idx="77">
                    <c:v>18-Jan-16</c:v>
                  </c:pt>
                  <c:pt idx="78">
                    <c:v>19-Jan-16</c:v>
                  </c:pt>
                  <c:pt idx="79">
                    <c:v>19-Jan-16</c:v>
                  </c:pt>
                  <c:pt idx="80">
                    <c:v>19-Jan-16</c:v>
                  </c:pt>
                  <c:pt idx="81">
                    <c:v>19-Jan-16</c:v>
                  </c:pt>
                  <c:pt idx="82">
                    <c:v>19-Jan-16</c:v>
                  </c:pt>
                  <c:pt idx="83">
                    <c:v>20-Jan-16</c:v>
                  </c:pt>
                  <c:pt idx="84">
                    <c:v>20-Jan-16</c:v>
                  </c:pt>
                  <c:pt idx="85">
                    <c:v>20-Jan-16</c:v>
                  </c:pt>
                  <c:pt idx="86">
                    <c:v>20-Jan-16</c:v>
                  </c:pt>
                  <c:pt idx="87">
                    <c:v>20-Jan-16</c:v>
                  </c:pt>
                  <c:pt idx="88">
                    <c:v>21-Jan-16</c:v>
                  </c:pt>
                  <c:pt idx="89">
                    <c:v>21-Jan-16</c:v>
                  </c:pt>
                  <c:pt idx="90">
                    <c:v>21-Jan-16</c:v>
                  </c:pt>
                  <c:pt idx="91">
                    <c:v>21-Jan-16</c:v>
                  </c:pt>
                  <c:pt idx="92">
                    <c:v>21-Jan-16</c:v>
                  </c:pt>
                  <c:pt idx="93">
                    <c:v>22-Jan-16</c:v>
                  </c:pt>
                  <c:pt idx="94">
                    <c:v>22-Jan-16</c:v>
                  </c:pt>
                  <c:pt idx="95">
                    <c:v>22-Jan-16</c:v>
                  </c:pt>
                  <c:pt idx="96">
                    <c:v>23-Jan-16</c:v>
                  </c:pt>
                  <c:pt idx="97">
                    <c:v>23-Jan-16</c:v>
                  </c:pt>
                  <c:pt idx="98">
                    <c:v>23-Jan-16</c:v>
                  </c:pt>
                  <c:pt idx="99">
                    <c:v>24-Jan-16</c:v>
                  </c:pt>
                  <c:pt idx="100">
                    <c:v>24-Jan-16</c:v>
                  </c:pt>
                  <c:pt idx="101">
                    <c:v>24-Jan-16</c:v>
                  </c:pt>
                  <c:pt idx="102">
                    <c:v>25-Jan-16</c:v>
                  </c:pt>
                  <c:pt idx="103">
                    <c:v>25-Jan-16</c:v>
                  </c:pt>
                  <c:pt idx="104">
                    <c:v>25-Jan-16</c:v>
                  </c:pt>
                  <c:pt idx="105">
                    <c:v>25-Jan-16</c:v>
                  </c:pt>
                  <c:pt idx="106">
                    <c:v>26-Jan-16</c:v>
                  </c:pt>
                  <c:pt idx="107">
                    <c:v>26-Jan-16</c:v>
                  </c:pt>
                  <c:pt idx="108">
                    <c:v>26-Jan-16</c:v>
                  </c:pt>
                  <c:pt idx="109">
                    <c:v>26-Jan-16</c:v>
                  </c:pt>
                  <c:pt idx="110">
                    <c:v>26-Jan-16</c:v>
                  </c:pt>
                  <c:pt idx="111">
                    <c:v>27-Jan-16</c:v>
                  </c:pt>
                  <c:pt idx="112">
                    <c:v>27-Jan-16</c:v>
                  </c:pt>
                  <c:pt idx="113">
                    <c:v>27-Jan-16</c:v>
                  </c:pt>
                  <c:pt idx="114">
                    <c:v>27-Jan-16</c:v>
                  </c:pt>
                  <c:pt idx="115">
                    <c:v>28-Jan-16</c:v>
                  </c:pt>
                  <c:pt idx="116">
                    <c:v>28-Jan-16</c:v>
                  </c:pt>
                  <c:pt idx="117">
                    <c:v>28-Jan-16</c:v>
                  </c:pt>
                  <c:pt idx="118">
                    <c:v>29-Jan-16</c:v>
                  </c:pt>
                  <c:pt idx="119">
                    <c:v>29-Jan-16</c:v>
                  </c:pt>
                  <c:pt idx="120">
                    <c:v>29-Jan-16</c:v>
                  </c:pt>
                  <c:pt idx="121">
                    <c:v>29-Jan-16</c:v>
                  </c:pt>
                  <c:pt idx="122">
                    <c:v>29-Jan-16</c:v>
                  </c:pt>
                  <c:pt idx="123">
                    <c:v>30-Jan-16</c:v>
                  </c:pt>
                  <c:pt idx="124">
                    <c:v>30-Jan-16</c:v>
                  </c:pt>
                  <c:pt idx="125">
                    <c:v>30-Jan-16</c:v>
                  </c:pt>
                  <c:pt idx="126">
                    <c:v>30-Jan-16</c:v>
                  </c:pt>
                  <c:pt idx="127">
                    <c:v>31-Jan-16</c:v>
                  </c:pt>
                  <c:pt idx="128">
                    <c:v>31-Jan-16</c:v>
                  </c:pt>
                  <c:pt idx="129">
                    <c:v>1-Feb-16</c:v>
                  </c:pt>
                  <c:pt idx="130">
                    <c:v>1-Feb-16</c:v>
                  </c:pt>
                  <c:pt idx="131">
                    <c:v>1-Feb-16</c:v>
                  </c:pt>
                  <c:pt idx="132">
                    <c:v>1-Feb-16</c:v>
                  </c:pt>
                  <c:pt idx="133">
                    <c:v>2-Feb-16</c:v>
                  </c:pt>
                  <c:pt idx="134">
                    <c:v>2-Feb-16</c:v>
                  </c:pt>
                  <c:pt idx="135">
                    <c:v>2-Feb-16</c:v>
                  </c:pt>
                  <c:pt idx="136">
                    <c:v>2-Feb-16</c:v>
                  </c:pt>
                  <c:pt idx="137">
                    <c:v>2-Feb-16</c:v>
                  </c:pt>
                  <c:pt idx="138">
                    <c:v>3-Feb-16</c:v>
                  </c:pt>
                  <c:pt idx="139">
                    <c:v>3-Feb-16</c:v>
                  </c:pt>
                  <c:pt idx="140">
                    <c:v>3-Feb-16</c:v>
                  </c:pt>
                  <c:pt idx="141">
                    <c:v>3-Feb-16</c:v>
                  </c:pt>
                  <c:pt idx="142">
                    <c:v>4-Feb-16</c:v>
                  </c:pt>
                  <c:pt idx="143">
                    <c:v>4-Feb-16</c:v>
                  </c:pt>
                  <c:pt idx="144">
                    <c:v>4-Feb-16</c:v>
                  </c:pt>
                  <c:pt idx="145">
                    <c:v>5-Feb-16</c:v>
                  </c:pt>
                  <c:pt idx="146">
                    <c:v>5-Feb-16</c:v>
                  </c:pt>
                  <c:pt idx="147">
                    <c:v>6-Feb-16</c:v>
                  </c:pt>
                  <c:pt idx="148">
                    <c:v>6-Feb-16</c:v>
                  </c:pt>
                  <c:pt idx="149">
                    <c:v>6-Feb-16</c:v>
                  </c:pt>
                  <c:pt idx="150">
                    <c:v>7-Feb-16</c:v>
                  </c:pt>
                  <c:pt idx="151">
                    <c:v>7-Feb-16</c:v>
                  </c:pt>
                  <c:pt idx="152">
                    <c:v>7-Feb-16</c:v>
                  </c:pt>
                  <c:pt idx="153">
                    <c:v>7-Feb-16</c:v>
                  </c:pt>
                  <c:pt idx="154">
                    <c:v>8-Feb-16</c:v>
                  </c:pt>
                  <c:pt idx="155">
                    <c:v>8-Feb-16</c:v>
                  </c:pt>
                  <c:pt idx="156">
                    <c:v>8-Feb-16</c:v>
                  </c:pt>
                  <c:pt idx="157">
                    <c:v>8-Feb-16</c:v>
                  </c:pt>
                  <c:pt idx="158">
                    <c:v>8-Feb-16</c:v>
                  </c:pt>
                  <c:pt idx="159">
                    <c:v>9-Feb-16</c:v>
                  </c:pt>
                  <c:pt idx="160">
                    <c:v>9-Feb-16</c:v>
                  </c:pt>
                  <c:pt idx="161">
                    <c:v>9-Feb-16</c:v>
                  </c:pt>
                  <c:pt idx="162">
                    <c:v>9-Feb-16</c:v>
                  </c:pt>
                  <c:pt idx="163">
                    <c:v>10-Feb-16</c:v>
                  </c:pt>
                  <c:pt idx="164">
                    <c:v>10-Feb-16</c:v>
                  </c:pt>
                  <c:pt idx="165">
                    <c:v>10-Feb-16</c:v>
                  </c:pt>
                  <c:pt idx="166">
                    <c:v>10-Feb-16</c:v>
                  </c:pt>
                  <c:pt idx="167">
                    <c:v>10-Feb-16</c:v>
                  </c:pt>
                  <c:pt idx="168">
                    <c:v>11-Feb-16</c:v>
                  </c:pt>
                  <c:pt idx="169">
                    <c:v>11-Feb-16</c:v>
                  </c:pt>
                  <c:pt idx="170">
                    <c:v>11-Feb-16</c:v>
                  </c:pt>
                  <c:pt idx="171">
                    <c:v>11-Feb-16</c:v>
                  </c:pt>
                  <c:pt idx="172">
                    <c:v>11-Feb-16</c:v>
                  </c:pt>
                  <c:pt idx="173">
                    <c:v>12-Feb-16</c:v>
                  </c:pt>
                  <c:pt idx="174">
                    <c:v>12-Feb-16</c:v>
                  </c:pt>
                  <c:pt idx="175">
                    <c:v>12-Feb-16</c:v>
                  </c:pt>
                  <c:pt idx="176">
                    <c:v>12-Feb-16</c:v>
                  </c:pt>
                  <c:pt idx="177">
                    <c:v>12-Feb-16</c:v>
                  </c:pt>
                  <c:pt idx="178">
                    <c:v>13-Feb-16</c:v>
                  </c:pt>
                  <c:pt idx="179">
                    <c:v>13-Feb-16</c:v>
                  </c:pt>
                  <c:pt idx="180">
                    <c:v>13-Feb-16</c:v>
                  </c:pt>
                  <c:pt idx="181">
                    <c:v>13-Feb-16</c:v>
                  </c:pt>
                  <c:pt idx="182">
                    <c:v>14-Feb-16</c:v>
                  </c:pt>
                  <c:pt idx="183">
                    <c:v>14-Feb-16</c:v>
                  </c:pt>
                  <c:pt idx="184">
                    <c:v>14-Feb-16</c:v>
                  </c:pt>
                  <c:pt idx="185">
                    <c:v>14-Feb-16</c:v>
                  </c:pt>
                  <c:pt idx="186">
                    <c:v>14-Feb-16</c:v>
                  </c:pt>
                  <c:pt idx="187">
                    <c:v>15-Feb-16</c:v>
                  </c:pt>
                  <c:pt idx="188">
                    <c:v>15-Feb-16</c:v>
                  </c:pt>
                  <c:pt idx="189">
                    <c:v>15-Feb-16</c:v>
                  </c:pt>
                  <c:pt idx="190">
                    <c:v>15-Feb-16</c:v>
                  </c:pt>
                  <c:pt idx="191">
                    <c:v>15-Feb-16</c:v>
                  </c:pt>
                  <c:pt idx="192">
                    <c:v>16-Feb-16</c:v>
                  </c:pt>
                  <c:pt idx="193">
                    <c:v>16-Feb-16</c:v>
                  </c:pt>
                  <c:pt idx="194">
                    <c:v>16-Feb-16</c:v>
                  </c:pt>
                  <c:pt idx="195">
                    <c:v>16-Feb-16</c:v>
                  </c:pt>
                  <c:pt idx="196">
                    <c:v>16-Feb-16</c:v>
                  </c:pt>
                </c:lvl>
              </c:multiLvlStrCache>
            </c:multiLvlStrRef>
          </c:cat>
          <c:val>
            <c:numRef>
              <c:f>'Coke Moisture'!$H$4:$H$1501</c:f>
              <c:numCache>
                <c:formatCode>0.0</c:formatCode>
                <c:ptCount val="1498"/>
                <c:pt idx="0">
                  <c:v>14</c:v>
                </c:pt>
                <c:pt idx="1">
                  <c:v>13</c:v>
                </c:pt>
                <c:pt idx="2">
                  <c:v>15.2</c:v>
                </c:pt>
                <c:pt idx="3">
                  <c:v>18.5</c:v>
                </c:pt>
                <c:pt idx="4">
                  <c:v>14.1</c:v>
                </c:pt>
                <c:pt idx="5">
                  <c:v>14.5</c:v>
                </c:pt>
                <c:pt idx="6">
                  <c:v>12</c:v>
                </c:pt>
                <c:pt idx="7">
                  <c:v>17</c:v>
                </c:pt>
                <c:pt idx="8">
                  <c:v>17.600000000000001</c:v>
                </c:pt>
                <c:pt idx="9">
                  <c:v>18</c:v>
                </c:pt>
                <c:pt idx="10">
                  <c:v>15.2</c:v>
                </c:pt>
                <c:pt idx="11">
                  <c:v>15</c:v>
                </c:pt>
                <c:pt idx="12">
                  <c:v>14.5</c:v>
                </c:pt>
                <c:pt idx="13">
                  <c:v>19.8</c:v>
                </c:pt>
                <c:pt idx="14">
                  <c:v>14.733333333333334</c:v>
                </c:pt>
                <c:pt idx="15">
                  <c:v>18.8</c:v>
                </c:pt>
                <c:pt idx="16">
                  <c:v>16.033333333333335</c:v>
                </c:pt>
                <c:pt idx="17">
                  <c:v>15.5</c:v>
                </c:pt>
                <c:pt idx="18">
                  <c:v>15.866666666666667</c:v>
                </c:pt>
                <c:pt idx="19">
                  <c:v>13.366666666666667</c:v>
                </c:pt>
                <c:pt idx="20">
                  <c:v>16.266666666666666</c:v>
                </c:pt>
                <c:pt idx="21">
                  <c:v>14.233333333333334</c:v>
                </c:pt>
                <c:pt idx="22">
                  <c:v>12.9</c:v>
                </c:pt>
                <c:pt idx="23">
                  <c:v>15.9</c:v>
                </c:pt>
                <c:pt idx="24">
                  <c:v>15.366666666666665</c:v>
                </c:pt>
                <c:pt idx="25">
                  <c:v>18.766666666666666</c:v>
                </c:pt>
                <c:pt idx="26">
                  <c:v>18.400000000000002</c:v>
                </c:pt>
                <c:pt idx="27">
                  <c:v>18.266666666666666</c:v>
                </c:pt>
                <c:pt idx="28">
                  <c:v>19.933333333333334</c:v>
                </c:pt>
                <c:pt idx="29">
                  <c:v>17.766666666666666</c:v>
                </c:pt>
                <c:pt idx="30">
                  <c:v>15.033333333333331</c:v>
                </c:pt>
                <c:pt idx="31">
                  <c:v>22.166666666666668</c:v>
                </c:pt>
                <c:pt idx="32">
                  <c:v>19.7</c:v>
                </c:pt>
                <c:pt idx="33">
                  <c:v>15.9</c:v>
                </c:pt>
                <c:pt idx="34">
                  <c:v>16.433333333333334</c:v>
                </c:pt>
                <c:pt idx="35">
                  <c:v>19.7</c:v>
                </c:pt>
                <c:pt idx="36">
                  <c:v>17.7</c:v>
                </c:pt>
                <c:pt idx="37">
                  <c:v>19.666666666666668</c:v>
                </c:pt>
                <c:pt idx="38">
                  <c:v>18.433333333333334</c:v>
                </c:pt>
                <c:pt idx="39">
                  <c:v>22</c:v>
                </c:pt>
                <c:pt idx="40">
                  <c:v>17.3</c:v>
                </c:pt>
                <c:pt idx="41">
                  <c:v>15.233333333333333</c:v>
                </c:pt>
                <c:pt idx="42">
                  <c:v>19.7</c:v>
                </c:pt>
                <c:pt idx="43">
                  <c:v>14.299999999999999</c:v>
                </c:pt>
                <c:pt idx="44">
                  <c:v>17.600000000000001</c:v>
                </c:pt>
                <c:pt idx="45">
                  <c:v>16.099999999999998</c:v>
                </c:pt>
                <c:pt idx="46">
                  <c:v>15.566666666666668</c:v>
                </c:pt>
                <c:pt idx="47">
                  <c:v>21.666666666666668</c:v>
                </c:pt>
                <c:pt idx="48">
                  <c:v>20.299999999999997</c:v>
                </c:pt>
                <c:pt idx="49">
                  <c:v>15.533333333333333</c:v>
                </c:pt>
                <c:pt idx="50">
                  <c:v>16.466666666666669</c:v>
                </c:pt>
                <c:pt idx="51">
                  <c:v>17.7</c:v>
                </c:pt>
                <c:pt idx="52">
                  <c:v>13.666666666666666</c:v>
                </c:pt>
                <c:pt idx="53">
                  <c:v>14.666666666666666</c:v>
                </c:pt>
                <c:pt idx="54">
                  <c:v>17.366666666666664</c:v>
                </c:pt>
                <c:pt idx="55">
                  <c:v>16</c:v>
                </c:pt>
                <c:pt idx="56">
                  <c:v>16.8</c:v>
                </c:pt>
                <c:pt idx="57">
                  <c:v>15.9</c:v>
                </c:pt>
                <c:pt idx="58">
                  <c:v>15.199999999999998</c:v>
                </c:pt>
                <c:pt idx="59">
                  <c:v>15.966666666666669</c:v>
                </c:pt>
                <c:pt idx="60">
                  <c:v>16.833333333333332</c:v>
                </c:pt>
                <c:pt idx="61">
                  <c:v>15.366666666666665</c:v>
                </c:pt>
                <c:pt idx="62">
                  <c:v>15.433333333333332</c:v>
                </c:pt>
                <c:pt idx="63">
                  <c:v>18.066666666666666</c:v>
                </c:pt>
                <c:pt idx="64">
                  <c:v>15.533333333333333</c:v>
                </c:pt>
                <c:pt idx="65">
                  <c:v>14</c:v>
                </c:pt>
                <c:pt idx="66">
                  <c:v>16.966666666666665</c:v>
                </c:pt>
                <c:pt idx="67">
                  <c:v>19.633333333333333</c:v>
                </c:pt>
                <c:pt idx="68">
                  <c:v>19.599999999999998</c:v>
                </c:pt>
                <c:pt idx="69">
                  <c:v>16.166666666666668</c:v>
                </c:pt>
                <c:pt idx="70">
                  <c:v>16</c:v>
                </c:pt>
                <c:pt idx="71">
                  <c:v>16.5</c:v>
                </c:pt>
                <c:pt idx="72">
                  <c:v>15.466666666666669</c:v>
                </c:pt>
                <c:pt idx="73">
                  <c:v>14.85</c:v>
                </c:pt>
                <c:pt idx="74">
                  <c:v>17.3</c:v>
                </c:pt>
                <c:pt idx="75">
                  <c:v>14.799999999999999</c:v>
                </c:pt>
                <c:pt idx="76">
                  <c:v>17.733333333333331</c:v>
                </c:pt>
                <c:pt idx="77">
                  <c:v>15.6</c:v>
                </c:pt>
                <c:pt idx="78">
                  <c:v>16.3</c:v>
                </c:pt>
                <c:pt idx="79">
                  <c:v>19.066666666666666</c:v>
                </c:pt>
                <c:pt idx="80">
                  <c:v>17.266666666666666</c:v>
                </c:pt>
                <c:pt idx="81">
                  <c:v>15.566666666666668</c:v>
                </c:pt>
                <c:pt idx="82">
                  <c:v>14.533333333333333</c:v>
                </c:pt>
                <c:pt idx="83">
                  <c:v>16.333333333333332</c:v>
                </c:pt>
                <c:pt idx="84">
                  <c:v>17.333333333333332</c:v>
                </c:pt>
                <c:pt idx="85">
                  <c:v>15.566666666666668</c:v>
                </c:pt>
                <c:pt idx="86">
                  <c:v>16.866666666666667</c:v>
                </c:pt>
                <c:pt idx="87">
                  <c:v>19.333333333333332</c:v>
                </c:pt>
                <c:pt idx="88">
                  <c:v>16.3</c:v>
                </c:pt>
                <c:pt idx="89">
                  <c:v>18.466666666666665</c:v>
                </c:pt>
                <c:pt idx="90">
                  <c:v>18.066666666666666</c:v>
                </c:pt>
                <c:pt idx="91">
                  <c:v>17.7</c:v>
                </c:pt>
                <c:pt idx="92">
                  <c:v>15.4</c:v>
                </c:pt>
                <c:pt idx="93">
                  <c:v>15.800000000000002</c:v>
                </c:pt>
                <c:pt idx="94">
                  <c:v>16.666666666666668</c:v>
                </c:pt>
                <c:pt idx="95">
                  <c:v>15.766666666666666</c:v>
                </c:pt>
                <c:pt idx="96">
                  <c:v>15.833333333333334</c:v>
                </c:pt>
                <c:pt idx="97">
                  <c:v>16.933333333333334</c:v>
                </c:pt>
                <c:pt idx="98">
                  <c:v>18.566666666666666</c:v>
                </c:pt>
                <c:pt idx="99">
                  <c:v>15.633333333333333</c:v>
                </c:pt>
                <c:pt idx="100">
                  <c:v>15.333333333333334</c:v>
                </c:pt>
                <c:pt idx="101">
                  <c:v>14.333333333333334</c:v>
                </c:pt>
                <c:pt idx="102">
                  <c:v>18.066666666666666</c:v>
                </c:pt>
                <c:pt idx="103">
                  <c:v>18.3</c:v>
                </c:pt>
                <c:pt idx="104">
                  <c:v>17.533333333333335</c:v>
                </c:pt>
                <c:pt idx="105">
                  <c:v>15.433333333333332</c:v>
                </c:pt>
                <c:pt idx="106">
                  <c:v>16.733333333333331</c:v>
                </c:pt>
                <c:pt idx="107">
                  <c:v>18.666666666666668</c:v>
                </c:pt>
                <c:pt idx="108">
                  <c:v>19.233333333333334</c:v>
                </c:pt>
                <c:pt idx="109">
                  <c:v>18.366666666666671</c:v>
                </c:pt>
                <c:pt idx="110">
                  <c:v>15.566666666666668</c:v>
                </c:pt>
                <c:pt idx="111">
                  <c:v>17.533333333333335</c:v>
                </c:pt>
                <c:pt idx="112">
                  <c:v>16.566666666666666</c:v>
                </c:pt>
                <c:pt idx="113">
                  <c:v>19.433333333333334</c:v>
                </c:pt>
                <c:pt idx="114">
                  <c:v>15.1</c:v>
                </c:pt>
                <c:pt idx="115">
                  <c:v>19.633333333333329</c:v>
                </c:pt>
                <c:pt idx="116">
                  <c:v>14.833333333333334</c:v>
                </c:pt>
                <c:pt idx="117">
                  <c:v>18.066666666666666</c:v>
                </c:pt>
                <c:pt idx="118">
                  <c:v>16.466666666666665</c:v>
                </c:pt>
                <c:pt idx="119">
                  <c:v>17.400000000000002</c:v>
                </c:pt>
                <c:pt idx="120">
                  <c:v>17.233333333333331</c:v>
                </c:pt>
                <c:pt idx="121">
                  <c:v>15.833333333333334</c:v>
                </c:pt>
                <c:pt idx="122">
                  <c:v>18.100000000000001</c:v>
                </c:pt>
                <c:pt idx="123">
                  <c:v>17.233333333333334</c:v>
                </c:pt>
                <c:pt idx="124">
                  <c:v>22</c:v>
                </c:pt>
                <c:pt idx="125">
                  <c:v>15.800000000000002</c:v>
                </c:pt>
                <c:pt idx="126">
                  <c:v>15.299999999999999</c:v>
                </c:pt>
                <c:pt idx="127">
                  <c:v>13.966666666666667</c:v>
                </c:pt>
                <c:pt idx="128">
                  <c:v>18.066666666666666</c:v>
                </c:pt>
                <c:pt idx="129">
                  <c:v>18</c:v>
                </c:pt>
                <c:pt idx="130">
                  <c:v>18.499999999999996</c:v>
                </c:pt>
                <c:pt idx="131">
                  <c:v>14.700000000000001</c:v>
                </c:pt>
                <c:pt idx="132">
                  <c:v>17.3</c:v>
                </c:pt>
                <c:pt idx="133">
                  <c:v>17.8</c:v>
                </c:pt>
                <c:pt idx="134">
                  <c:v>14.966666666666667</c:v>
                </c:pt>
                <c:pt idx="135">
                  <c:v>13.733333333333334</c:v>
                </c:pt>
                <c:pt idx="136">
                  <c:v>15.133333333333333</c:v>
                </c:pt>
                <c:pt idx="137">
                  <c:v>12.166666666666666</c:v>
                </c:pt>
                <c:pt idx="138">
                  <c:v>14.966666666666669</c:v>
                </c:pt>
                <c:pt idx="139">
                  <c:v>13.533333333333331</c:v>
                </c:pt>
                <c:pt idx="140">
                  <c:v>15.766666666666666</c:v>
                </c:pt>
                <c:pt idx="141">
                  <c:v>13.5</c:v>
                </c:pt>
                <c:pt idx="142">
                  <c:v>14.666666666666666</c:v>
                </c:pt>
                <c:pt idx="143">
                  <c:v>15.333333333333334</c:v>
                </c:pt>
                <c:pt idx="144">
                  <c:v>14.5</c:v>
                </c:pt>
                <c:pt idx="145">
                  <c:v>15.333333333333334</c:v>
                </c:pt>
                <c:pt idx="146">
                  <c:v>16.2</c:v>
                </c:pt>
                <c:pt idx="147">
                  <c:v>14.5</c:v>
                </c:pt>
                <c:pt idx="148">
                  <c:v>10.5</c:v>
                </c:pt>
                <c:pt idx="149">
                  <c:v>13.166666666666666</c:v>
                </c:pt>
                <c:pt idx="150">
                  <c:v>13.766666666666666</c:v>
                </c:pt>
                <c:pt idx="151">
                  <c:v>14.333333333333334</c:v>
                </c:pt>
                <c:pt idx="152">
                  <c:v>16.466666666666665</c:v>
                </c:pt>
                <c:pt idx="153">
                  <c:v>15.200000000000001</c:v>
                </c:pt>
                <c:pt idx="154">
                  <c:v>16.566666666666666</c:v>
                </c:pt>
                <c:pt idx="155">
                  <c:v>17.700000000000003</c:v>
                </c:pt>
                <c:pt idx="156">
                  <c:v>17.333333333333332</c:v>
                </c:pt>
                <c:pt idx="157">
                  <c:v>11.199999999999998</c:v>
                </c:pt>
                <c:pt idx="158">
                  <c:v>17.399999999999999</c:v>
                </c:pt>
                <c:pt idx="159">
                  <c:v>15.866666666666667</c:v>
                </c:pt>
                <c:pt idx="160">
                  <c:v>15.5</c:v>
                </c:pt>
                <c:pt idx="161">
                  <c:v>17.533333333333335</c:v>
                </c:pt>
                <c:pt idx="162">
                  <c:v>11.299999999999999</c:v>
                </c:pt>
                <c:pt idx="163">
                  <c:v>15.366666666666665</c:v>
                </c:pt>
                <c:pt idx="164">
                  <c:v>13.166666666666666</c:v>
                </c:pt>
                <c:pt idx="165">
                  <c:v>11.533333333333333</c:v>
                </c:pt>
                <c:pt idx="166">
                  <c:v>14.100000000000001</c:v>
                </c:pt>
                <c:pt idx="167">
                  <c:v>11.5</c:v>
                </c:pt>
                <c:pt idx="168">
                  <c:v>12.866666666666665</c:v>
                </c:pt>
                <c:pt idx="169">
                  <c:v>13.699999999999998</c:v>
                </c:pt>
                <c:pt idx="170">
                  <c:v>15.5</c:v>
                </c:pt>
                <c:pt idx="171">
                  <c:v>16.733333333333334</c:v>
                </c:pt>
                <c:pt idx="172">
                  <c:v>17.8</c:v>
                </c:pt>
                <c:pt idx="173">
                  <c:v>13.866666666666667</c:v>
                </c:pt>
                <c:pt idx="174">
                  <c:v>14</c:v>
                </c:pt>
                <c:pt idx="175">
                  <c:v>16.333333333333332</c:v>
                </c:pt>
                <c:pt idx="176">
                  <c:v>13.700000000000001</c:v>
                </c:pt>
                <c:pt idx="177">
                  <c:v>15.9</c:v>
                </c:pt>
                <c:pt idx="178">
                  <c:v>16.900000000000002</c:v>
                </c:pt>
                <c:pt idx="179">
                  <c:v>14.333333333333334</c:v>
                </c:pt>
                <c:pt idx="180">
                  <c:v>16.666666666666668</c:v>
                </c:pt>
                <c:pt idx="181">
                  <c:v>16.566666666666666</c:v>
                </c:pt>
                <c:pt idx="182">
                  <c:v>18.233333333333331</c:v>
                </c:pt>
                <c:pt idx="183">
                  <c:v>17.599999999999998</c:v>
                </c:pt>
                <c:pt idx="184">
                  <c:v>13.533333333333333</c:v>
                </c:pt>
                <c:pt idx="185">
                  <c:v>12.933333333333332</c:v>
                </c:pt>
                <c:pt idx="186">
                  <c:v>15.700000000000001</c:v>
                </c:pt>
                <c:pt idx="187">
                  <c:v>18.733333333333334</c:v>
                </c:pt>
                <c:pt idx="188">
                  <c:v>16.766666666666666</c:v>
                </c:pt>
                <c:pt idx="189">
                  <c:v>13.733333333333334</c:v>
                </c:pt>
                <c:pt idx="190">
                  <c:v>12.566666666666665</c:v>
                </c:pt>
                <c:pt idx="191">
                  <c:v>19.666666666666668</c:v>
                </c:pt>
                <c:pt idx="192">
                  <c:v>18.733333333333334</c:v>
                </c:pt>
                <c:pt idx="193">
                  <c:v>17.099999999999998</c:v>
                </c:pt>
                <c:pt idx="194">
                  <c:v>11.366666666666665</c:v>
                </c:pt>
                <c:pt idx="195">
                  <c:v>13.9</c:v>
                </c:pt>
                <c:pt idx="196">
                  <c:v>16.866666666666667</c:v>
                </c:pt>
                <c:pt idx="197">
                  <c:v>16.466666666666669</c:v>
                </c:pt>
                <c:pt idx="198">
                  <c:v>17.366666666666667</c:v>
                </c:pt>
                <c:pt idx="199">
                  <c:v>13.566666666666668</c:v>
                </c:pt>
                <c:pt idx="200">
                  <c:v>14.166666666666666</c:v>
                </c:pt>
                <c:pt idx="201">
                  <c:v>17.733333333333334</c:v>
                </c:pt>
                <c:pt idx="202">
                  <c:v>18.399999999999999</c:v>
                </c:pt>
                <c:pt idx="203">
                  <c:v>18.466666666666669</c:v>
                </c:pt>
                <c:pt idx="204">
                  <c:v>15.633333333333335</c:v>
                </c:pt>
                <c:pt idx="205">
                  <c:v>13.9</c:v>
                </c:pt>
                <c:pt idx="206">
                  <c:v>16.633333333333333</c:v>
                </c:pt>
                <c:pt idx="207">
                  <c:v>17.766666666666669</c:v>
                </c:pt>
                <c:pt idx="208">
                  <c:v>19.033333333333331</c:v>
                </c:pt>
                <c:pt idx="209">
                  <c:v>12.333333333333334</c:v>
                </c:pt>
                <c:pt idx="210">
                  <c:v>11.066666666666668</c:v>
                </c:pt>
                <c:pt idx="211">
                  <c:v>14.433333333333332</c:v>
                </c:pt>
                <c:pt idx="212">
                  <c:v>14.933333333333332</c:v>
                </c:pt>
                <c:pt idx="213">
                  <c:v>15.799999999999999</c:v>
                </c:pt>
                <c:pt idx="214">
                  <c:v>11.4</c:v>
                </c:pt>
                <c:pt idx="215">
                  <c:v>14.566666666666668</c:v>
                </c:pt>
                <c:pt idx="216">
                  <c:v>16.566666666666666</c:v>
                </c:pt>
                <c:pt idx="217">
                  <c:v>13.566666666666668</c:v>
                </c:pt>
                <c:pt idx="218">
                  <c:v>16.066666666666666</c:v>
                </c:pt>
                <c:pt idx="219">
                  <c:v>12.266666666666666</c:v>
                </c:pt>
                <c:pt idx="220">
                  <c:v>16.166666666666668</c:v>
                </c:pt>
                <c:pt idx="221">
                  <c:v>14.466666666666667</c:v>
                </c:pt>
                <c:pt idx="222">
                  <c:v>15.300000000000002</c:v>
                </c:pt>
                <c:pt idx="223">
                  <c:v>11.133333333333335</c:v>
                </c:pt>
                <c:pt idx="224">
                  <c:v>15.5</c:v>
                </c:pt>
                <c:pt idx="225">
                  <c:v>15.200000000000001</c:v>
                </c:pt>
                <c:pt idx="226">
                  <c:v>15.9</c:v>
                </c:pt>
                <c:pt idx="227">
                  <c:v>16.899999999999999</c:v>
                </c:pt>
                <c:pt idx="228">
                  <c:v>13.799999999999999</c:v>
                </c:pt>
                <c:pt idx="229">
                  <c:v>11.333333333333334</c:v>
                </c:pt>
                <c:pt idx="230">
                  <c:v>16.100000000000001</c:v>
                </c:pt>
                <c:pt idx="231">
                  <c:v>16.766666666666666</c:v>
                </c:pt>
                <c:pt idx="232">
                  <c:v>16.7</c:v>
                </c:pt>
                <c:pt idx="233">
                  <c:v>12.466666666666667</c:v>
                </c:pt>
                <c:pt idx="234">
                  <c:v>12.1</c:v>
                </c:pt>
                <c:pt idx="235">
                  <c:v>12.300000000000002</c:v>
                </c:pt>
                <c:pt idx="236">
                  <c:v>11.700000000000001</c:v>
                </c:pt>
                <c:pt idx="237">
                  <c:v>12.466666666666667</c:v>
                </c:pt>
                <c:pt idx="238">
                  <c:v>15.733333333333334</c:v>
                </c:pt>
                <c:pt idx="239">
                  <c:v>14.100000000000001</c:v>
                </c:pt>
                <c:pt idx="240">
                  <c:v>12.533333333333333</c:v>
                </c:pt>
                <c:pt idx="241">
                  <c:v>8.6333333333333329</c:v>
                </c:pt>
                <c:pt idx="242">
                  <c:v>13.1</c:v>
                </c:pt>
                <c:pt idx="243">
                  <c:v>10.100000000000001</c:v>
                </c:pt>
                <c:pt idx="244">
                  <c:v>12.666666666666666</c:v>
                </c:pt>
                <c:pt idx="245">
                  <c:v>12.6</c:v>
                </c:pt>
                <c:pt idx="246">
                  <c:v>12.299999999999999</c:v>
                </c:pt>
                <c:pt idx="247">
                  <c:v>12.433333333333332</c:v>
                </c:pt>
                <c:pt idx="248">
                  <c:v>15.1</c:v>
                </c:pt>
                <c:pt idx="249">
                  <c:v>16.466666666666669</c:v>
                </c:pt>
                <c:pt idx="250">
                  <c:v>12.4</c:v>
                </c:pt>
                <c:pt idx="251">
                  <c:v>10.199999999999999</c:v>
                </c:pt>
                <c:pt idx="252">
                  <c:v>16.5</c:v>
                </c:pt>
                <c:pt idx="253">
                  <c:v>16.400000000000002</c:v>
                </c:pt>
                <c:pt idx="254">
                  <c:v>16.7</c:v>
                </c:pt>
                <c:pt idx="255">
                  <c:v>14.366666666666667</c:v>
                </c:pt>
                <c:pt idx="256">
                  <c:v>13.9</c:v>
                </c:pt>
                <c:pt idx="257">
                  <c:v>16.333333333333332</c:v>
                </c:pt>
                <c:pt idx="258">
                  <c:v>16.066666666666666</c:v>
                </c:pt>
                <c:pt idx="259">
                  <c:v>16.599999999999998</c:v>
                </c:pt>
                <c:pt idx="260">
                  <c:v>18</c:v>
                </c:pt>
                <c:pt idx="261">
                  <c:v>18.466666666666665</c:v>
                </c:pt>
                <c:pt idx="262">
                  <c:v>15.433333333333332</c:v>
                </c:pt>
                <c:pt idx="263">
                  <c:v>16.266666666666666</c:v>
                </c:pt>
                <c:pt idx="264">
                  <c:v>15.200000000000001</c:v>
                </c:pt>
                <c:pt idx="265">
                  <c:v>14.1</c:v>
                </c:pt>
                <c:pt idx="266">
                  <c:v>19.3</c:v>
                </c:pt>
                <c:pt idx="267">
                  <c:v>12.233333333333334</c:v>
                </c:pt>
                <c:pt idx="268">
                  <c:v>11</c:v>
                </c:pt>
                <c:pt idx="269">
                  <c:v>14</c:v>
                </c:pt>
                <c:pt idx="270">
                  <c:v>14.533333333333333</c:v>
                </c:pt>
                <c:pt idx="271">
                  <c:v>16.599999999999998</c:v>
                </c:pt>
                <c:pt idx="272">
                  <c:v>15.200000000000001</c:v>
                </c:pt>
                <c:pt idx="273">
                  <c:v>10.799999999999999</c:v>
                </c:pt>
                <c:pt idx="274">
                  <c:v>13.533333333333331</c:v>
                </c:pt>
                <c:pt idx="275">
                  <c:v>13.966666666666669</c:v>
                </c:pt>
                <c:pt idx="276">
                  <c:v>15.1</c:v>
                </c:pt>
                <c:pt idx="277">
                  <c:v>17.266666666666666</c:v>
                </c:pt>
                <c:pt idx="278">
                  <c:v>18.7</c:v>
                </c:pt>
                <c:pt idx="279">
                  <c:v>18.466666666666669</c:v>
                </c:pt>
                <c:pt idx="280">
                  <c:v>17.866666666666667</c:v>
                </c:pt>
                <c:pt idx="281">
                  <c:v>14.466666666666667</c:v>
                </c:pt>
                <c:pt idx="282">
                  <c:v>17.400000000000002</c:v>
                </c:pt>
                <c:pt idx="283">
                  <c:v>16.2</c:v>
                </c:pt>
                <c:pt idx="284">
                  <c:v>11.533333333333333</c:v>
                </c:pt>
                <c:pt idx="285">
                  <c:v>13.800000000000002</c:v>
                </c:pt>
                <c:pt idx="286">
                  <c:v>11.200000000000001</c:v>
                </c:pt>
                <c:pt idx="287">
                  <c:v>15.4</c:v>
                </c:pt>
                <c:pt idx="288">
                  <c:v>15.299999999999999</c:v>
                </c:pt>
                <c:pt idx="289">
                  <c:v>13.666666666666666</c:v>
                </c:pt>
                <c:pt idx="290">
                  <c:v>12.666666666666666</c:v>
                </c:pt>
                <c:pt idx="291">
                  <c:v>19.066666666666666</c:v>
                </c:pt>
                <c:pt idx="292">
                  <c:v>15.633333333333335</c:v>
                </c:pt>
                <c:pt idx="293">
                  <c:v>15.266666666666666</c:v>
                </c:pt>
                <c:pt idx="294">
                  <c:v>12.966666666666667</c:v>
                </c:pt>
                <c:pt idx="295">
                  <c:v>10.533333333333333</c:v>
                </c:pt>
                <c:pt idx="296">
                  <c:v>13.699999999999998</c:v>
                </c:pt>
                <c:pt idx="297">
                  <c:v>12.200000000000001</c:v>
                </c:pt>
                <c:pt idx="298">
                  <c:v>14.433333333333332</c:v>
                </c:pt>
                <c:pt idx="299">
                  <c:v>18.333333333333332</c:v>
                </c:pt>
                <c:pt idx="300">
                  <c:v>13.4</c:v>
                </c:pt>
                <c:pt idx="301">
                  <c:v>13.700000000000001</c:v>
                </c:pt>
                <c:pt idx="302">
                  <c:v>14.333333333333334</c:v>
                </c:pt>
                <c:pt idx="303">
                  <c:v>11.966666666666667</c:v>
                </c:pt>
                <c:pt idx="304">
                  <c:v>12.966666666666667</c:v>
                </c:pt>
                <c:pt idx="305">
                  <c:v>10.366666666666667</c:v>
                </c:pt>
                <c:pt idx="306">
                  <c:v>18.366666666666667</c:v>
                </c:pt>
                <c:pt idx="307">
                  <c:v>9</c:v>
                </c:pt>
                <c:pt idx="308">
                  <c:v>15.700000000000001</c:v>
                </c:pt>
                <c:pt idx="309">
                  <c:v>14.699999999999998</c:v>
                </c:pt>
                <c:pt idx="310">
                  <c:v>17.466666666666669</c:v>
                </c:pt>
                <c:pt idx="311">
                  <c:v>14.566666666666668</c:v>
                </c:pt>
                <c:pt idx="312">
                  <c:v>15.766666666666666</c:v>
                </c:pt>
                <c:pt idx="313">
                  <c:v>14.633333333333335</c:v>
                </c:pt>
                <c:pt idx="314">
                  <c:v>17.599999999999998</c:v>
                </c:pt>
                <c:pt idx="315">
                  <c:v>17.633333333333333</c:v>
                </c:pt>
                <c:pt idx="316">
                  <c:v>15.799999999999999</c:v>
                </c:pt>
                <c:pt idx="317">
                  <c:v>14.133333333333333</c:v>
                </c:pt>
                <c:pt idx="318">
                  <c:v>15.633333333333333</c:v>
                </c:pt>
                <c:pt idx="319">
                  <c:v>15.166666666666666</c:v>
                </c:pt>
                <c:pt idx="320">
                  <c:v>15.366666666666667</c:v>
                </c:pt>
                <c:pt idx="321">
                  <c:v>11</c:v>
                </c:pt>
                <c:pt idx="322">
                  <c:v>17.633333333333336</c:v>
                </c:pt>
                <c:pt idx="323">
                  <c:v>12.366666666666665</c:v>
                </c:pt>
                <c:pt idx="324">
                  <c:v>14.799999999999999</c:v>
                </c:pt>
                <c:pt idx="325">
                  <c:v>13.4</c:v>
                </c:pt>
                <c:pt idx="326">
                  <c:v>13.466666666666667</c:v>
                </c:pt>
                <c:pt idx="327">
                  <c:v>13.633333333333333</c:v>
                </c:pt>
                <c:pt idx="328">
                  <c:v>13.133333333333333</c:v>
                </c:pt>
                <c:pt idx="329">
                  <c:v>12.299999999999999</c:v>
                </c:pt>
                <c:pt idx="330">
                  <c:v>14.300000000000002</c:v>
                </c:pt>
                <c:pt idx="331">
                  <c:v>16.399999999999999</c:v>
                </c:pt>
                <c:pt idx="332">
                  <c:v>14.333333333333334</c:v>
                </c:pt>
                <c:pt idx="333">
                  <c:v>11.433333333333332</c:v>
                </c:pt>
                <c:pt idx="334">
                  <c:v>18.433333333333334</c:v>
                </c:pt>
                <c:pt idx="335">
                  <c:v>14.533333333333331</c:v>
                </c:pt>
                <c:pt idx="336">
                  <c:v>17.366666666666664</c:v>
                </c:pt>
                <c:pt idx="337">
                  <c:v>17.633333333333333</c:v>
                </c:pt>
                <c:pt idx="338">
                  <c:v>12.533333333333333</c:v>
                </c:pt>
                <c:pt idx="339">
                  <c:v>11.6</c:v>
                </c:pt>
                <c:pt idx="340">
                  <c:v>11.433333333333332</c:v>
                </c:pt>
                <c:pt idx="341">
                  <c:v>16.5</c:v>
                </c:pt>
                <c:pt idx="342">
                  <c:v>15.6</c:v>
                </c:pt>
                <c:pt idx="343">
                  <c:v>10.733333333333334</c:v>
                </c:pt>
                <c:pt idx="344">
                  <c:v>12.733333333333334</c:v>
                </c:pt>
                <c:pt idx="345">
                  <c:v>17.366666666666664</c:v>
                </c:pt>
                <c:pt idx="346">
                  <c:v>18.466666666666669</c:v>
                </c:pt>
                <c:pt idx="347">
                  <c:v>15.533333333333333</c:v>
                </c:pt>
                <c:pt idx="348">
                  <c:v>12.166666666666666</c:v>
                </c:pt>
                <c:pt idx="349">
                  <c:v>12.9</c:v>
                </c:pt>
                <c:pt idx="350">
                  <c:v>20.633333333333333</c:v>
                </c:pt>
                <c:pt idx="351">
                  <c:v>17.466666666666665</c:v>
                </c:pt>
                <c:pt idx="352">
                  <c:v>19.266666666666666</c:v>
                </c:pt>
                <c:pt idx="353">
                  <c:v>15.1</c:v>
                </c:pt>
                <c:pt idx="354">
                  <c:v>19.666666666666668</c:v>
                </c:pt>
                <c:pt idx="355">
                  <c:v>19.533333333333335</c:v>
                </c:pt>
                <c:pt idx="356">
                  <c:v>18.400000000000002</c:v>
                </c:pt>
                <c:pt idx="357">
                  <c:v>13.9</c:v>
                </c:pt>
                <c:pt idx="358">
                  <c:v>13.333333333333334</c:v>
                </c:pt>
                <c:pt idx="359">
                  <c:v>16.766666666666666</c:v>
                </c:pt>
                <c:pt idx="360">
                  <c:v>18</c:v>
                </c:pt>
                <c:pt idx="361">
                  <c:v>18.333333333333332</c:v>
                </c:pt>
                <c:pt idx="362">
                  <c:v>14.166666666666666</c:v>
                </c:pt>
                <c:pt idx="363">
                  <c:v>11.366666666666667</c:v>
                </c:pt>
                <c:pt idx="364">
                  <c:v>17.400000000000002</c:v>
                </c:pt>
                <c:pt idx="365">
                  <c:v>15.799999999999999</c:v>
                </c:pt>
                <c:pt idx="366">
                  <c:v>16.766666666666669</c:v>
                </c:pt>
                <c:pt idx="367">
                  <c:v>16.466666666666665</c:v>
                </c:pt>
                <c:pt idx="368">
                  <c:v>14.533333333333333</c:v>
                </c:pt>
                <c:pt idx="369">
                  <c:v>13.733333333333334</c:v>
                </c:pt>
                <c:pt idx="370">
                  <c:v>16.233333333333334</c:v>
                </c:pt>
                <c:pt idx="371">
                  <c:v>11.633333333333333</c:v>
                </c:pt>
                <c:pt idx="372">
                  <c:v>15.4</c:v>
                </c:pt>
                <c:pt idx="373">
                  <c:v>14.699999999999998</c:v>
                </c:pt>
                <c:pt idx="374">
                  <c:v>13.133333333333333</c:v>
                </c:pt>
                <c:pt idx="375">
                  <c:v>12.6</c:v>
                </c:pt>
                <c:pt idx="376">
                  <c:v>13.833333333333334</c:v>
                </c:pt>
                <c:pt idx="377">
                  <c:v>16.666666666666668</c:v>
                </c:pt>
                <c:pt idx="378">
                  <c:v>15.533333333333331</c:v>
                </c:pt>
                <c:pt idx="379">
                  <c:v>14.633333333333333</c:v>
                </c:pt>
                <c:pt idx="380">
                  <c:v>14.966666666666667</c:v>
                </c:pt>
                <c:pt idx="381">
                  <c:v>11.700000000000001</c:v>
                </c:pt>
                <c:pt idx="382">
                  <c:v>15.666666666666666</c:v>
                </c:pt>
                <c:pt idx="383">
                  <c:v>16.266666666666666</c:v>
                </c:pt>
                <c:pt idx="384">
                  <c:v>16.766666666666666</c:v>
                </c:pt>
                <c:pt idx="385">
                  <c:v>13.4</c:v>
                </c:pt>
                <c:pt idx="386">
                  <c:v>11.933333333333332</c:v>
                </c:pt>
                <c:pt idx="387">
                  <c:v>17.133333333333336</c:v>
                </c:pt>
                <c:pt idx="388">
                  <c:v>16.166666666666668</c:v>
                </c:pt>
                <c:pt idx="389">
                  <c:v>15.133333333333333</c:v>
                </c:pt>
                <c:pt idx="390">
                  <c:v>11.966666666666667</c:v>
                </c:pt>
                <c:pt idx="391">
                  <c:v>16.533333333333335</c:v>
                </c:pt>
                <c:pt idx="392">
                  <c:v>11.833333333333334</c:v>
                </c:pt>
                <c:pt idx="393">
                  <c:v>15.366666666666667</c:v>
                </c:pt>
                <c:pt idx="394">
                  <c:v>14.9</c:v>
                </c:pt>
                <c:pt idx="395">
                  <c:v>16.366666666666664</c:v>
                </c:pt>
                <c:pt idx="396">
                  <c:v>18.8</c:v>
                </c:pt>
                <c:pt idx="397">
                  <c:v>17.566666666666666</c:v>
                </c:pt>
                <c:pt idx="398">
                  <c:v>16.5</c:v>
                </c:pt>
                <c:pt idx="399">
                  <c:v>16.566666666666666</c:v>
                </c:pt>
                <c:pt idx="400">
                  <c:v>20</c:v>
                </c:pt>
                <c:pt idx="401">
                  <c:v>18.966666666666665</c:v>
                </c:pt>
                <c:pt idx="402">
                  <c:v>19.599999999999998</c:v>
                </c:pt>
                <c:pt idx="403">
                  <c:v>18.033333333333335</c:v>
                </c:pt>
                <c:pt idx="404">
                  <c:v>13.566666666666668</c:v>
                </c:pt>
                <c:pt idx="405">
                  <c:v>17.366666666666667</c:v>
                </c:pt>
                <c:pt idx="406">
                  <c:v>19.900000000000002</c:v>
                </c:pt>
                <c:pt idx="407">
                  <c:v>17.7</c:v>
                </c:pt>
                <c:pt idx="408">
                  <c:v>18.400000000000002</c:v>
                </c:pt>
                <c:pt idx="409">
                  <c:v>17.433333333333334</c:v>
                </c:pt>
                <c:pt idx="410">
                  <c:v>19.166666666666668</c:v>
                </c:pt>
                <c:pt idx="411">
                  <c:v>17.533333333333335</c:v>
                </c:pt>
                <c:pt idx="412">
                  <c:v>15.866666666666667</c:v>
                </c:pt>
                <c:pt idx="413">
                  <c:v>18.500000000000004</c:v>
                </c:pt>
                <c:pt idx="414">
                  <c:v>19.099999999999998</c:v>
                </c:pt>
                <c:pt idx="415">
                  <c:v>19.2</c:v>
                </c:pt>
                <c:pt idx="416">
                  <c:v>18.833333333333332</c:v>
                </c:pt>
                <c:pt idx="417">
                  <c:v>18.5</c:v>
                </c:pt>
                <c:pt idx="418">
                  <c:v>19.666666666666668</c:v>
                </c:pt>
                <c:pt idx="419">
                  <c:v>19.2</c:v>
                </c:pt>
                <c:pt idx="420">
                  <c:v>19</c:v>
                </c:pt>
                <c:pt idx="421">
                  <c:v>19.8</c:v>
                </c:pt>
                <c:pt idx="422">
                  <c:v>19.166666666666668</c:v>
                </c:pt>
                <c:pt idx="423">
                  <c:v>17.833333333333332</c:v>
                </c:pt>
                <c:pt idx="424">
                  <c:v>19.966666666666669</c:v>
                </c:pt>
                <c:pt idx="425">
                  <c:v>19.333333333333332</c:v>
                </c:pt>
                <c:pt idx="426">
                  <c:v>18.433333333333334</c:v>
                </c:pt>
                <c:pt idx="427">
                  <c:v>19.033333333333331</c:v>
                </c:pt>
                <c:pt idx="428">
                  <c:v>17.566666666666666</c:v>
                </c:pt>
                <c:pt idx="429">
                  <c:v>19.833333333333332</c:v>
                </c:pt>
                <c:pt idx="430">
                  <c:v>19.900000000000002</c:v>
                </c:pt>
                <c:pt idx="431">
                  <c:v>18.333333333333332</c:v>
                </c:pt>
                <c:pt idx="432">
                  <c:v>18.900000000000002</c:v>
                </c:pt>
                <c:pt idx="433">
                  <c:v>19.166666666666668</c:v>
                </c:pt>
                <c:pt idx="434">
                  <c:v>17.466666666666665</c:v>
                </c:pt>
                <c:pt idx="435">
                  <c:v>15.233333333333334</c:v>
                </c:pt>
                <c:pt idx="436">
                  <c:v>12.733333333333334</c:v>
                </c:pt>
                <c:pt idx="437">
                  <c:v>18.466666666666665</c:v>
                </c:pt>
                <c:pt idx="438">
                  <c:v>19.266666666666669</c:v>
                </c:pt>
                <c:pt idx="439">
                  <c:v>19.900000000000002</c:v>
                </c:pt>
                <c:pt idx="440">
                  <c:v>19.599999999999998</c:v>
                </c:pt>
                <c:pt idx="441">
                  <c:v>17.466666666666665</c:v>
                </c:pt>
                <c:pt idx="442">
                  <c:v>16.3</c:v>
                </c:pt>
                <c:pt idx="443">
                  <c:v>19.233333333333334</c:v>
                </c:pt>
                <c:pt idx="444">
                  <c:v>23.733333333333334</c:v>
                </c:pt>
                <c:pt idx="445">
                  <c:v>20.566666666666666</c:v>
                </c:pt>
                <c:pt idx="446">
                  <c:v>18.333333333333332</c:v>
                </c:pt>
                <c:pt idx="447">
                  <c:v>18.533333333333335</c:v>
                </c:pt>
                <c:pt idx="448">
                  <c:v>19.466666666666669</c:v>
                </c:pt>
                <c:pt idx="449">
                  <c:v>20.100000000000001</c:v>
                </c:pt>
                <c:pt idx="450">
                  <c:v>21.400000000000002</c:v>
                </c:pt>
                <c:pt idx="451">
                  <c:v>16.566666666666666</c:v>
                </c:pt>
                <c:pt idx="452">
                  <c:v>17.566666666666666</c:v>
                </c:pt>
                <c:pt idx="453">
                  <c:v>18.2</c:v>
                </c:pt>
                <c:pt idx="454">
                  <c:v>21.866666666666671</c:v>
                </c:pt>
                <c:pt idx="455">
                  <c:v>21.366666666666664</c:v>
                </c:pt>
                <c:pt idx="456">
                  <c:v>19.533333333333335</c:v>
                </c:pt>
                <c:pt idx="457">
                  <c:v>18.433333333333334</c:v>
                </c:pt>
                <c:pt idx="458">
                  <c:v>19.166666666666668</c:v>
                </c:pt>
                <c:pt idx="459">
                  <c:v>21.333333333333332</c:v>
                </c:pt>
                <c:pt idx="460">
                  <c:v>19.633333333333336</c:v>
                </c:pt>
                <c:pt idx="461">
                  <c:v>18.7</c:v>
                </c:pt>
                <c:pt idx="462">
                  <c:v>19.2</c:v>
                </c:pt>
                <c:pt idx="463">
                  <c:v>19.666666666666668</c:v>
                </c:pt>
                <c:pt idx="464">
                  <c:v>19.533333333333335</c:v>
                </c:pt>
                <c:pt idx="465">
                  <c:v>19.3</c:v>
                </c:pt>
                <c:pt idx="466">
                  <c:v>18.566666666666666</c:v>
                </c:pt>
                <c:pt idx="467">
                  <c:v>19.100000000000001</c:v>
                </c:pt>
                <c:pt idx="468">
                  <c:v>20.033333333333335</c:v>
                </c:pt>
                <c:pt idx="469">
                  <c:v>28.2</c:v>
                </c:pt>
                <c:pt idx="470">
                  <c:v>25.966666666666669</c:v>
                </c:pt>
                <c:pt idx="471">
                  <c:v>20.200000000000003</c:v>
                </c:pt>
                <c:pt idx="472">
                  <c:v>19.8</c:v>
                </c:pt>
                <c:pt idx="473">
                  <c:v>19.333333333333332</c:v>
                </c:pt>
                <c:pt idx="474">
                  <c:v>20.099999999999998</c:v>
                </c:pt>
                <c:pt idx="475">
                  <c:v>19.633333333333336</c:v>
                </c:pt>
                <c:pt idx="476">
                  <c:v>20.633333333333336</c:v>
                </c:pt>
                <c:pt idx="477">
                  <c:v>20.3</c:v>
                </c:pt>
                <c:pt idx="478">
                  <c:v>20.533333333333335</c:v>
                </c:pt>
                <c:pt idx="479">
                  <c:v>19.866666666666667</c:v>
                </c:pt>
                <c:pt idx="480">
                  <c:v>19.433333333333334</c:v>
                </c:pt>
                <c:pt idx="481">
                  <c:v>20.466666666666669</c:v>
                </c:pt>
                <c:pt idx="482">
                  <c:v>23.533333333333335</c:v>
                </c:pt>
                <c:pt idx="483">
                  <c:v>26.333333333333332</c:v>
                </c:pt>
                <c:pt idx="484">
                  <c:v>22.366666666666664</c:v>
                </c:pt>
                <c:pt idx="485">
                  <c:v>27.333333333333332</c:v>
                </c:pt>
                <c:pt idx="486">
                  <c:v>22.666666666666668</c:v>
                </c:pt>
                <c:pt idx="487">
                  <c:v>19.533333333333331</c:v>
                </c:pt>
                <c:pt idx="488">
                  <c:v>20.2</c:v>
                </c:pt>
                <c:pt idx="489">
                  <c:v>20.333333333333332</c:v>
                </c:pt>
                <c:pt idx="490">
                  <c:v>18.5</c:v>
                </c:pt>
                <c:pt idx="491">
                  <c:v>20.966666666666669</c:v>
                </c:pt>
                <c:pt idx="492">
                  <c:v>22.600000000000005</c:v>
                </c:pt>
                <c:pt idx="493">
                  <c:v>16.366666666666667</c:v>
                </c:pt>
                <c:pt idx="494">
                  <c:v>22.433333333333334</c:v>
                </c:pt>
                <c:pt idx="495">
                  <c:v>20.400000000000002</c:v>
                </c:pt>
                <c:pt idx="496">
                  <c:v>22.900000000000002</c:v>
                </c:pt>
                <c:pt idx="497">
                  <c:v>21.400000000000002</c:v>
                </c:pt>
                <c:pt idx="498">
                  <c:v>15.633333333333335</c:v>
                </c:pt>
                <c:pt idx="499">
                  <c:v>20.3</c:v>
                </c:pt>
                <c:pt idx="500">
                  <c:v>18.433333333333334</c:v>
                </c:pt>
                <c:pt idx="501">
                  <c:v>24.466666666666669</c:v>
                </c:pt>
                <c:pt idx="502">
                  <c:v>23.266666666666669</c:v>
                </c:pt>
                <c:pt idx="503">
                  <c:v>19.766666666666666</c:v>
                </c:pt>
                <c:pt idx="504">
                  <c:v>20.966666666666665</c:v>
                </c:pt>
                <c:pt idx="505">
                  <c:v>20.099999999999998</c:v>
                </c:pt>
                <c:pt idx="506">
                  <c:v>18.099999999999998</c:v>
                </c:pt>
                <c:pt idx="507">
                  <c:v>23.533333333333331</c:v>
                </c:pt>
                <c:pt idx="508">
                  <c:v>21.333333333333332</c:v>
                </c:pt>
                <c:pt idx="509">
                  <c:v>20.166666666666668</c:v>
                </c:pt>
                <c:pt idx="510">
                  <c:v>16.099999999999998</c:v>
                </c:pt>
                <c:pt idx="511">
                  <c:v>20.233333333333331</c:v>
                </c:pt>
                <c:pt idx="512">
                  <c:v>20.099999999999998</c:v>
                </c:pt>
                <c:pt idx="513">
                  <c:v>18.033333333333331</c:v>
                </c:pt>
                <c:pt idx="514">
                  <c:v>21.3</c:v>
                </c:pt>
                <c:pt idx="515">
                  <c:v>20.066666666666666</c:v>
                </c:pt>
                <c:pt idx="516">
                  <c:v>19.666666666666668</c:v>
                </c:pt>
                <c:pt idx="517">
                  <c:v>22.166666666666668</c:v>
                </c:pt>
                <c:pt idx="518">
                  <c:v>17.3</c:v>
                </c:pt>
                <c:pt idx="519">
                  <c:v>22.333333333333332</c:v>
                </c:pt>
                <c:pt idx="520">
                  <c:v>21</c:v>
                </c:pt>
                <c:pt idx="521">
                  <c:v>19.833333333333332</c:v>
                </c:pt>
                <c:pt idx="522">
                  <c:v>22.866666666666664</c:v>
                </c:pt>
                <c:pt idx="523">
                  <c:v>17.833333333333332</c:v>
                </c:pt>
                <c:pt idx="524">
                  <c:v>20.333333333333332</c:v>
                </c:pt>
                <c:pt idx="525">
                  <c:v>19.7</c:v>
                </c:pt>
                <c:pt idx="526">
                  <c:v>23.833333333333332</c:v>
                </c:pt>
                <c:pt idx="527">
                  <c:v>21.533333333333331</c:v>
                </c:pt>
                <c:pt idx="528">
                  <c:v>16.766666666666666</c:v>
                </c:pt>
                <c:pt idx="529">
                  <c:v>17.233333333333334</c:v>
                </c:pt>
                <c:pt idx="530">
                  <c:v>19.733333333333334</c:v>
                </c:pt>
                <c:pt idx="531">
                  <c:v>18.133333333333333</c:v>
                </c:pt>
                <c:pt idx="532">
                  <c:v>20.966666666666669</c:v>
                </c:pt>
                <c:pt idx="533">
                  <c:v>18.400000000000002</c:v>
                </c:pt>
                <c:pt idx="534">
                  <c:v>17.233333333333334</c:v>
                </c:pt>
                <c:pt idx="535">
                  <c:v>19.733333333333334</c:v>
                </c:pt>
                <c:pt idx="536">
                  <c:v>18.133333333333333</c:v>
                </c:pt>
                <c:pt idx="537">
                  <c:v>18.566666666666666</c:v>
                </c:pt>
                <c:pt idx="538">
                  <c:v>22.266666666666666</c:v>
                </c:pt>
                <c:pt idx="539">
                  <c:v>18.266666666666666</c:v>
                </c:pt>
                <c:pt idx="540">
                  <c:v>18.033333333333335</c:v>
                </c:pt>
                <c:pt idx="541">
                  <c:v>18.400000000000002</c:v>
                </c:pt>
                <c:pt idx="542">
                  <c:v>19.266666666666666</c:v>
                </c:pt>
                <c:pt idx="543">
                  <c:v>20.866666666666667</c:v>
                </c:pt>
                <c:pt idx="544">
                  <c:v>21.433333333333334</c:v>
                </c:pt>
                <c:pt idx="545">
                  <c:v>19.933333333333334</c:v>
                </c:pt>
                <c:pt idx="546">
                  <c:v>19.299999999999997</c:v>
                </c:pt>
                <c:pt idx="547">
                  <c:v>20.5</c:v>
                </c:pt>
                <c:pt idx="548">
                  <c:v>21.433333333333334</c:v>
                </c:pt>
                <c:pt idx="549">
                  <c:v>18.366666666666664</c:v>
                </c:pt>
                <c:pt idx="550">
                  <c:v>18.666666666666668</c:v>
                </c:pt>
                <c:pt idx="551">
                  <c:v>20.366666666666667</c:v>
                </c:pt>
                <c:pt idx="552">
                  <c:v>20.799999999999997</c:v>
                </c:pt>
                <c:pt idx="553">
                  <c:v>18.599999999999998</c:v>
                </c:pt>
                <c:pt idx="554">
                  <c:v>19.366666666666664</c:v>
                </c:pt>
                <c:pt idx="555">
                  <c:v>19.433333333333334</c:v>
                </c:pt>
                <c:pt idx="556">
                  <c:v>19.3</c:v>
                </c:pt>
                <c:pt idx="557">
                  <c:v>19</c:v>
                </c:pt>
                <c:pt idx="558">
                  <c:v>19</c:v>
                </c:pt>
                <c:pt idx="559">
                  <c:v>19</c:v>
                </c:pt>
                <c:pt idx="560">
                  <c:v>19</c:v>
                </c:pt>
                <c:pt idx="561">
                  <c:v>18.7</c:v>
                </c:pt>
                <c:pt idx="562">
                  <c:v>19</c:v>
                </c:pt>
                <c:pt idx="563">
                  <c:v>18.933333333333334</c:v>
                </c:pt>
                <c:pt idx="564">
                  <c:v>19</c:v>
                </c:pt>
                <c:pt idx="565">
                  <c:v>19</c:v>
                </c:pt>
                <c:pt idx="566">
                  <c:v>22.033333333333331</c:v>
                </c:pt>
                <c:pt idx="567">
                  <c:v>17.966666666666669</c:v>
                </c:pt>
                <c:pt idx="568">
                  <c:v>18.3</c:v>
                </c:pt>
                <c:pt idx="569">
                  <c:v>17.966666666666669</c:v>
                </c:pt>
                <c:pt idx="570">
                  <c:v>20.366666666666667</c:v>
                </c:pt>
                <c:pt idx="571">
                  <c:v>17.8</c:v>
                </c:pt>
                <c:pt idx="572">
                  <c:v>13.700000000000001</c:v>
                </c:pt>
                <c:pt idx="573">
                  <c:v>18.366666666666664</c:v>
                </c:pt>
                <c:pt idx="574">
                  <c:v>17.133333333333333</c:v>
                </c:pt>
                <c:pt idx="575">
                  <c:v>14.833333333333334</c:v>
                </c:pt>
                <c:pt idx="576">
                  <c:v>16.966666666666669</c:v>
                </c:pt>
                <c:pt idx="577">
                  <c:v>16.233333333333334</c:v>
                </c:pt>
                <c:pt idx="578">
                  <c:v>18.3</c:v>
                </c:pt>
                <c:pt idx="579">
                  <c:v>21.433333333333334</c:v>
                </c:pt>
                <c:pt idx="580">
                  <c:v>17.833333333333332</c:v>
                </c:pt>
                <c:pt idx="581">
                  <c:v>19</c:v>
                </c:pt>
                <c:pt idx="582">
                  <c:v>19.8</c:v>
                </c:pt>
                <c:pt idx="583">
                  <c:v>20.866666666666667</c:v>
                </c:pt>
                <c:pt idx="584">
                  <c:v>19.133333333333333</c:v>
                </c:pt>
                <c:pt idx="585">
                  <c:v>19.966666666666669</c:v>
                </c:pt>
                <c:pt idx="586">
                  <c:v>20.333333333333332</c:v>
                </c:pt>
                <c:pt idx="587">
                  <c:v>17.133333333333333</c:v>
                </c:pt>
                <c:pt idx="588">
                  <c:v>18.466666666666669</c:v>
                </c:pt>
                <c:pt idx="589">
                  <c:v>16.333333333333332</c:v>
                </c:pt>
                <c:pt idx="590">
                  <c:v>23.166666666666668</c:v>
                </c:pt>
                <c:pt idx="591">
                  <c:v>19.399999999999999</c:v>
                </c:pt>
                <c:pt idx="592">
                  <c:v>13.166666666666666</c:v>
                </c:pt>
                <c:pt idx="593">
                  <c:v>21.7</c:v>
                </c:pt>
                <c:pt idx="594">
                  <c:v>13.633333333333333</c:v>
                </c:pt>
                <c:pt idx="595">
                  <c:v>19.633333333333333</c:v>
                </c:pt>
                <c:pt idx="596">
                  <c:v>20.200000000000003</c:v>
                </c:pt>
                <c:pt idx="597">
                  <c:v>22.066666666666663</c:v>
                </c:pt>
                <c:pt idx="598">
                  <c:v>21.5</c:v>
                </c:pt>
                <c:pt idx="599">
                  <c:v>22.7</c:v>
                </c:pt>
                <c:pt idx="600">
                  <c:v>22.033333333333335</c:v>
                </c:pt>
                <c:pt idx="601">
                  <c:v>22.066666666666663</c:v>
                </c:pt>
                <c:pt idx="602">
                  <c:v>21.333333333333332</c:v>
                </c:pt>
                <c:pt idx="603">
                  <c:v>14.666666666666666</c:v>
                </c:pt>
                <c:pt idx="604">
                  <c:v>17.8</c:v>
                </c:pt>
                <c:pt idx="605">
                  <c:v>17.266666666666669</c:v>
                </c:pt>
                <c:pt idx="606">
                  <c:v>17.099999999999998</c:v>
                </c:pt>
                <c:pt idx="607">
                  <c:v>21.833333333333332</c:v>
                </c:pt>
                <c:pt idx="608">
                  <c:v>12.933333333333335</c:v>
                </c:pt>
                <c:pt idx="609">
                  <c:v>10.299999999999999</c:v>
                </c:pt>
                <c:pt idx="610">
                  <c:v>16.400000000000002</c:v>
                </c:pt>
                <c:pt idx="611">
                  <c:v>19.866666666666667</c:v>
                </c:pt>
                <c:pt idx="612">
                  <c:v>20.5</c:v>
                </c:pt>
                <c:pt idx="613">
                  <c:v>19.833333333333332</c:v>
                </c:pt>
                <c:pt idx="614">
                  <c:v>17.099999999999998</c:v>
                </c:pt>
                <c:pt idx="615">
                  <c:v>15.6</c:v>
                </c:pt>
                <c:pt idx="616">
                  <c:v>19.2</c:v>
                </c:pt>
                <c:pt idx="617">
                  <c:v>15.199999999999998</c:v>
                </c:pt>
                <c:pt idx="618">
                  <c:v>12.666666666666666</c:v>
                </c:pt>
                <c:pt idx="619">
                  <c:v>18.133333333333336</c:v>
                </c:pt>
                <c:pt idx="620">
                  <c:v>20.533333333333335</c:v>
                </c:pt>
                <c:pt idx="621">
                  <c:v>20.133333333333333</c:v>
                </c:pt>
                <c:pt idx="622">
                  <c:v>17.200000000000003</c:v>
                </c:pt>
                <c:pt idx="623">
                  <c:v>18.066666666666666</c:v>
                </c:pt>
                <c:pt idx="624">
                  <c:v>16.633333333333333</c:v>
                </c:pt>
                <c:pt idx="625">
                  <c:v>19.599999999999998</c:v>
                </c:pt>
                <c:pt idx="626">
                  <c:v>10.333333333333334</c:v>
                </c:pt>
                <c:pt idx="627">
                  <c:v>9.6</c:v>
                </c:pt>
                <c:pt idx="628">
                  <c:v>13.033333333333333</c:v>
                </c:pt>
                <c:pt idx="629">
                  <c:v>16.8</c:v>
                </c:pt>
                <c:pt idx="630">
                  <c:v>17.7</c:v>
                </c:pt>
                <c:pt idx="631">
                  <c:v>18.066666666666666</c:v>
                </c:pt>
                <c:pt idx="632">
                  <c:v>16.133333333333336</c:v>
                </c:pt>
                <c:pt idx="633">
                  <c:v>12.433333333333335</c:v>
                </c:pt>
                <c:pt idx="634">
                  <c:v>19.5</c:v>
                </c:pt>
                <c:pt idx="635">
                  <c:v>19.3</c:v>
                </c:pt>
                <c:pt idx="636">
                  <c:v>14.033333333333333</c:v>
                </c:pt>
                <c:pt idx="637">
                  <c:v>9.1999999999999993</c:v>
                </c:pt>
                <c:pt idx="638">
                  <c:v>20.2</c:v>
                </c:pt>
                <c:pt idx="639">
                  <c:v>19.066666666666666</c:v>
                </c:pt>
                <c:pt idx="640">
                  <c:v>18.733333333333334</c:v>
                </c:pt>
                <c:pt idx="641">
                  <c:v>12.433333333333332</c:v>
                </c:pt>
                <c:pt idx="642">
                  <c:v>15</c:v>
                </c:pt>
                <c:pt idx="643">
                  <c:v>19.900000000000002</c:v>
                </c:pt>
                <c:pt idx="644">
                  <c:v>16.2</c:v>
                </c:pt>
                <c:pt idx="645">
                  <c:v>15.566666666666668</c:v>
                </c:pt>
                <c:pt idx="646">
                  <c:v>17.433333333333334</c:v>
                </c:pt>
                <c:pt idx="647">
                  <c:v>18.066666666666666</c:v>
                </c:pt>
                <c:pt idx="648">
                  <c:v>15.933333333333332</c:v>
                </c:pt>
                <c:pt idx="649">
                  <c:v>19.366666666666664</c:v>
                </c:pt>
                <c:pt idx="650">
                  <c:v>19.099999999999998</c:v>
                </c:pt>
                <c:pt idx="651">
                  <c:v>16.400000000000002</c:v>
                </c:pt>
                <c:pt idx="652">
                  <c:v>13.733333333333333</c:v>
                </c:pt>
                <c:pt idx="653">
                  <c:v>19.599999999999998</c:v>
                </c:pt>
                <c:pt idx="654">
                  <c:v>22.266666666666666</c:v>
                </c:pt>
                <c:pt idx="655">
                  <c:v>18.566666666666666</c:v>
                </c:pt>
                <c:pt idx="656">
                  <c:v>15.033333333333333</c:v>
                </c:pt>
                <c:pt idx="657">
                  <c:v>14.1</c:v>
                </c:pt>
                <c:pt idx="658">
                  <c:v>21.266666666666666</c:v>
                </c:pt>
                <c:pt idx="659">
                  <c:v>17.333333333333332</c:v>
                </c:pt>
                <c:pt idx="660">
                  <c:v>19.733333333333334</c:v>
                </c:pt>
                <c:pt idx="661">
                  <c:v>22.733333333333331</c:v>
                </c:pt>
                <c:pt idx="662">
                  <c:v>19.2</c:v>
                </c:pt>
                <c:pt idx="663">
                  <c:v>14.9</c:v>
                </c:pt>
                <c:pt idx="664">
                  <c:v>19.266666666666666</c:v>
                </c:pt>
                <c:pt idx="665">
                  <c:v>15.5</c:v>
                </c:pt>
                <c:pt idx="666">
                  <c:v>15</c:v>
                </c:pt>
                <c:pt idx="667">
                  <c:v>19.366666666666664</c:v>
                </c:pt>
                <c:pt idx="668">
                  <c:v>17.666666666666668</c:v>
                </c:pt>
                <c:pt idx="669">
                  <c:v>17.666666666666664</c:v>
                </c:pt>
                <c:pt idx="670">
                  <c:v>19.2</c:v>
                </c:pt>
                <c:pt idx="671">
                  <c:v>14.566666666666665</c:v>
                </c:pt>
                <c:pt idx="672">
                  <c:v>20.633333333333333</c:v>
                </c:pt>
                <c:pt idx="673">
                  <c:v>22</c:v>
                </c:pt>
                <c:pt idx="674">
                  <c:v>18.2</c:v>
                </c:pt>
                <c:pt idx="675">
                  <c:v>16.133333333333333</c:v>
                </c:pt>
                <c:pt idx="676">
                  <c:v>15.4</c:v>
                </c:pt>
                <c:pt idx="677">
                  <c:v>22.433333333333337</c:v>
                </c:pt>
                <c:pt idx="678">
                  <c:v>25.599999999999998</c:v>
                </c:pt>
                <c:pt idx="679">
                  <c:v>16.7</c:v>
                </c:pt>
                <c:pt idx="680">
                  <c:v>17.166666666666668</c:v>
                </c:pt>
                <c:pt idx="681">
                  <c:v>17.366666666666667</c:v>
                </c:pt>
                <c:pt idx="682">
                  <c:v>20.066666666666666</c:v>
                </c:pt>
                <c:pt idx="683">
                  <c:v>23.566666666666663</c:v>
                </c:pt>
                <c:pt idx="684">
                  <c:v>19.900000000000002</c:v>
                </c:pt>
                <c:pt idx="685">
                  <c:v>18.900000000000002</c:v>
                </c:pt>
                <c:pt idx="686">
                  <c:v>19.966666666666665</c:v>
                </c:pt>
                <c:pt idx="687">
                  <c:v>18.733333333333334</c:v>
                </c:pt>
                <c:pt idx="688">
                  <c:v>17.433333333333334</c:v>
                </c:pt>
                <c:pt idx="689">
                  <c:v>17.099999999999998</c:v>
                </c:pt>
                <c:pt idx="690">
                  <c:v>18.900000000000002</c:v>
                </c:pt>
                <c:pt idx="691">
                  <c:v>17.566666666666666</c:v>
                </c:pt>
                <c:pt idx="692">
                  <c:v>18</c:v>
                </c:pt>
                <c:pt idx="693">
                  <c:v>15.733333333333334</c:v>
                </c:pt>
                <c:pt idx="694">
                  <c:v>15.433333333333332</c:v>
                </c:pt>
                <c:pt idx="695">
                  <c:v>18.900000000000002</c:v>
                </c:pt>
                <c:pt idx="696">
                  <c:v>18.3</c:v>
                </c:pt>
                <c:pt idx="697">
                  <c:v>19.666666666666668</c:v>
                </c:pt>
                <c:pt idx="698">
                  <c:v>19.933333333333334</c:v>
                </c:pt>
                <c:pt idx="699">
                  <c:v>20.266666666666666</c:v>
                </c:pt>
                <c:pt idx="700">
                  <c:v>16.466666666666665</c:v>
                </c:pt>
                <c:pt idx="701">
                  <c:v>20.266666666666666</c:v>
                </c:pt>
                <c:pt idx="702">
                  <c:v>19.433333333333334</c:v>
                </c:pt>
                <c:pt idx="703">
                  <c:v>19.933333333333334</c:v>
                </c:pt>
                <c:pt idx="704">
                  <c:v>18.766666666666669</c:v>
                </c:pt>
                <c:pt idx="705">
                  <c:v>20.3</c:v>
                </c:pt>
                <c:pt idx="706">
                  <c:v>19.433333333333334</c:v>
                </c:pt>
                <c:pt idx="707">
                  <c:v>22.733333333333331</c:v>
                </c:pt>
                <c:pt idx="708">
                  <c:v>18.766666666666669</c:v>
                </c:pt>
                <c:pt idx="709">
                  <c:v>20.599999999999998</c:v>
                </c:pt>
                <c:pt idx="710">
                  <c:v>19.599999999999998</c:v>
                </c:pt>
                <c:pt idx="711">
                  <c:v>20.3</c:v>
                </c:pt>
                <c:pt idx="712">
                  <c:v>15.866666666666665</c:v>
                </c:pt>
                <c:pt idx="713">
                  <c:v>19.766666666666669</c:v>
                </c:pt>
                <c:pt idx="714">
                  <c:v>19.633333333333333</c:v>
                </c:pt>
                <c:pt idx="715">
                  <c:v>18.433333333333334</c:v>
                </c:pt>
                <c:pt idx="716">
                  <c:v>19.266666666666666</c:v>
                </c:pt>
                <c:pt idx="717">
                  <c:v>21.599999999999998</c:v>
                </c:pt>
                <c:pt idx="718">
                  <c:v>19.866666666666664</c:v>
                </c:pt>
                <c:pt idx="719">
                  <c:v>19.866666666666667</c:v>
                </c:pt>
                <c:pt idx="720">
                  <c:v>21.333333333333332</c:v>
                </c:pt>
                <c:pt idx="721">
                  <c:v>22.400000000000002</c:v>
                </c:pt>
                <c:pt idx="722">
                  <c:v>20.099999999999998</c:v>
                </c:pt>
                <c:pt idx="723">
                  <c:v>20.233333333333334</c:v>
                </c:pt>
                <c:pt idx="724">
                  <c:v>20.333333333333332</c:v>
                </c:pt>
                <c:pt idx="725">
                  <c:v>20.333333333333332</c:v>
                </c:pt>
                <c:pt idx="726">
                  <c:v>22.63</c:v>
                </c:pt>
                <c:pt idx="727">
                  <c:v>21.633333333333336</c:v>
                </c:pt>
                <c:pt idx="728">
                  <c:v>17.666666666666668</c:v>
                </c:pt>
                <c:pt idx="729">
                  <c:v>18.666666666666668</c:v>
                </c:pt>
                <c:pt idx="730">
                  <c:v>15.633333333333333</c:v>
                </c:pt>
                <c:pt idx="731">
                  <c:v>18.533333333333331</c:v>
                </c:pt>
                <c:pt idx="732">
                  <c:v>14.799999999999999</c:v>
                </c:pt>
                <c:pt idx="733">
                  <c:v>19.133333333333329</c:v>
                </c:pt>
                <c:pt idx="734">
                  <c:v>18</c:v>
                </c:pt>
                <c:pt idx="735">
                  <c:v>14.366666666666665</c:v>
                </c:pt>
                <c:pt idx="736">
                  <c:v>15.833333333333334</c:v>
                </c:pt>
                <c:pt idx="737">
                  <c:v>17.333333333333332</c:v>
                </c:pt>
                <c:pt idx="738">
                  <c:v>20.666666666666668</c:v>
                </c:pt>
                <c:pt idx="739">
                  <c:v>16</c:v>
                </c:pt>
                <c:pt idx="740">
                  <c:v>14.699999999999998</c:v>
                </c:pt>
                <c:pt idx="741">
                  <c:v>16.900000000000002</c:v>
                </c:pt>
                <c:pt idx="742">
                  <c:v>12.866666666666667</c:v>
                </c:pt>
                <c:pt idx="743">
                  <c:v>14.699999999999998</c:v>
                </c:pt>
                <c:pt idx="744">
                  <c:v>17.333333333333332</c:v>
                </c:pt>
                <c:pt idx="745">
                  <c:v>10.266666666666666</c:v>
                </c:pt>
                <c:pt idx="746">
                  <c:v>14.166666666666666</c:v>
                </c:pt>
                <c:pt idx="747">
                  <c:v>14.6</c:v>
                </c:pt>
                <c:pt idx="748">
                  <c:v>14.666666666666666</c:v>
                </c:pt>
                <c:pt idx="749">
                  <c:v>20.633333333333333</c:v>
                </c:pt>
                <c:pt idx="750">
                  <c:v>12.200000000000001</c:v>
                </c:pt>
                <c:pt idx="751">
                  <c:v>10.6</c:v>
                </c:pt>
                <c:pt idx="752">
                  <c:v>18.333333333333332</c:v>
                </c:pt>
                <c:pt idx="753">
                  <c:v>11.5</c:v>
                </c:pt>
                <c:pt idx="754">
                  <c:v>19.3</c:v>
                </c:pt>
                <c:pt idx="755">
                  <c:v>22</c:v>
                </c:pt>
                <c:pt idx="756">
                  <c:v>14.300000000000002</c:v>
                </c:pt>
                <c:pt idx="757">
                  <c:v>18.466666666666665</c:v>
                </c:pt>
                <c:pt idx="758">
                  <c:v>17</c:v>
                </c:pt>
                <c:pt idx="759">
                  <c:v>13.6</c:v>
                </c:pt>
                <c:pt idx="760">
                  <c:v>21.1</c:v>
                </c:pt>
                <c:pt idx="761">
                  <c:v>18.133333333333329</c:v>
                </c:pt>
                <c:pt idx="762">
                  <c:v>20.866666666666667</c:v>
                </c:pt>
                <c:pt idx="763">
                  <c:v>19.666666666666668</c:v>
                </c:pt>
                <c:pt idx="764">
                  <c:v>19.033333333333331</c:v>
                </c:pt>
                <c:pt idx="765">
                  <c:v>16.633333333333333</c:v>
                </c:pt>
                <c:pt idx="766">
                  <c:v>13.433333333333332</c:v>
                </c:pt>
                <c:pt idx="767">
                  <c:v>20.099999999999998</c:v>
                </c:pt>
                <c:pt idx="768">
                  <c:v>18.133333333333333</c:v>
                </c:pt>
                <c:pt idx="769">
                  <c:v>12.4</c:v>
                </c:pt>
                <c:pt idx="770">
                  <c:v>20.7</c:v>
                </c:pt>
                <c:pt idx="771">
                  <c:v>20.099999999999998</c:v>
                </c:pt>
                <c:pt idx="772">
                  <c:v>21.766666666666669</c:v>
                </c:pt>
                <c:pt idx="773">
                  <c:v>17.866666666666671</c:v>
                </c:pt>
                <c:pt idx="774">
                  <c:v>13.1</c:v>
                </c:pt>
                <c:pt idx="775">
                  <c:v>19.833333333333332</c:v>
                </c:pt>
                <c:pt idx="776">
                  <c:v>21.2</c:v>
                </c:pt>
                <c:pt idx="777">
                  <c:v>17.633333333333333</c:v>
                </c:pt>
                <c:pt idx="778">
                  <c:v>20.366666666666664</c:v>
                </c:pt>
                <c:pt idx="779">
                  <c:v>20.533333333333335</c:v>
                </c:pt>
                <c:pt idx="780">
                  <c:v>18.766666666666666</c:v>
                </c:pt>
                <c:pt idx="781">
                  <c:v>17.633333333333336</c:v>
                </c:pt>
                <c:pt idx="782">
                  <c:v>21.033333333333331</c:v>
                </c:pt>
                <c:pt idx="783">
                  <c:v>20.866666666666664</c:v>
                </c:pt>
                <c:pt idx="784">
                  <c:v>19.233333333333331</c:v>
                </c:pt>
                <c:pt idx="785">
                  <c:v>19.033333333333331</c:v>
                </c:pt>
                <c:pt idx="786">
                  <c:v>18.966666666666665</c:v>
                </c:pt>
                <c:pt idx="787">
                  <c:v>19.866666666666671</c:v>
                </c:pt>
                <c:pt idx="788">
                  <c:v>20</c:v>
                </c:pt>
                <c:pt idx="789">
                  <c:v>19.366666666666667</c:v>
                </c:pt>
                <c:pt idx="790">
                  <c:v>18.166666666666668</c:v>
                </c:pt>
                <c:pt idx="791">
                  <c:v>20.266666666666666</c:v>
                </c:pt>
                <c:pt idx="792">
                  <c:v>20.233333333333334</c:v>
                </c:pt>
                <c:pt idx="793">
                  <c:v>17.033333333333331</c:v>
                </c:pt>
                <c:pt idx="794">
                  <c:v>21.233333333333334</c:v>
                </c:pt>
                <c:pt idx="795">
                  <c:v>21.3</c:v>
                </c:pt>
                <c:pt idx="796">
                  <c:v>17.400000000000002</c:v>
                </c:pt>
                <c:pt idx="797">
                  <c:v>17.866666666666667</c:v>
                </c:pt>
                <c:pt idx="798">
                  <c:v>19.866666666666667</c:v>
                </c:pt>
                <c:pt idx="799">
                  <c:v>17.233333333333334</c:v>
                </c:pt>
                <c:pt idx="800">
                  <c:v>17.833333333333332</c:v>
                </c:pt>
                <c:pt idx="801">
                  <c:v>13.299999999999999</c:v>
                </c:pt>
                <c:pt idx="802">
                  <c:v>21.299999999999997</c:v>
                </c:pt>
                <c:pt idx="803">
                  <c:v>20.566666666666666</c:v>
                </c:pt>
                <c:pt idx="804">
                  <c:v>18</c:v>
                </c:pt>
                <c:pt idx="805">
                  <c:v>23.633333333333336</c:v>
                </c:pt>
                <c:pt idx="806">
                  <c:v>17.666666666666668</c:v>
                </c:pt>
                <c:pt idx="807">
                  <c:v>20.766666666666666</c:v>
                </c:pt>
                <c:pt idx="808">
                  <c:v>20.400000000000002</c:v>
                </c:pt>
                <c:pt idx="809">
                  <c:v>20.566666666666666</c:v>
                </c:pt>
                <c:pt idx="810">
                  <c:v>21.066666666666666</c:v>
                </c:pt>
                <c:pt idx="811">
                  <c:v>18.7</c:v>
                </c:pt>
                <c:pt idx="812">
                  <c:v>15.433333333333332</c:v>
                </c:pt>
                <c:pt idx="813">
                  <c:v>17.833333333333332</c:v>
                </c:pt>
                <c:pt idx="814">
                  <c:v>18</c:v>
                </c:pt>
                <c:pt idx="815">
                  <c:v>22.8</c:v>
                </c:pt>
                <c:pt idx="816">
                  <c:v>17.933333333333334</c:v>
                </c:pt>
                <c:pt idx="817">
                  <c:v>17.933333333333334</c:v>
                </c:pt>
                <c:pt idx="818">
                  <c:v>17.933333333333334</c:v>
                </c:pt>
                <c:pt idx="819">
                  <c:v>17.933333333333334</c:v>
                </c:pt>
                <c:pt idx="820">
                  <c:v>22</c:v>
                </c:pt>
                <c:pt idx="821">
                  <c:v>16.233333333333334</c:v>
                </c:pt>
                <c:pt idx="822">
                  <c:v>20.366666666666671</c:v>
                </c:pt>
                <c:pt idx="823">
                  <c:v>14.333333333333334</c:v>
                </c:pt>
                <c:pt idx="824">
                  <c:v>16.833333333333332</c:v>
                </c:pt>
                <c:pt idx="825">
                  <c:v>19.566666666666666</c:v>
                </c:pt>
                <c:pt idx="826">
                  <c:v>19.033333333333331</c:v>
                </c:pt>
                <c:pt idx="827">
                  <c:v>16.733333333333334</c:v>
                </c:pt>
                <c:pt idx="828">
                  <c:v>18.400000000000002</c:v>
                </c:pt>
                <c:pt idx="829">
                  <c:v>12.066666666666668</c:v>
                </c:pt>
                <c:pt idx="830">
                  <c:v>19.566666666666666</c:v>
                </c:pt>
                <c:pt idx="831">
                  <c:v>20.733333333333334</c:v>
                </c:pt>
                <c:pt idx="832">
                  <c:v>16.766666666666666</c:v>
                </c:pt>
                <c:pt idx="833">
                  <c:v>19.8</c:v>
                </c:pt>
                <c:pt idx="834">
                  <c:v>15.433333333333332</c:v>
                </c:pt>
                <c:pt idx="835">
                  <c:v>16.433333333333334</c:v>
                </c:pt>
                <c:pt idx="836">
                  <c:v>20.033333333333331</c:v>
                </c:pt>
                <c:pt idx="837">
                  <c:v>23.233333333333334</c:v>
                </c:pt>
                <c:pt idx="838">
                  <c:v>17.366666666666667</c:v>
                </c:pt>
                <c:pt idx="839">
                  <c:v>14.766666666666666</c:v>
                </c:pt>
                <c:pt idx="840">
                  <c:v>20.633333333333333</c:v>
                </c:pt>
                <c:pt idx="841">
                  <c:v>19.266666666666666</c:v>
                </c:pt>
                <c:pt idx="842">
                  <c:v>18.600000000000001</c:v>
                </c:pt>
                <c:pt idx="843">
                  <c:v>21.233333333333334</c:v>
                </c:pt>
                <c:pt idx="844">
                  <c:v>12.966666666666667</c:v>
                </c:pt>
                <c:pt idx="845">
                  <c:v>20.166666666666668</c:v>
                </c:pt>
                <c:pt idx="846">
                  <c:v>17.566666666666666</c:v>
                </c:pt>
                <c:pt idx="847">
                  <c:v>17.233333333333334</c:v>
                </c:pt>
                <c:pt idx="848">
                  <c:v>13.133333333333335</c:v>
                </c:pt>
                <c:pt idx="849">
                  <c:v>16.366666666666667</c:v>
                </c:pt>
                <c:pt idx="850">
                  <c:v>17.666666666666668</c:v>
                </c:pt>
                <c:pt idx="851">
                  <c:v>19.399999999999999</c:v>
                </c:pt>
                <c:pt idx="852">
                  <c:v>16.600000000000001</c:v>
                </c:pt>
                <c:pt idx="853">
                  <c:v>19.666666666666664</c:v>
                </c:pt>
                <c:pt idx="854">
                  <c:v>19.533333333333331</c:v>
                </c:pt>
                <c:pt idx="855">
                  <c:v>19.366666666666664</c:v>
                </c:pt>
                <c:pt idx="856">
                  <c:v>19.8</c:v>
                </c:pt>
                <c:pt idx="857">
                  <c:v>19.366666666666671</c:v>
                </c:pt>
                <c:pt idx="858">
                  <c:v>22.566666666666663</c:v>
                </c:pt>
                <c:pt idx="859">
                  <c:v>20.933333333333334</c:v>
                </c:pt>
                <c:pt idx="860">
                  <c:v>15.700000000000001</c:v>
                </c:pt>
                <c:pt idx="861">
                  <c:v>18.533333333333335</c:v>
                </c:pt>
                <c:pt idx="862">
                  <c:v>17.366666666666671</c:v>
                </c:pt>
                <c:pt idx="863">
                  <c:v>22.366666666666664</c:v>
                </c:pt>
                <c:pt idx="864">
                  <c:v>20.333333333333332</c:v>
                </c:pt>
                <c:pt idx="865">
                  <c:v>14.266666666666666</c:v>
                </c:pt>
                <c:pt idx="866">
                  <c:v>19.333333333333332</c:v>
                </c:pt>
                <c:pt idx="867">
                  <c:v>18.466666666666665</c:v>
                </c:pt>
                <c:pt idx="868">
                  <c:v>21.233333333333334</c:v>
                </c:pt>
                <c:pt idx="869">
                  <c:v>18.133333333333336</c:v>
                </c:pt>
                <c:pt idx="870">
                  <c:v>19.033333333333331</c:v>
                </c:pt>
                <c:pt idx="871">
                  <c:v>18.5</c:v>
                </c:pt>
                <c:pt idx="872">
                  <c:v>17.499999999999996</c:v>
                </c:pt>
                <c:pt idx="873">
                  <c:v>14.5</c:v>
                </c:pt>
                <c:pt idx="874">
                  <c:v>12.333333333333334</c:v>
                </c:pt>
                <c:pt idx="875">
                  <c:v>19.033333333333331</c:v>
                </c:pt>
                <c:pt idx="876">
                  <c:v>18.5</c:v>
                </c:pt>
                <c:pt idx="877">
                  <c:v>17.666666666666668</c:v>
                </c:pt>
                <c:pt idx="878">
                  <c:v>16.033333333333335</c:v>
                </c:pt>
                <c:pt idx="879">
                  <c:v>17.400000000000002</c:v>
                </c:pt>
                <c:pt idx="880">
                  <c:v>21.099999999999998</c:v>
                </c:pt>
                <c:pt idx="881">
                  <c:v>19.833333333333332</c:v>
                </c:pt>
                <c:pt idx="882">
                  <c:v>19.3</c:v>
                </c:pt>
                <c:pt idx="883">
                  <c:v>21.399999999999995</c:v>
                </c:pt>
                <c:pt idx="884">
                  <c:v>12.800000000000002</c:v>
                </c:pt>
                <c:pt idx="885">
                  <c:v>19.133333333333333</c:v>
                </c:pt>
                <c:pt idx="886">
                  <c:v>14.799999999999999</c:v>
                </c:pt>
                <c:pt idx="887">
                  <c:v>21.233333333333334</c:v>
                </c:pt>
                <c:pt idx="888">
                  <c:v>21.866666666666664</c:v>
                </c:pt>
                <c:pt idx="889">
                  <c:v>22.5</c:v>
                </c:pt>
                <c:pt idx="890">
                  <c:v>17.433333333333334</c:v>
                </c:pt>
                <c:pt idx="891">
                  <c:v>20.333333333333336</c:v>
                </c:pt>
                <c:pt idx="892">
                  <c:v>20.766666666666669</c:v>
                </c:pt>
                <c:pt idx="893">
                  <c:v>22.900000000000002</c:v>
                </c:pt>
                <c:pt idx="894">
                  <c:v>19.833333333333332</c:v>
                </c:pt>
                <c:pt idx="895">
                  <c:v>21.5</c:v>
                </c:pt>
                <c:pt idx="896">
                  <c:v>21.900000000000002</c:v>
                </c:pt>
                <c:pt idx="897">
                  <c:v>17.133333333333333</c:v>
                </c:pt>
                <c:pt idx="898">
                  <c:v>12.533333333333333</c:v>
                </c:pt>
                <c:pt idx="899">
                  <c:v>18.066666666666666</c:v>
                </c:pt>
                <c:pt idx="900">
                  <c:v>16.599999999999998</c:v>
                </c:pt>
                <c:pt idx="901">
                  <c:v>19.899999999999999</c:v>
                </c:pt>
                <c:pt idx="902">
                  <c:v>20.5</c:v>
                </c:pt>
                <c:pt idx="903">
                  <c:v>18.766666666666666</c:v>
                </c:pt>
                <c:pt idx="904">
                  <c:v>20.599999999999998</c:v>
                </c:pt>
                <c:pt idx="905">
                  <c:v>18.866666666666664</c:v>
                </c:pt>
                <c:pt idx="906">
                  <c:v>19.233333333333334</c:v>
                </c:pt>
                <c:pt idx="907">
                  <c:v>16.366666666666667</c:v>
                </c:pt>
                <c:pt idx="908">
                  <c:v>21.633333333333336</c:v>
                </c:pt>
                <c:pt idx="909">
                  <c:v>22.400000000000002</c:v>
                </c:pt>
                <c:pt idx="910">
                  <c:v>17.933333333333334</c:v>
                </c:pt>
                <c:pt idx="911">
                  <c:v>19.766666666666666</c:v>
                </c:pt>
                <c:pt idx="912">
                  <c:v>14.933333333333332</c:v>
                </c:pt>
                <c:pt idx="913">
                  <c:v>12.1</c:v>
                </c:pt>
                <c:pt idx="914">
                  <c:v>17.266666666666669</c:v>
                </c:pt>
                <c:pt idx="915">
                  <c:v>18.799999999999997</c:v>
                </c:pt>
                <c:pt idx="916">
                  <c:v>19.733333333333334</c:v>
                </c:pt>
                <c:pt idx="917">
                  <c:v>18.7</c:v>
                </c:pt>
                <c:pt idx="918">
                  <c:v>14.700000000000001</c:v>
                </c:pt>
                <c:pt idx="919">
                  <c:v>18.7</c:v>
                </c:pt>
                <c:pt idx="920">
                  <c:v>20.033333333333331</c:v>
                </c:pt>
                <c:pt idx="921">
                  <c:v>18.099999999999998</c:v>
                </c:pt>
                <c:pt idx="922">
                  <c:v>14.6</c:v>
                </c:pt>
                <c:pt idx="923">
                  <c:v>18.333333333333332</c:v>
                </c:pt>
                <c:pt idx="924">
                  <c:v>19.900000000000002</c:v>
                </c:pt>
                <c:pt idx="925">
                  <c:v>19.7</c:v>
                </c:pt>
                <c:pt idx="926">
                  <c:v>17.133333333333336</c:v>
                </c:pt>
                <c:pt idx="927">
                  <c:v>19.266666666666669</c:v>
                </c:pt>
                <c:pt idx="928">
                  <c:v>20.266666666666666</c:v>
                </c:pt>
                <c:pt idx="929">
                  <c:v>18.5</c:v>
                </c:pt>
                <c:pt idx="930">
                  <c:v>17.8</c:v>
                </c:pt>
                <c:pt idx="931">
                  <c:v>16.8</c:v>
                </c:pt>
                <c:pt idx="932">
                  <c:v>20.766666666666666</c:v>
                </c:pt>
                <c:pt idx="933">
                  <c:v>16.100000000000001</c:v>
                </c:pt>
                <c:pt idx="934">
                  <c:v>18.533333333333331</c:v>
                </c:pt>
                <c:pt idx="935">
                  <c:v>19.033333333333331</c:v>
                </c:pt>
                <c:pt idx="936">
                  <c:v>18.133333333333333</c:v>
                </c:pt>
                <c:pt idx="937">
                  <c:v>18.2</c:v>
                </c:pt>
                <c:pt idx="938">
                  <c:v>20.400000000000002</c:v>
                </c:pt>
                <c:pt idx="939">
                  <c:v>17.7</c:v>
                </c:pt>
                <c:pt idx="940">
                  <c:v>18.466666666666669</c:v>
                </c:pt>
                <c:pt idx="941">
                  <c:v>14.233333333333334</c:v>
                </c:pt>
                <c:pt idx="942">
                  <c:v>18.400000000000002</c:v>
                </c:pt>
                <c:pt idx="943">
                  <c:v>24.566666666666666</c:v>
                </c:pt>
                <c:pt idx="944">
                  <c:v>18.799999999999997</c:v>
                </c:pt>
                <c:pt idx="945">
                  <c:v>19.133333333333336</c:v>
                </c:pt>
                <c:pt idx="946">
                  <c:v>20.833333333333332</c:v>
                </c:pt>
                <c:pt idx="947">
                  <c:v>19.466666666666669</c:v>
                </c:pt>
                <c:pt idx="948">
                  <c:v>12.9</c:v>
                </c:pt>
                <c:pt idx="949">
                  <c:v>14.566666666666668</c:v>
                </c:pt>
                <c:pt idx="950">
                  <c:v>21.233333333333334</c:v>
                </c:pt>
                <c:pt idx="951">
                  <c:v>14.933333333333332</c:v>
                </c:pt>
                <c:pt idx="952">
                  <c:v>19.566666666666666</c:v>
                </c:pt>
                <c:pt idx="953">
                  <c:v>22.266666666666669</c:v>
                </c:pt>
                <c:pt idx="954">
                  <c:v>21.633333333333336</c:v>
                </c:pt>
                <c:pt idx="955">
                  <c:v>20.133333333333329</c:v>
                </c:pt>
                <c:pt idx="956">
                  <c:v>22.900000000000002</c:v>
                </c:pt>
                <c:pt idx="957">
                  <c:v>19.666666666666664</c:v>
                </c:pt>
                <c:pt idx="958">
                  <c:v>16.933333333333334</c:v>
                </c:pt>
                <c:pt idx="959">
                  <c:v>16.266666666666666</c:v>
                </c:pt>
                <c:pt idx="960">
                  <c:v>20.766666666666666</c:v>
                </c:pt>
                <c:pt idx="961">
                  <c:v>15.199999999999998</c:v>
                </c:pt>
                <c:pt idx="962">
                  <c:v>20.7</c:v>
                </c:pt>
                <c:pt idx="963">
                  <c:v>13.5</c:v>
                </c:pt>
                <c:pt idx="964">
                  <c:v>16.400000000000002</c:v>
                </c:pt>
                <c:pt idx="965">
                  <c:v>13.566666666666668</c:v>
                </c:pt>
                <c:pt idx="966">
                  <c:v>16.266666666666669</c:v>
                </c:pt>
                <c:pt idx="967">
                  <c:v>19.033333333333335</c:v>
                </c:pt>
                <c:pt idx="968">
                  <c:v>18.766666666666669</c:v>
                </c:pt>
                <c:pt idx="969">
                  <c:v>18.5</c:v>
                </c:pt>
                <c:pt idx="970">
                  <c:v>14.833333333333334</c:v>
                </c:pt>
                <c:pt idx="971">
                  <c:v>21.266666666666669</c:v>
                </c:pt>
                <c:pt idx="972">
                  <c:v>16.8</c:v>
                </c:pt>
                <c:pt idx="973">
                  <c:v>18.933333333333334</c:v>
                </c:pt>
                <c:pt idx="974">
                  <c:v>21.5</c:v>
                </c:pt>
                <c:pt idx="975">
                  <c:v>17.566666666666666</c:v>
                </c:pt>
                <c:pt idx="976">
                  <c:v>14.6</c:v>
                </c:pt>
                <c:pt idx="977">
                  <c:v>18.899999999999999</c:v>
                </c:pt>
                <c:pt idx="978">
                  <c:v>19.099999999999998</c:v>
                </c:pt>
                <c:pt idx="979">
                  <c:v>21.633333333333336</c:v>
                </c:pt>
                <c:pt idx="980">
                  <c:v>19.399999999999999</c:v>
                </c:pt>
                <c:pt idx="981">
                  <c:v>14.9</c:v>
                </c:pt>
                <c:pt idx="982">
                  <c:v>19.099999999999998</c:v>
                </c:pt>
                <c:pt idx="983">
                  <c:v>21.266666666666666</c:v>
                </c:pt>
                <c:pt idx="984">
                  <c:v>16.066666666666666</c:v>
                </c:pt>
                <c:pt idx="985">
                  <c:v>12.1</c:v>
                </c:pt>
                <c:pt idx="986">
                  <c:v>15.466666666666667</c:v>
                </c:pt>
                <c:pt idx="987">
                  <c:v>14.633333333333333</c:v>
                </c:pt>
                <c:pt idx="988">
                  <c:v>20.766666666666669</c:v>
                </c:pt>
                <c:pt idx="989">
                  <c:v>15.866666666666667</c:v>
                </c:pt>
                <c:pt idx="990">
                  <c:v>13.233333333333334</c:v>
                </c:pt>
                <c:pt idx="991">
                  <c:v>16.066666666666666</c:v>
                </c:pt>
                <c:pt idx="992">
                  <c:v>17.333333333333332</c:v>
                </c:pt>
                <c:pt idx="993">
                  <c:v>21.033333333333331</c:v>
                </c:pt>
                <c:pt idx="994">
                  <c:v>19.033333333333335</c:v>
                </c:pt>
                <c:pt idx="995">
                  <c:v>19.7</c:v>
                </c:pt>
                <c:pt idx="996">
                  <c:v>16.900000000000002</c:v>
                </c:pt>
                <c:pt idx="997">
                  <c:v>18.3</c:v>
                </c:pt>
                <c:pt idx="998">
                  <c:v>17.433333333333334</c:v>
                </c:pt>
                <c:pt idx="999">
                  <c:v>19</c:v>
                </c:pt>
                <c:pt idx="1000">
                  <c:v>21.633333333333329</c:v>
                </c:pt>
                <c:pt idx="1001">
                  <c:v>14.666666666666666</c:v>
                </c:pt>
                <c:pt idx="1002">
                  <c:v>20.266666666666666</c:v>
                </c:pt>
                <c:pt idx="1003">
                  <c:v>18.933333333333334</c:v>
                </c:pt>
                <c:pt idx="1004">
                  <c:v>20.266666666666666</c:v>
                </c:pt>
                <c:pt idx="1005">
                  <c:v>19.399999999999999</c:v>
                </c:pt>
                <c:pt idx="1006">
                  <c:v>11.1</c:v>
                </c:pt>
                <c:pt idx="1007">
                  <c:v>11.1</c:v>
                </c:pt>
                <c:pt idx="1008">
                  <c:v>11.1</c:v>
                </c:pt>
                <c:pt idx="1009">
                  <c:v>11.1</c:v>
                </c:pt>
                <c:pt idx="1010">
                  <c:v>18.966666666666665</c:v>
                </c:pt>
                <c:pt idx="1011">
                  <c:v>21.166666666666668</c:v>
                </c:pt>
                <c:pt idx="1012">
                  <c:v>17.066666666666666</c:v>
                </c:pt>
                <c:pt idx="1013">
                  <c:v>14.066666666666668</c:v>
                </c:pt>
                <c:pt idx="1014">
                  <c:v>14.866666666666667</c:v>
                </c:pt>
                <c:pt idx="1015">
                  <c:v>17.666666666666668</c:v>
                </c:pt>
                <c:pt idx="1016">
                  <c:v>21.3</c:v>
                </c:pt>
                <c:pt idx="1017">
                  <c:v>19.233333333333334</c:v>
                </c:pt>
                <c:pt idx="1018">
                  <c:v>18.266666666666666</c:v>
                </c:pt>
                <c:pt idx="1019">
                  <c:v>19.899999999999999</c:v>
                </c:pt>
                <c:pt idx="1020">
                  <c:v>17.133333333333333</c:v>
                </c:pt>
                <c:pt idx="1021">
                  <c:v>18.833333333333332</c:v>
                </c:pt>
                <c:pt idx="1022">
                  <c:v>21.133333333333333</c:v>
                </c:pt>
                <c:pt idx="1023">
                  <c:v>21.833333333333332</c:v>
                </c:pt>
                <c:pt idx="1024">
                  <c:v>19.433333333333334</c:v>
                </c:pt>
                <c:pt idx="1025">
                  <c:v>20.333333333333332</c:v>
                </c:pt>
                <c:pt idx="1026">
                  <c:v>19.833333333333332</c:v>
                </c:pt>
                <c:pt idx="1027">
                  <c:v>17.666666666666668</c:v>
                </c:pt>
                <c:pt idx="1028">
                  <c:v>20.533333333333335</c:v>
                </c:pt>
                <c:pt idx="1029">
                  <c:v>18.233333333333334</c:v>
                </c:pt>
                <c:pt idx="1030">
                  <c:v>19.633333333333336</c:v>
                </c:pt>
                <c:pt idx="1031">
                  <c:v>16.8</c:v>
                </c:pt>
                <c:pt idx="1032">
                  <c:v>19.433333333333334</c:v>
                </c:pt>
                <c:pt idx="1033">
                  <c:v>18.2</c:v>
                </c:pt>
                <c:pt idx="1034">
                  <c:v>20.633333333333333</c:v>
                </c:pt>
                <c:pt idx="1035">
                  <c:v>18.099999999999998</c:v>
                </c:pt>
                <c:pt idx="1036">
                  <c:v>18.633333333333333</c:v>
                </c:pt>
                <c:pt idx="1037">
                  <c:v>16.266666666666666</c:v>
                </c:pt>
                <c:pt idx="1038">
                  <c:v>20.133333333333336</c:v>
                </c:pt>
                <c:pt idx="1039">
                  <c:v>19.5</c:v>
                </c:pt>
                <c:pt idx="1040">
                  <c:v>20.166666666666668</c:v>
                </c:pt>
                <c:pt idx="1041">
                  <c:v>15.833333333333334</c:v>
                </c:pt>
                <c:pt idx="1042">
                  <c:v>15.466666666666667</c:v>
                </c:pt>
                <c:pt idx="1043">
                  <c:v>16.2</c:v>
                </c:pt>
                <c:pt idx="1044">
                  <c:v>13.433333333333332</c:v>
                </c:pt>
                <c:pt idx="1045">
                  <c:v>16.7</c:v>
                </c:pt>
                <c:pt idx="1046">
                  <c:v>17.799999999999997</c:v>
                </c:pt>
                <c:pt idx="1047">
                  <c:v>15.533333333333333</c:v>
                </c:pt>
                <c:pt idx="1048">
                  <c:v>15.200000000000001</c:v>
                </c:pt>
                <c:pt idx="1049">
                  <c:v>18.533333333333335</c:v>
                </c:pt>
                <c:pt idx="1050">
                  <c:v>16.733333333333334</c:v>
                </c:pt>
                <c:pt idx="1051">
                  <c:v>19.766666666666666</c:v>
                </c:pt>
                <c:pt idx="1052">
                  <c:v>14.533333333333333</c:v>
                </c:pt>
                <c:pt idx="1053">
                  <c:v>14.9</c:v>
                </c:pt>
                <c:pt idx="1054">
                  <c:v>19.533333333333335</c:v>
                </c:pt>
                <c:pt idx="1055">
                  <c:v>17.833333333333332</c:v>
                </c:pt>
                <c:pt idx="1056">
                  <c:v>17.566666666666666</c:v>
                </c:pt>
                <c:pt idx="1057">
                  <c:v>14.533333333333333</c:v>
                </c:pt>
                <c:pt idx="1058">
                  <c:v>15</c:v>
                </c:pt>
                <c:pt idx="1059">
                  <c:v>16.3</c:v>
                </c:pt>
                <c:pt idx="1060">
                  <c:v>17.866666666666664</c:v>
                </c:pt>
                <c:pt idx="1061">
                  <c:v>20.466666666666665</c:v>
                </c:pt>
                <c:pt idx="1062">
                  <c:v>15.866666666666665</c:v>
                </c:pt>
                <c:pt idx="1063">
                  <c:v>14.1</c:v>
                </c:pt>
                <c:pt idx="1064">
                  <c:v>17.833333333333332</c:v>
                </c:pt>
                <c:pt idx="1065">
                  <c:v>17.933333333333334</c:v>
                </c:pt>
                <c:pt idx="1066">
                  <c:v>16.133333333333333</c:v>
                </c:pt>
                <c:pt idx="1067">
                  <c:v>13.9</c:v>
                </c:pt>
                <c:pt idx="1068">
                  <c:v>20.466666666666665</c:v>
                </c:pt>
                <c:pt idx="1069">
                  <c:v>21.566666666666666</c:v>
                </c:pt>
                <c:pt idx="1070">
                  <c:v>21.066666666666666</c:v>
                </c:pt>
                <c:pt idx="1071">
                  <c:v>19.8</c:v>
                </c:pt>
                <c:pt idx="1072">
                  <c:v>18.433333333333334</c:v>
                </c:pt>
                <c:pt idx="1073">
                  <c:v>19.899999999999999</c:v>
                </c:pt>
                <c:pt idx="1074">
                  <c:v>16.099999999999998</c:v>
                </c:pt>
                <c:pt idx="1075">
                  <c:v>20.133333333333333</c:v>
                </c:pt>
                <c:pt idx="1076">
                  <c:v>17.333333333333332</c:v>
                </c:pt>
                <c:pt idx="1077">
                  <c:v>20.733333333333334</c:v>
                </c:pt>
                <c:pt idx="1078">
                  <c:v>18.466666666666665</c:v>
                </c:pt>
                <c:pt idx="1079">
                  <c:v>19.533333333333331</c:v>
                </c:pt>
                <c:pt idx="1080">
                  <c:v>15.666666666666666</c:v>
                </c:pt>
                <c:pt idx="1081">
                  <c:v>17.566666666666666</c:v>
                </c:pt>
                <c:pt idx="1082">
                  <c:v>13.1</c:v>
                </c:pt>
                <c:pt idx="1083">
                  <c:v>18</c:v>
                </c:pt>
                <c:pt idx="1084">
                  <c:v>16.766666666666669</c:v>
                </c:pt>
                <c:pt idx="1085">
                  <c:v>15.5</c:v>
                </c:pt>
                <c:pt idx="1086">
                  <c:v>22</c:v>
                </c:pt>
                <c:pt idx="1087">
                  <c:v>18.333333333333336</c:v>
                </c:pt>
                <c:pt idx="1088">
                  <c:v>14.366666666666667</c:v>
                </c:pt>
                <c:pt idx="1089">
                  <c:v>14.966666666666669</c:v>
                </c:pt>
                <c:pt idx="1090">
                  <c:v>18.066666666666666</c:v>
                </c:pt>
                <c:pt idx="1091">
                  <c:v>17.433333333333334</c:v>
                </c:pt>
                <c:pt idx="1092">
                  <c:v>21.2</c:v>
                </c:pt>
                <c:pt idx="1093">
                  <c:v>19.8</c:v>
                </c:pt>
                <c:pt idx="1094">
                  <c:v>15.633333333333333</c:v>
                </c:pt>
                <c:pt idx="1095">
                  <c:v>19.666666666666668</c:v>
                </c:pt>
                <c:pt idx="1096">
                  <c:v>18.266666666666666</c:v>
                </c:pt>
                <c:pt idx="1097">
                  <c:v>21.033333333333335</c:v>
                </c:pt>
                <c:pt idx="1098">
                  <c:v>19.2</c:v>
                </c:pt>
                <c:pt idx="1099">
                  <c:v>16.233333333333334</c:v>
                </c:pt>
                <c:pt idx="1100">
                  <c:v>19.933333333333334</c:v>
                </c:pt>
                <c:pt idx="1101">
                  <c:v>18.599999999999998</c:v>
                </c:pt>
                <c:pt idx="1102">
                  <c:v>18.566666666666666</c:v>
                </c:pt>
                <c:pt idx="1103">
                  <c:v>19.5</c:v>
                </c:pt>
                <c:pt idx="1104">
                  <c:v>21.633333333333336</c:v>
                </c:pt>
                <c:pt idx="1105">
                  <c:v>15.199999999999998</c:v>
                </c:pt>
                <c:pt idx="1106">
                  <c:v>21.5</c:v>
                </c:pt>
                <c:pt idx="1107">
                  <c:v>20.3</c:v>
                </c:pt>
                <c:pt idx="1108">
                  <c:v>20.366666666666664</c:v>
                </c:pt>
                <c:pt idx="1109">
                  <c:v>14.133333333333333</c:v>
                </c:pt>
                <c:pt idx="1110">
                  <c:v>19.5</c:v>
                </c:pt>
                <c:pt idx="1111">
                  <c:v>14.866666666666665</c:v>
                </c:pt>
                <c:pt idx="1112">
                  <c:v>12.5</c:v>
                </c:pt>
                <c:pt idx="1113">
                  <c:v>16.966666666666665</c:v>
                </c:pt>
                <c:pt idx="1114">
                  <c:v>18.666666666666668</c:v>
                </c:pt>
                <c:pt idx="1115">
                  <c:v>19.233333333333331</c:v>
                </c:pt>
                <c:pt idx="1116">
                  <c:v>13.9</c:v>
                </c:pt>
                <c:pt idx="1117">
                  <c:v>19.566666666666666</c:v>
                </c:pt>
                <c:pt idx="1118">
                  <c:v>20.866666666666667</c:v>
                </c:pt>
                <c:pt idx="1119">
                  <c:v>18.599999999999998</c:v>
                </c:pt>
                <c:pt idx="1120">
                  <c:v>16.666666666666668</c:v>
                </c:pt>
                <c:pt idx="1121">
                  <c:v>17.433333333333334</c:v>
                </c:pt>
                <c:pt idx="1122">
                  <c:v>18.7</c:v>
                </c:pt>
                <c:pt idx="1123">
                  <c:v>18.000000000000004</c:v>
                </c:pt>
                <c:pt idx="1124">
                  <c:v>12.833333333333334</c:v>
                </c:pt>
                <c:pt idx="1125">
                  <c:v>20.999999999999996</c:v>
                </c:pt>
                <c:pt idx="1126">
                  <c:v>18.666666666666668</c:v>
                </c:pt>
                <c:pt idx="1127">
                  <c:v>15.766666666666666</c:v>
                </c:pt>
                <c:pt idx="1128">
                  <c:v>18.766666666666666</c:v>
                </c:pt>
                <c:pt idx="1129">
                  <c:v>20.566666666666666</c:v>
                </c:pt>
                <c:pt idx="1130">
                  <c:v>16.600000000000001</c:v>
                </c:pt>
                <c:pt idx="1131">
                  <c:v>13.866666666666667</c:v>
                </c:pt>
                <c:pt idx="1132">
                  <c:v>20.533333333333331</c:v>
                </c:pt>
                <c:pt idx="1133">
                  <c:v>21.1</c:v>
                </c:pt>
                <c:pt idx="1134">
                  <c:v>21.766666666666669</c:v>
                </c:pt>
                <c:pt idx="1135">
                  <c:v>19.966666666666669</c:v>
                </c:pt>
                <c:pt idx="1136">
                  <c:v>18.433333333333334</c:v>
                </c:pt>
                <c:pt idx="1137">
                  <c:v>20.433333333333334</c:v>
                </c:pt>
                <c:pt idx="1138">
                  <c:v>21.133333333333333</c:v>
                </c:pt>
                <c:pt idx="1139">
                  <c:v>17.5</c:v>
                </c:pt>
                <c:pt idx="1140">
                  <c:v>22.033333333333331</c:v>
                </c:pt>
                <c:pt idx="1141">
                  <c:v>18.033333333333335</c:v>
                </c:pt>
                <c:pt idx="1142">
                  <c:v>16.066666666666666</c:v>
                </c:pt>
                <c:pt idx="1143">
                  <c:v>15.9</c:v>
                </c:pt>
                <c:pt idx="1144">
                  <c:v>18.133333333333333</c:v>
                </c:pt>
                <c:pt idx="1145">
                  <c:v>21.766666666666666</c:v>
                </c:pt>
                <c:pt idx="1146">
                  <c:v>17.599999999999998</c:v>
                </c:pt>
                <c:pt idx="1147">
                  <c:v>20.833333333333332</c:v>
                </c:pt>
                <c:pt idx="1148">
                  <c:v>16.900000000000002</c:v>
                </c:pt>
                <c:pt idx="1149">
                  <c:v>16.333333333333332</c:v>
                </c:pt>
                <c:pt idx="1150">
                  <c:v>15.666666666666666</c:v>
                </c:pt>
                <c:pt idx="1151">
                  <c:v>18.566666666666666</c:v>
                </c:pt>
                <c:pt idx="1152">
                  <c:v>12.766666666666667</c:v>
                </c:pt>
                <c:pt idx="1153">
                  <c:v>19.400000000000002</c:v>
                </c:pt>
                <c:pt idx="1154">
                  <c:v>14.966666666666669</c:v>
                </c:pt>
                <c:pt idx="1155">
                  <c:v>17.366666666666667</c:v>
                </c:pt>
                <c:pt idx="1156">
                  <c:v>12.1</c:v>
                </c:pt>
                <c:pt idx="1157">
                  <c:v>18.766666666666666</c:v>
                </c:pt>
                <c:pt idx="1158">
                  <c:v>15.966666666666669</c:v>
                </c:pt>
                <c:pt idx="1159">
                  <c:v>16.966666666666669</c:v>
                </c:pt>
                <c:pt idx="1160">
                  <c:v>14.366666666666665</c:v>
                </c:pt>
                <c:pt idx="1161">
                  <c:v>21.099999999999998</c:v>
                </c:pt>
                <c:pt idx="1162">
                  <c:v>15.799999999999999</c:v>
                </c:pt>
                <c:pt idx="1163">
                  <c:v>17.599999999999998</c:v>
                </c:pt>
                <c:pt idx="1164">
                  <c:v>20.333333333333332</c:v>
                </c:pt>
                <c:pt idx="1165">
                  <c:v>18.599999999999998</c:v>
                </c:pt>
                <c:pt idx="1166">
                  <c:v>19.5</c:v>
                </c:pt>
                <c:pt idx="1167">
                  <c:v>19.333333333333332</c:v>
                </c:pt>
                <c:pt idx="1168">
                  <c:v>19.533333333333331</c:v>
                </c:pt>
                <c:pt idx="1169">
                  <c:v>18.233333333333334</c:v>
                </c:pt>
                <c:pt idx="1170">
                  <c:v>18.133333333333333</c:v>
                </c:pt>
                <c:pt idx="1171">
                  <c:v>19.566666666666666</c:v>
                </c:pt>
                <c:pt idx="1172">
                  <c:v>20.866666666666664</c:v>
                </c:pt>
                <c:pt idx="1173">
                  <c:v>21.733333333333331</c:v>
                </c:pt>
                <c:pt idx="1174">
                  <c:v>19.599999999999998</c:v>
                </c:pt>
                <c:pt idx="1175">
                  <c:v>20.066666666666666</c:v>
                </c:pt>
                <c:pt idx="1176">
                  <c:v>17.566666666666666</c:v>
                </c:pt>
                <c:pt idx="1177">
                  <c:v>17.533333333333335</c:v>
                </c:pt>
                <c:pt idx="1178">
                  <c:v>17.766666666666666</c:v>
                </c:pt>
                <c:pt idx="1179">
                  <c:v>20.433333333333334</c:v>
                </c:pt>
                <c:pt idx="1180">
                  <c:v>18.899999999999999</c:v>
                </c:pt>
                <c:pt idx="1181">
                  <c:v>17.566666666666666</c:v>
                </c:pt>
                <c:pt idx="1182">
                  <c:v>16.433333333333334</c:v>
                </c:pt>
                <c:pt idx="1183">
                  <c:v>16.233333333333334</c:v>
                </c:pt>
                <c:pt idx="1184">
                  <c:v>19.366666666666667</c:v>
                </c:pt>
                <c:pt idx="1185">
                  <c:v>17.400000000000002</c:v>
                </c:pt>
                <c:pt idx="1186">
                  <c:v>18.433333333333334</c:v>
                </c:pt>
                <c:pt idx="1187">
                  <c:v>14.5</c:v>
                </c:pt>
                <c:pt idx="1188">
                  <c:v>14.4</c:v>
                </c:pt>
                <c:pt idx="1189">
                  <c:v>17.399999999999999</c:v>
                </c:pt>
                <c:pt idx="1190">
                  <c:v>17</c:v>
                </c:pt>
                <c:pt idx="1191">
                  <c:v>16.2</c:v>
                </c:pt>
                <c:pt idx="1192">
                  <c:v>17.2</c:v>
                </c:pt>
                <c:pt idx="1193">
                  <c:v>18.633333333333333</c:v>
                </c:pt>
                <c:pt idx="1194">
                  <c:v>21.066666666666666</c:v>
                </c:pt>
                <c:pt idx="1195">
                  <c:v>15.733333333333334</c:v>
                </c:pt>
                <c:pt idx="1196">
                  <c:v>19.533333333333335</c:v>
                </c:pt>
                <c:pt idx="1197">
                  <c:v>20.8</c:v>
                </c:pt>
                <c:pt idx="1198">
                  <c:v>19.100000000000001</c:v>
                </c:pt>
                <c:pt idx="1199">
                  <c:v>16.166666666666668</c:v>
                </c:pt>
                <c:pt idx="1200">
                  <c:v>15.200000000000001</c:v>
                </c:pt>
                <c:pt idx="1201">
                  <c:v>11.566666666666668</c:v>
                </c:pt>
                <c:pt idx="1202">
                  <c:v>19.833333333333332</c:v>
                </c:pt>
                <c:pt idx="1203">
                  <c:v>16.833333333333332</c:v>
                </c:pt>
                <c:pt idx="1204">
                  <c:v>13.133333333333333</c:v>
                </c:pt>
                <c:pt idx="1205">
                  <c:v>25.333333333333332</c:v>
                </c:pt>
                <c:pt idx="1206">
                  <c:v>20.8</c:v>
                </c:pt>
                <c:pt idx="1207">
                  <c:v>14.866666666666667</c:v>
                </c:pt>
                <c:pt idx="1208">
                  <c:v>16.900000000000002</c:v>
                </c:pt>
                <c:pt idx="1209">
                  <c:v>17.8</c:v>
                </c:pt>
                <c:pt idx="1210">
                  <c:v>19.033333333333335</c:v>
                </c:pt>
                <c:pt idx="1211">
                  <c:v>16.866666666666664</c:v>
                </c:pt>
                <c:pt idx="1212">
                  <c:v>14.133333333333333</c:v>
                </c:pt>
                <c:pt idx="1213">
                  <c:v>18.400000000000002</c:v>
                </c:pt>
                <c:pt idx="1214">
                  <c:v>18.233333333333334</c:v>
                </c:pt>
                <c:pt idx="1215">
                  <c:v>16.166666666666668</c:v>
                </c:pt>
                <c:pt idx="1216">
                  <c:v>19.933333333333334</c:v>
                </c:pt>
                <c:pt idx="1217">
                  <c:v>19.433333333333334</c:v>
                </c:pt>
                <c:pt idx="1218">
                  <c:v>21.766666666666669</c:v>
                </c:pt>
                <c:pt idx="1219">
                  <c:v>19.266666666666669</c:v>
                </c:pt>
                <c:pt idx="1220">
                  <c:v>21.599999999999998</c:v>
                </c:pt>
                <c:pt idx="1221">
                  <c:v>19.166666666666668</c:v>
                </c:pt>
                <c:pt idx="1222">
                  <c:v>20.033333333333335</c:v>
                </c:pt>
                <c:pt idx="1223">
                  <c:v>15.933333333333332</c:v>
                </c:pt>
                <c:pt idx="1224">
                  <c:v>15.533333333333331</c:v>
                </c:pt>
                <c:pt idx="1225">
                  <c:v>15.533333333333331</c:v>
                </c:pt>
                <c:pt idx="1226">
                  <c:v>19.066666666666666</c:v>
                </c:pt>
                <c:pt idx="1227">
                  <c:v>17.766666666666666</c:v>
                </c:pt>
                <c:pt idx="1228">
                  <c:v>20.666666666666668</c:v>
                </c:pt>
                <c:pt idx="1229">
                  <c:v>18.099999999999998</c:v>
                </c:pt>
                <c:pt idx="1230">
                  <c:v>19.566666666666666</c:v>
                </c:pt>
                <c:pt idx="1231">
                  <c:v>19.900000000000002</c:v>
                </c:pt>
                <c:pt idx="1232">
                  <c:v>18.666666666666668</c:v>
                </c:pt>
                <c:pt idx="1233">
                  <c:v>18.566666666666666</c:v>
                </c:pt>
                <c:pt idx="1234">
                  <c:v>15.566666666666668</c:v>
                </c:pt>
                <c:pt idx="1235">
                  <c:v>15.066666666666668</c:v>
                </c:pt>
                <c:pt idx="1236">
                  <c:v>17.7</c:v>
                </c:pt>
                <c:pt idx="1237">
                  <c:v>15.1</c:v>
                </c:pt>
                <c:pt idx="1238">
                  <c:v>15.733333333333334</c:v>
                </c:pt>
                <c:pt idx="1239">
                  <c:v>18.633333333333333</c:v>
                </c:pt>
                <c:pt idx="1240">
                  <c:v>14.666666666666666</c:v>
                </c:pt>
                <c:pt idx="1241">
                  <c:v>19.3</c:v>
                </c:pt>
                <c:pt idx="1242">
                  <c:v>16.733333333333331</c:v>
                </c:pt>
                <c:pt idx="1243">
                  <c:v>13.566666666666668</c:v>
                </c:pt>
                <c:pt idx="1244">
                  <c:v>17.233333333333334</c:v>
                </c:pt>
                <c:pt idx="1245">
                  <c:v>16.3</c:v>
                </c:pt>
                <c:pt idx="1246">
                  <c:v>20.333333333333332</c:v>
                </c:pt>
                <c:pt idx="1247">
                  <c:v>18.866666666666664</c:v>
                </c:pt>
                <c:pt idx="1248">
                  <c:v>18.3</c:v>
                </c:pt>
                <c:pt idx="1249">
                  <c:v>19.400000000000002</c:v>
                </c:pt>
                <c:pt idx="1250">
                  <c:v>15.033333333333331</c:v>
                </c:pt>
                <c:pt idx="1251">
                  <c:v>16.5</c:v>
                </c:pt>
                <c:pt idx="1252">
                  <c:v>20.433333333333334</c:v>
                </c:pt>
                <c:pt idx="1253">
                  <c:v>15.166666666666666</c:v>
                </c:pt>
                <c:pt idx="1254">
                  <c:v>19.400000000000002</c:v>
                </c:pt>
                <c:pt idx="1255">
                  <c:v>19.466666666666669</c:v>
                </c:pt>
                <c:pt idx="1256">
                  <c:v>15</c:v>
                </c:pt>
                <c:pt idx="1257">
                  <c:v>17.366666666666664</c:v>
                </c:pt>
                <c:pt idx="1258">
                  <c:v>17.933333333333334</c:v>
                </c:pt>
                <c:pt idx="1259">
                  <c:v>11.633333333333333</c:v>
                </c:pt>
                <c:pt idx="1260">
                  <c:v>12.766666666666666</c:v>
                </c:pt>
                <c:pt idx="1261">
                  <c:v>15.800000000000002</c:v>
                </c:pt>
                <c:pt idx="1262">
                  <c:v>16.366666666666664</c:v>
                </c:pt>
                <c:pt idx="1263">
                  <c:v>18.433333333333334</c:v>
                </c:pt>
                <c:pt idx="1264">
                  <c:v>18.366666666666667</c:v>
                </c:pt>
                <c:pt idx="1265">
                  <c:v>16.599999999999998</c:v>
                </c:pt>
                <c:pt idx="1266">
                  <c:v>13.466666666666667</c:v>
                </c:pt>
                <c:pt idx="1267">
                  <c:v>19.566666666666666</c:v>
                </c:pt>
                <c:pt idx="1268">
                  <c:v>20.766666666666669</c:v>
                </c:pt>
                <c:pt idx="1269">
                  <c:v>14.933333333333332</c:v>
                </c:pt>
                <c:pt idx="1270">
                  <c:v>17.966666666666669</c:v>
                </c:pt>
                <c:pt idx="1271">
                  <c:v>14.466666666666667</c:v>
                </c:pt>
                <c:pt idx="1272">
                  <c:v>18.599999999999998</c:v>
                </c:pt>
                <c:pt idx="1273">
                  <c:v>17.7</c:v>
                </c:pt>
                <c:pt idx="1274">
                  <c:v>19.666666666666668</c:v>
                </c:pt>
                <c:pt idx="1275">
                  <c:v>16.900000000000002</c:v>
                </c:pt>
                <c:pt idx="1276">
                  <c:v>19</c:v>
                </c:pt>
                <c:pt idx="1277">
                  <c:v>15.666666666666666</c:v>
                </c:pt>
                <c:pt idx="1278">
                  <c:v>12.166666666666666</c:v>
                </c:pt>
                <c:pt idx="1279">
                  <c:v>19.233333333333331</c:v>
                </c:pt>
                <c:pt idx="1280">
                  <c:v>21.3</c:v>
                </c:pt>
                <c:pt idx="1281">
                  <c:v>18.133333333333333</c:v>
                </c:pt>
                <c:pt idx="1282">
                  <c:v>15.666666666666666</c:v>
                </c:pt>
                <c:pt idx="1283">
                  <c:v>19.099999999999998</c:v>
                </c:pt>
                <c:pt idx="1284">
                  <c:v>17.633333333333333</c:v>
                </c:pt>
                <c:pt idx="1285">
                  <c:v>19.333333333333332</c:v>
                </c:pt>
                <c:pt idx="1286">
                  <c:v>13.866666666666665</c:v>
                </c:pt>
                <c:pt idx="1287">
                  <c:v>17.700000000000003</c:v>
                </c:pt>
                <c:pt idx="1288">
                  <c:v>16.3</c:v>
                </c:pt>
                <c:pt idx="1289">
                  <c:v>19.400000000000002</c:v>
                </c:pt>
                <c:pt idx="1290">
                  <c:v>13.4</c:v>
                </c:pt>
                <c:pt idx="1291">
                  <c:v>17.599999999999998</c:v>
                </c:pt>
                <c:pt idx="1292">
                  <c:v>19.433333333333334</c:v>
                </c:pt>
                <c:pt idx="1293">
                  <c:v>16.366666666666667</c:v>
                </c:pt>
                <c:pt idx="1294">
                  <c:v>20.266666666666666</c:v>
                </c:pt>
                <c:pt idx="1295">
                  <c:v>15.6</c:v>
                </c:pt>
                <c:pt idx="1296">
                  <c:v>13</c:v>
                </c:pt>
                <c:pt idx="1297">
                  <c:v>13.833333333333334</c:v>
                </c:pt>
                <c:pt idx="1298">
                  <c:v>18.2</c:v>
                </c:pt>
                <c:pt idx="1299">
                  <c:v>17.466666666666665</c:v>
                </c:pt>
                <c:pt idx="1300">
                  <c:v>20.866666666666671</c:v>
                </c:pt>
                <c:pt idx="1301">
                  <c:v>19.5</c:v>
                </c:pt>
                <c:pt idx="1302">
                  <c:v>12.866666666666665</c:v>
                </c:pt>
                <c:pt idx="1303">
                  <c:v>15.133333333333333</c:v>
                </c:pt>
                <c:pt idx="1304">
                  <c:v>11.866666666666667</c:v>
                </c:pt>
                <c:pt idx="1305">
                  <c:v>18.733333333333334</c:v>
                </c:pt>
                <c:pt idx="1306">
                  <c:v>9.0666666666666664</c:v>
                </c:pt>
                <c:pt idx="1307">
                  <c:v>13.166666666666666</c:v>
                </c:pt>
                <c:pt idx="1308">
                  <c:v>11.166666666666666</c:v>
                </c:pt>
                <c:pt idx="1309">
                  <c:v>11.5</c:v>
                </c:pt>
                <c:pt idx="1310">
                  <c:v>21.666666666666668</c:v>
                </c:pt>
                <c:pt idx="1311">
                  <c:v>11.6</c:v>
                </c:pt>
                <c:pt idx="1312">
                  <c:v>9.4666666666666668</c:v>
                </c:pt>
                <c:pt idx="1313">
                  <c:v>10.033333333333333</c:v>
                </c:pt>
                <c:pt idx="1314">
                  <c:v>9.3333333333333339</c:v>
                </c:pt>
                <c:pt idx="1315">
                  <c:v>17.733333333333331</c:v>
                </c:pt>
                <c:pt idx="1316">
                  <c:v>11.5</c:v>
                </c:pt>
                <c:pt idx="1317">
                  <c:v>13.2</c:v>
                </c:pt>
                <c:pt idx="1318">
                  <c:v>18.3</c:v>
                </c:pt>
                <c:pt idx="1319">
                  <c:v>17.600000000000001</c:v>
                </c:pt>
                <c:pt idx="1320">
                  <c:v>11.2</c:v>
                </c:pt>
                <c:pt idx="1321">
                  <c:v>9.1</c:v>
                </c:pt>
                <c:pt idx="1322">
                  <c:v>10.466666666666667</c:v>
                </c:pt>
                <c:pt idx="1323">
                  <c:v>15.2</c:v>
                </c:pt>
                <c:pt idx="1324">
                  <c:v>15.7</c:v>
                </c:pt>
                <c:pt idx="1325">
                  <c:v>17</c:v>
                </c:pt>
                <c:pt idx="1326">
                  <c:v>12.4</c:v>
                </c:pt>
                <c:pt idx="1327">
                  <c:v>12.6</c:v>
                </c:pt>
                <c:pt idx="1328">
                  <c:v>12.5</c:v>
                </c:pt>
                <c:pt idx="1329">
                  <c:v>19</c:v>
                </c:pt>
                <c:pt idx="1330">
                  <c:v>13.9</c:v>
                </c:pt>
                <c:pt idx="1331">
                  <c:v>10.1</c:v>
                </c:pt>
                <c:pt idx="1332">
                  <c:v>10.1</c:v>
                </c:pt>
                <c:pt idx="1333">
                  <c:v>14.3</c:v>
                </c:pt>
                <c:pt idx="1334">
                  <c:v>11.4</c:v>
                </c:pt>
                <c:pt idx="1335">
                  <c:v>14.3</c:v>
                </c:pt>
                <c:pt idx="1336">
                  <c:v>11.4</c:v>
                </c:pt>
                <c:pt idx="1337">
                  <c:v>14.3</c:v>
                </c:pt>
                <c:pt idx="1338">
                  <c:v>11.4</c:v>
                </c:pt>
                <c:pt idx="1339">
                  <c:v>19.2</c:v>
                </c:pt>
                <c:pt idx="1340">
                  <c:v>16</c:v>
                </c:pt>
                <c:pt idx="1341">
                  <c:v>12.2</c:v>
                </c:pt>
                <c:pt idx="1342">
                  <c:v>11.8</c:v>
                </c:pt>
                <c:pt idx="1343">
                  <c:v>11.3</c:v>
                </c:pt>
                <c:pt idx="1344">
                  <c:v>10.8</c:v>
                </c:pt>
                <c:pt idx="1345">
                  <c:v>12.9</c:v>
                </c:pt>
                <c:pt idx="1346">
                  <c:v>13.5</c:v>
                </c:pt>
                <c:pt idx="1347">
                  <c:v>11.3</c:v>
                </c:pt>
                <c:pt idx="1348">
                  <c:v>13.5</c:v>
                </c:pt>
                <c:pt idx="1349">
                  <c:v>11.3</c:v>
                </c:pt>
                <c:pt idx="1350">
                  <c:v>11.2</c:v>
                </c:pt>
                <c:pt idx="1351">
                  <c:v>9.4</c:v>
                </c:pt>
                <c:pt idx="1352">
                  <c:v>11.8</c:v>
                </c:pt>
                <c:pt idx="1353">
                  <c:v>13.7</c:v>
                </c:pt>
                <c:pt idx="1354">
                  <c:v>12.1</c:v>
                </c:pt>
                <c:pt idx="1355">
                  <c:v>15.2</c:v>
                </c:pt>
                <c:pt idx="1356">
                  <c:v>14.8</c:v>
                </c:pt>
                <c:pt idx="1357">
                  <c:v>12.6</c:v>
                </c:pt>
                <c:pt idx="1358">
                  <c:v>15.4</c:v>
                </c:pt>
                <c:pt idx="1359">
                  <c:v>12.5</c:v>
                </c:pt>
                <c:pt idx="1360">
                  <c:v>10.8</c:v>
                </c:pt>
                <c:pt idx="1361">
                  <c:v>10.7</c:v>
                </c:pt>
                <c:pt idx="1362">
                  <c:v>10.199999999999999</c:v>
                </c:pt>
                <c:pt idx="1363">
                  <c:v>12.73</c:v>
                </c:pt>
                <c:pt idx="1364">
                  <c:v>13.2</c:v>
                </c:pt>
                <c:pt idx="1365">
                  <c:v>16.600000000000001</c:v>
                </c:pt>
                <c:pt idx="1366">
                  <c:v>11.7</c:v>
                </c:pt>
                <c:pt idx="1367">
                  <c:v>16</c:v>
                </c:pt>
                <c:pt idx="1368">
                  <c:v>10.9</c:v>
                </c:pt>
                <c:pt idx="1369">
                  <c:v>16</c:v>
                </c:pt>
                <c:pt idx="1370">
                  <c:v>10.9</c:v>
                </c:pt>
              </c:numCache>
            </c:numRef>
          </c:val>
          <c:smooth val="0"/>
          <c:extLst>
            <c:ext xmlns:c16="http://schemas.microsoft.com/office/drawing/2014/chart" uri="{C3380CC4-5D6E-409C-BE32-E72D297353CC}">
              <c16:uniqueId val="{00000000-3938-4307-813A-EC161F63A579}"/>
            </c:ext>
          </c:extLst>
        </c:ser>
        <c:dLbls>
          <c:showLegendKey val="0"/>
          <c:showVal val="0"/>
          <c:showCatName val="0"/>
          <c:showSerName val="0"/>
          <c:showPercent val="0"/>
          <c:showBubbleSize val="0"/>
        </c:dLbls>
        <c:marker val="1"/>
        <c:smooth val="0"/>
        <c:axId val="405165088"/>
        <c:axId val="405163456"/>
      </c:lineChart>
      <c:lineChart>
        <c:grouping val="stacked"/>
        <c:varyColors val="0"/>
        <c:ser>
          <c:idx val="1"/>
          <c:order val="1"/>
          <c:tx>
            <c:v>AV Coke Temperature</c:v>
          </c:tx>
          <c:spPr>
            <a:ln w="57150">
              <a:solidFill>
                <a:srgbClr val="FF0000"/>
              </a:solidFill>
            </a:ln>
          </c:spPr>
          <c:marker>
            <c:symbol val="none"/>
          </c:marker>
          <c:cat>
            <c:multiLvlStrRef>
              <c:f>'Coke Moisture'!$C$4:$D$500</c:f>
              <c:multiLvlStrCache>
                <c:ptCount val="497"/>
                <c:lvl>
                  <c:pt idx="0">
                    <c:v>8:00</c:v>
                  </c:pt>
                  <c:pt idx="1">
                    <c:v>13:00</c:v>
                  </c:pt>
                  <c:pt idx="2">
                    <c:v>15:40</c:v>
                  </c:pt>
                  <c:pt idx="3">
                    <c:v>18:15</c:v>
                  </c:pt>
                  <c:pt idx="4">
                    <c:v>21:00</c:v>
                  </c:pt>
                  <c:pt idx="5">
                    <c:v>12:50</c:v>
                  </c:pt>
                  <c:pt idx="6">
                    <c:v>4:15</c:v>
                  </c:pt>
                  <c:pt idx="7">
                    <c:v>11:15</c:v>
                  </c:pt>
                  <c:pt idx="8">
                    <c:v>14:30</c:v>
                  </c:pt>
                  <c:pt idx="9">
                    <c:v>18:30</c:v>
                  </c:pt>
                  <c:pt idx="10">
                    <c:v>22:45</c:v>
                  </c:pt>
                  <c:pt idx="11">
                    <c:v>2:15</c:v>
                  </c:pt>
                  <c:pt idx="12">
                    <c:v>5:47</c:v>
                  </c:pt>
                  <c:pt idx="13">
                    <c:v>8:10</c:v>
                  </c:pt>
                  <c:pt idx="14">
                    <c:v>13:30</c:v>
                  </c:pt>
                  <c:pt idx="15">
                    <c:v>17:00</c:v>
                  </c:pt>
                  <c:pt idx="16">
                    <c:v>20:45</c:v>
                  </c:pt>
                  <c:pt idx="17">
                    <c:v>23:10</c:v>
                  </c:pt>
                  <c:pt idx="18">
                    <c:v>3:40</c:v>
                  </c:pt>
                  <c:pt idx="19">
                    <c:v>11:25</c:v>
                  </c:pt>
                  <c:pt idx="20">
                    <c:v>15:00</c:v>
                  </c:pt>
                  <c:pt idx="21">
                    <c:v>18:15</c:v>
                  </c:pt>
                  <c:pt idx="22">
                    <c:v>22:50</c:v>
                  </c:pt>
                  <c:pt idx="23">
                    <c:v>2:05</c:v>
                  </c:pt>
                  <c:pt idx="24">
                    <c:v>11:00</c:v>
                  </c:pt>
                  <c:pt idx="25">
                    <c:v>15:30</c:v>
                  </c:pt>
                  <c:pt idx="26">
                    <c:v>18:10</c:v>
                  </c:pt>
                  <c:pt idx="27">
                    <c:v>22:50</c:v>
                  </c:pt>
                  <c:pt idx="28">
                    <c:v>2:05</c:v>
                  </c:pt>
                  <c:pt idx="29">
                    <c:v>8:30</c:v>
                  </c:pt>
                  <c:pt idx="30">
                    <c:v>12:00</c:v>
                  </c:pt>
                  <c:pt idx="31">
                    <c:v>15:40</c:v>
                  </c:pt>
                  <c:pt idx="32">
                    <c:v>18:10</c:v>
                  </c:pt>
                  <c:pt idx="33">
                    <c:v>22:00</c:v>
                  </c:pt>
                  <c:pt idx="34">
                    <c:v>2:10</c:v>
                  </c:pt>
                  <c:pt idx="35">
                    <c:v>12:10</c:v>
                  </c:pt>
                  <c:pt idx="36">
                    <c:v>15:45</c:v>
                  </c:pt>
                  <c:pt idx="37">
                    <c:v>19:10</c:v>
                  </c:pt>
                  <c:pt idx="38">
                    <c:v>23:10</c:v>
                  </c:pt>
                  <c:pt idx="39">
                    <c:v>2:30</c:v>
                  </c:pt>
                  <c:pt idx="40">
                    <c:v>3:25</c:v>
                  </c:pt>
                  <c:pt idx="41">
                    <c:v>12:50</c:v>
                  </c:pt>
                  <c:pt idx="42">
                    <c:v>14:35</c:v>
                  </c:pt>
                  <c:pt idx="43">
                    <c:v>18:10</c:v>
                  </c:pt>
                  <c:pt idx="44">
                    <c:v>22:30</c:v>
                  </c:pt>
                  <c:pt idx="45">
                    <c:v>2:45</c:v>
                  </c:pt>
                  <c:pt idx="46">
                    <c:v>9:35</c:v>
                  </c:pt>
                  <c:pt idx="47">
                    <c:v>13:05</c:v>
                  </c:pt>
                  <c:pt idx="48">
                    <c:v>20:10</c:v>
                  </c:pt>
                  <c:pt idx="49">
                    <c:v>2:10</c:v>
                  </c:pt>
                  <c:pt idx="50">
                    <c:v>9:00</c:v>
                  </c:pt>
                  <c:pt idx="51">
                    <c:v>14:15</c:v>
                  </c:pt>
                  <c:pt idx="52">
                    <c:v>23:10</c:v>
                  </c:pt>
                  <c:pt idx="53">
                    <c:v>0:15</c:v>
                  </c:pt>
                  <c:pt idx="54">
                    <c:v>3:40</c:v>
                  </c:pt>
                  <c:pt idx="55">
                    <c:v>16:45</c:v>
                  </c:pt>
                  <c:pt idx="56">
                    <c:v>15:35</c:v>
                  </c:pt>
                  <c:pt idx="57">
                    <c:v>19:45</c:v>
                  </c:pt>
                  <c:pt idx="58">
                    <c:v>11:45</c:v>
                  </c:pt>
                  <c:pt idx="59">
                    <c:v>4:40</c:v>
                  </c:pt>
                  <c:pt idx="60">
                    <c:v>14:35</c:v>
                  </c:pt>
                  <c:pt idx="61">
                    <c:v>18:05</c:v>
                  </c:pt>
                  <c:pt idx="62">
                    <c:v>22:00</c:v>
                  </c:pt>
                  <c:pt idx="63">
                    <c:v>2:10</c:v>
                  </c:pt>
                  <c:pt idx="64">
                    <c:v>11:15</c:v>
                  </c:pt>
                  <c:pt idx="65">
                    <c:v>11:15</c:v>
                  </c:pt>
                  <c:pt idx="66">
                    <c:v>14:15</c:v>
                  </c:pt>
                  <c:pt idx="67">
                    <c:v>12:45</c:v>
                  </c:pt>
                  <c:pt idx="68">
                    <c:v>14:35</c:v>
                  </c:pt>
                  <c:pt idx="69">
                    <c:v>12:10</c:v>
                  </c:pt>
                  <c:pt idx="70">
                    <c:v>15:35</c:v>
                  </c:pt>
                  <c:pt idx="71">
                    <c:v>18:25</c:v>
                  </c:pt>
                  <c:pt idx="72">
                    <c:v>0:10</c:v>
                  </c:pt>
                  <c:pt idx="73">
                    <c:v>3:45</c:v>
                  </c:pt>
                  <c:pt idx="74">
                    <c:v>11:10</c:v>
                  </c:pt>
                  <c:pt idx="75">
                    <c:v>15:15</c:v>
                  </c:pt>
                  <c:pt idx="76">
                    <c:v>18:20</c:v>
                  </c:pt>
                  <c:pt idx="77">
                    <c:v>22:50</c:v>
                  </c:pt>
                  <c:pt idx="78">
                    <c:v>2:14</c:v>
                  </c:pt>
                  <c:pt idx="79">
                    <c:v>11:10</c:v>
                  </c:pt>
                  <c:pt idx="80">
                    <c:v>14:40</c:v>
                  </c:pt>
                  <c:pt idx="81">
                    <c:v>18:20</c:v>
                  </c:pt>
                  <c:pt idx="82">
                    <c:v>22:40</c:v>
                  </c:pt>
                  <c:pt idx="83">
                    <c:v>2:25</c:v>
                  </c:pt>
                  <c:pt idx="84">
                    <c:v>12:30</c:v>
                  </c:pt>
                  <c:pt idx="85">
                    <c:v>14:40</c:v>
                  </c:pt>
                  <c:pt idx="86">
                    <c:v>18:20</c:v>
                  </c:pt>
                  <c:pt idx="87">
                    <c:v>22:50</c:v>
                  </c:pt>
                  <c:pt idx="88">
                    <c:v>2:20</c:v>
                  </c:pt>
                  <c:pt idx="89">
                    <c:v>12:15</c:v>
                  </c:pt>
                  <c:pt idx="90">
                    <c:v>14:45</c:v>
                  </c:pt>
                  <c:pt idx="91">
                    <c:v>18:30</c:v>
                  </c:pt>
                  <c:pt idx="92">
                    <c:v>22:40</c:v>
                  </c:pt>
                  <c:pt idx="93">
                    <c:v>2:10</c:v>
                  </c:pt>
                  <c:pt idx="94">
                    <c:v>12:45</c:v>
                  </c:pt>
                  <c:pt idx="95">
                    <c:v>15:15</c:v>
                  </c:pt>
                  <c:pt idx="96">
                    <c:v>2:05</c:v>
                  </c:pt>
                  <c:pt idx="97">
                    <c:v>12:00</c:v>
                  </c:pt>
                  <c:pt idx="98">
                    <c:v>15:30</c:v>
                  </c:pt>
                  <c:pt idx="99">
                    <c:v>2:15</c:v>
                  </c:pt>
                  <c:pt idx="100">
                    <c:v>5:30</c:v>
                  </c:pt>
                  <c:pt idx="101">
                    <c:v>22:50</c:v>
                  </c:pt>
                  <c:pt idx="102">
                    <c:v>2:15</c:v>
                  </c:pt>
                  <c:pt idx="103">
                    <c:v>11:05</c:v>
                  </c:pt>
                  <c:pt idx="104">
                    <c:v>14:45</c:v>
                  </c:pt>
                  <c:pt idx="105">
                    <c:v>18:50</c:v>
                  </c:pt>
                  <c:pt idx="106">
                    <c:v>22:45</c:v>
                  </c:pt>
                  <c:pt idx="107">
                    <c:v>11:00</c:v>
                  </c:pt>
                  <c:pt idx="108">
                    <c:v>14:45</c:v>
                  </c:pt>
                  <c:pt idx="109">
                    <c:v>18:50</c:v>
                  </c:pt>
                  <c:pt idx="110">
                    <c:v>22:45</c:v>
                  </c:pt>
                  <c:pt idx="111">
                    <c:v>2:15</c:v>
                  </c:pt>
                  <c:pt idx="112">
                    <c:v>11:45</c:v>
                  </c:pt>
                  <c:pt idx="113">
                    <c:v>16:40</c:v>
                  </c:pt>
                  <c:pt idx="114">
                    <c:v>20:15</c:v>
                  </c:pt>
                  <c:pt idx="115">
                    <c:v>12:30</c:v>
                  </c:pt>
                  <c:pt idx="116">
                    <c:v>16:20</c:v>
                  </c:pt>
                  <c:pt idx="117">
                    <c:v>23:40</c:v>
                  </c:pt>
                  <c:pt idx="118">
                    <c:v>3:15</c:v>
                  </c:pt>
                  <c:pt idx="119">
                    <c:v>14:15</c:v>
                  </c:pt>
                  <c:pt idx="120">
                    <c:v>16:10</c:v>
                  </c:pt>
                  <c:pt idx="121">
                    <c:v>20:15</c:v>
                  </c:pt>
                  <c:pt idx="122">
                    <c:v>23:20</c:v>
                  </c:pt>
                  <c:pt idx="123">
                    <c:v>2:50</c:v>
                  </c:pt>
                  <c:pt idx="124">
                    <c:v>14:15</c:v>
                  </c:pt>
                  <c:pt idx="125">
                    <c:v>16:10</c:v>
                  </c:pt>
                  <c:pt idx="126">
                    <c:v>20:15</c:v>
                  </c:pt>
                  <c:pt idx="127">
                    <c:v>1:40</c:v>
                  </c:pt>
                  <c:pt idx="128">
                    <c:v>5:45</c:v>
                  </c:pt>
                  <c:pt idx="129">
                    <c:v>12:30</c:v>
                  </c:pt>
                  <c:pt idx="130">
                    <c:v>14:48</c:v>
                  </c:pt>
                  <c:pt idx="131">
                    <c:v>20:15</c:v>
                  </c:pt>
                  <c:pt idx="132">
                    <c:v>23:20</c:v>
                  </c:pt>
                  <c:pt idx="133">
                    <c:v>2:20</c:v>
                  </c:pt>
                  <c:pt idx="134">
                    <c:v>11:00</c:v>
                  </c:pt>
                  <c:pt idx="135">
                    <c:v>14:40</c:v>
                  </c:pt>
                  <c:pt idx="136">
                    <c:v>18:15</c:v>
                  </c:pt>
                  <c:pt idx="137">
                    <c:v>23:20</c:v>
                  </c:pt>
                  <c:pt idx="138">
                    <c:v>2:15</c:v>
                  </c:pt>
                  <c:pt idx="139">
                    <c:v>10:45</c:v>
                  </c:pt>
                  <c:pt idx="140">
                    <c:v>14:45</c:v>
                  </c:pt>
                  <c:pt idx="141">
                    <c:v>21:06</c:v>
                  </c:pt>
                  <c:pt idx="142">
                    <c:v>1:25</c:v>
                  </c:pt>
                  <c:pt idx="143">
                    <c:v>14:45</c:v>
                  </c:pt>
                  <c:pt idx="144">
                    <c:v>1:30</c:v>
                  </c:pt>
                  <c:pt idx="145">
                    <c:v>3:00</c:v>
                  </c:pt>
                  <c:pt idx="146">
                    <c:v>15:15</c:v>
                  </c:pt>
                  <c:pt idx="147">
                    <c:v>11:40</c:v>
                  </c:pt>
                  <c:pt idx="148">
                    <c:v>19:10</c:v>
                  </c:pt>
                  <c:pt idx="149">
                    <c:v>23:05</c:v>
                  </c:pt>
                  <c:pt idx="150">
                    <c:v>2:05</c:v>
                  </c:pt>
                  <c:pt idx="151">
                    <c:v>11:55</c:v>
                  </c:pt>
                  <c:pt idx="152">
                    <c:v>15:40</c:v>
                  </c:pt>
                  <c:pt idx="153">
                    <c:v>19:10</c:v>
                  </c:pt>
                  <c:pt idx="154">
                    <c:v>2:45</c:v>
                  </c:pt>
                  <c:pt idx="155">
                    <c:v>12:15</c:v>
                  </c:pt>
                  <c:pt idx="156">
                    <c:v>15:45</c:v>
                  </c:pt>
                  <c:pt idx="157">
                    <c:v>19:30</c:v>
                  </c:pt>
                  <c:pt idx="158">
                    <c:v>23:30</c:v>
                  </c:pt>
                  <c:pt idx="159">
                    <c:v>2:45</c:v>
                  </c:pt>
                  <c:pt idx="160">
                    <c:v>11:45</c:v>
                  </c:pt>
                  <c:pt idx="161">
                    <c:v>15:45</c:v>
                  </c:pt>
                  <c:pt idx="162">
                    <c:v>19:30</c:v>
                  </c:pt>
                  <c:pt idx="163">
                    <c:v>0:20</c:v>
                  </c:pt>
                  <c:pt idx="164">
                    <c:v>3:55</c:v>
                  </c:pt>
                  <c:pt idx="165">
                    <c:v>11:55</c:v>
                  </c:pt>
                  <c:pt idx="166">
                    <c:v>15:45</c:v>
                  </c:pt>
                  <c:pt idx="167">
                    <c:v>20:30</c:v>
                  </c:pt>
                  <c:pt idx="168">
                    <c:v>0:25</c:v>
                  </c:pt>
                  <c:pt idx="169">
                    <c:v>3:45</c:v>
                  </c:pt>
                  <c:pt idx="170">
                    <c:v>11:45</c:v>
                  </c:pt>
                  <c:pt idx="171">
                    <c:v>15:45</c:v>
                  </c:pt>
                  <c:pt idx="172">
                    <c:v>20:38</c:v>
                  </c:pt>
                  <c:pt idx="173">
                    <c:v>0:00</c:v>
                  </c:pt>
                  <c:pt idx="174">
                    <c:v>3:50</c:v>
                  </c:pt>
                  <c:pt idx="175">
                    <c:v>14:15</c:v>
                  </c:pt>
                  <c:pt idx="176">
                    <c:v>17:45</c:v>
                  </c:pt>
                  <c:pt idx="177">
                    <c:v>19:45</c:v>
                  </c:pt>
                  <c:pt idx="178">
                    <c:v>0:15</c:v>
                  </c:pt>
                  <c:pt idx="179">
                    <c:v>11:45</c:v>
                  </c:pt>
                  <c:pt idx="180">
                    <c:v>15:45</c:v>
                  </c:pt>
                  <c:pt idx="181">
                    <c:v>21:15</c:v>
                  </c:pt>
                  <c:pt idx="182">
                    <c:v>1:18</c:v>
                  </c:pt>
                  <c:pt idx="183">
                    <c:v>4:50</c:v>
                  </c:pt>
                  <c:pt idx="184">
                    <c:v>11:45</c:v>
                  </c:pt>
                  <c:pt idx="185">
                    <c:v>15:45</c:v>
                  </c:pt>
                  <c:pt idx="186">
                    <c:v>21:15</c:v>
                  </c:pt>
                  <c:pt idx="187">
                    <c:v>0:15</c:v>
                  </c:pt>
                  <c:pt idx="188">
                    <c:v>3:50</c:v>
                  </c:pt>
                  <c:pt idx="189">
                    <c:v>11:40</c:v>
                  </c:pt>
                  <c:pt idx="190">
                    <c:v>15:40</c:v>
                  </c:pt>
                  <c:pt idx="191">
                    <c:v>21:15</c:v>
                  </c:pt>
                  <c:pt idx="192">
                    <c:v>0:15</c:v>
                  </c:pt>
                  <c:pt idx="193">
                    <c:v>3:40</c:v>
                  </c:pt>
                  <c:pt idx="194">
                    <c:v>11:35</c:v>
                  </c:pt>
                  <c:pt idx="195">
                    <c:v>15:45</c:v>
                  </c:pt>
                  <c:pt idx="196">
                    <c:v>21:00</c:v>
                  </c:pt>
                  <c:pt idx="197">
                    <c:v>0:15</c:v>
                  </c:pt>
                  <c:pt idx="198">
                    <c:v>3:50</c:v>
                  </c:pt>
                  <c:pt idx="199">
                    <c:v>11:40</c:v>
                  </c:pt>
                  <c:pt idx="200">
                    <c:v>16:00</c:v>
                  </c:pt>
                  <c:pt idx="201">
                    <c:v>21:00</c:v>
                  </c:pt>
                  <c:pt idx="202">
                    <c:v>0:15</c:v>
                  </c:pt>
                  <c:pt idx="203">
                    <c:v>3:40</c:v>
                  </c:pt>
                  <c:pt idx="204">
                    <c:v>11:40</c:v>
                  </c:pt>
                  <c:pt idx="205">
                    <c:v>15:40</c:v>
                  </c:pt>
                  <c:pt idx="206">
                    <c:v>20:44</c:v>
                  </c:pt>
                  <c:pt idx="207">
                    <c:v>0:15</c:v>
                  </c:pt>
                  <c:pt idx="208">
                    <c:v>3:45</c:v>
                  </c:pt>
                  <c:pt idx="209">
                    <c:v>11:30</c:v>
                  </c:pt>
                  <c:pt idx="210">
                    <c:v>15:55</c:v>
                  </c:pt>
                  <c:pt idx="211">
                    <c:v>0:15</c:v>
                  </c:pt>
                  <c:pt idx="212">
                    <c:v>3:45</c:v>
                  </c:pt>
                  <c:pt idx="213">
                    <c:v>11:30</c:v>
                  </c:pt>
                  <c:pt idx="214">
                    <c:v>15:45</c:v>
                  </c:pt>
                  <c:pt idx="215">
                    <c:v>0:20</c:v>
                  </c:pt>
                  <c:pt idx="216">
                    <c:v>11:30</c:v>
                  </c:pt>
                  <c:pt idx="217">
                    <c:v>15:42</c:v>
                  </c:pt>
                  <c:pt idx="218">
                    <c:v>20:50</c:v>
                  </c:pt>
                  <c:pt idx="219">
                    <c:v>0:20</c:v>
                  </c:pt>
                  <c:pt idx="220">
                    <c:v>15:45</c:v>
                  </c:pt>
                  <c:pt idx="221">
                    <c:v>0:20</c:v>
                  </c:pt>
                  <c:pt idx="222">
                    <c:v>11:30</c:v>
                  </c:pt>
                  <c:pt idx="223">
                    <c:v>15:45</c:v>
                  </c:pt>
                  <c:pt idx="224">
                    <c:v>19:15</c:v>
                  </c:pt>
                  <c:pt idx="225">
                    <c:v>0:20</c:v>
                  </c:pt>
                  <c:pt idx="226">
                    <c:v>3:43</c:v>
                  </c:pt>
                  <c:pt idx="227">
                    <c:v>10:30</c:v>
                  </c:pt>
                  <c:pt idx="228">
                    <c:v>14:45</c:v>
                  </c:pt>
                  <c:pt idx="229">
                    <c:v>18:15</c:v>
                  </c:pt>
                  <c:pt idx="230">
                    <c:v>23:15</c:v>
                  </c:pt>
                  <c:pt idx="231">
                    <c:v>2:43</c:v>
                  </c:pt>
                  <c:pt idx="232">
                    <c:v>10:45</c:v>
                  </c:pt>
                  <c:pt idx="233">
                    <c:v>14:45</c:v>
                  </c:pt>
                  <c:pt idx="234">
                    <c:v>18:15</c:v>
                  </c:pt>
                  <c:pt idx="235">
                    <c:v>22:50</c:v>
                  </c:pt>
                  <c:pt idx="236">
                    <c:v>2:55</c:v>
                  </c:pt>
                  <c:pt idx="237">
                    <c:v>10:30</c:v>
                  </c:pt>
                  <c:pt idx="238">
                    <c:v>14:40</c:v>
                  </c:pt>
                  <c:pt idx="239">
                    <c:v>18:15</c:v>
                  </c:pt>
                  <c:pt idx="240">
                    <c:v>23:20</c:v>
                  </c:pt>
                  <c:pt idx="241">
                    <c:v>2:50</c:v>
                  </c:pt>
                  <c:pt idx="242">
                    <c:v>9:40</c:v>
                  </c:pt>
                  <c:pt idx="243">
                    <c:v>16:05</c:v>
                  </c:pt>
                  <c:pt idx="244">
                    <c:v>18:15</c:v>
                  </c:pt>
                  <c:pt idx="245">
                    <c:v>23:20</c:v>
                  </c:pt>
                  <c:pt idx="246">
                    <c:v>2:50</c:v>
                  </c:pt>
                  <c:pt idx="247">
                    <c:v>9:10</c:v>
                  </c:pt>
                  <c:pt idx="248">
                    <c:v>13:45</c:v>
                  </c:pt>
                  <c:pt idx="249">
                    <c:v>17:45</c:v>
                  </c:pt>
                  <c:pt idx="250">
                    <c:v>23:29</c:v>
                  </c:pt>
                  <c:pt idx="251">
                    <c:v>2:45</c:v>
                  </c:pt>
                  <c:pt idx="252">
                    <c:v>11:45</c:v>
                  </c:pt>
                  <c:pt idx="253">
                    <c:v>14:45</c:v>
                  </c:pt>
                  <c:pt idx="254">
                    <c:v>18:15</c:v>
                  </c:pt>
                  <c:pt idx="255">
                    <c:v>23:28</c:v>
                  </c:pt>
                  <c:pt idx="256">
                    <c:v>2:45</c:v>
                  </c:pt>
                  <c:pt idx="257">
                    <c:v>11:45</c:v>
                  </c:pt>
                  <c:pt idx="258">
                    <c:v>14:45</c:v>
                  </c:pt>
                  <c:pt idx="259">
                    <c:v>18:15</c:v>
                  </c:pt>
                  <c:pt idx="260">
                    <c:v>23:28</c:v>
                  </c:pt>
                  <c:pt idx="261">
                    <c:v>2:48</c:v>
                  </c:pt>
                  <c:pt idx="262">
                    <c:v>14:30</c:v>
                  </c:pt>
                  <c:pt idx="263">
                    <c:v>18:15</c:v>
                  </c:pt>
                  <c:pt idx="264">
                    <c:v>2:35</c:v>
                  </c:pt>
                  <c:pt idx="265">
                    <c:v>15:30</c:v>
                  </c:pt>
                  <c:pt idx="266">
                    <c:v>12:30</c:v>
                  </c:pt>
                  <c:pt idx="267">
                    <c:v>16:20</c:v>
                  </c:pt>
                  <c:pt idx="268">
                    <c:v>19:45</c:v>
                  </c:pt>
                  <c:pt idx="269">
                    <c:v>23:45</c:v>
                  </c:pt>
                  <c:pt idx="270">
                    <c:v>3:20</c:v>
                  </c:pt>
                  <c:pt idx="271">
                    <c:v>11:40</c:v>
                  </c:pt>
                  <c:pt idx="272">
                    <c:v>15:25</c:v>
                  </c:pt>
                  <c:pt idx="273">
                    <c:v>20:45</c:v>
                  </c:pt>
                  <c:pt idx="274">
                    <c:v>0:10</c:v>
                  </c:pt>
                  <c:pt idx="275">
                    <c:v>5:00</c:v>
                  </c:pt>
                  <c:pt idx="276">
                    <c:v>15:00</c:v>
                  </c:pt>
                  <c:pt idx="277">
                    <c:v>18:20</c:v>
                  </c:pt>
                  <c:pt idx="278">
                    <c:v>23:15</c:v>
                  </c:pt>
                  <c:pt idx="279">
                    <c:v>2:50</c:v>
                  </c:pt>
                  <c:pt idx="280">
                    <c:v>14:40</c:v>
                  </c:pt>
                  <c:pt idx="281">
                    <c:v>18:30</c:v>
                  </c:pt>
                  <c:pt idx="282">
                    <c:v>23:50</c:v>
                  </c:pt>
                  <c:pt idx="283">
                    <c:v>2:45</c:v>
                  </c:pt>
                  <c:pt idx="284">
                    <c:v>14:40</c:v>
                  </c:pt>
                  <c:pt idx="285">
                    <c:v>18:30</c:v>
                  </c:pt>
                  <c:pt idx="286">
                    <c:v>23:20</c:v>
                  </c:pt>
                  <c:pt idx="287">
                    <c:v>2:45</c:v>
                  </c:pt>
                  <c:pt idx="288">
                    <c:v>15:00</c:v>
                  </c:pt>
                  <c:pt idx="289">
                    <c:v>18:30</c:v>
                  </c:pt>
                  <c:pt idx="290">
                    <c:v>21:45</c:v>
                  </c:pt>
                  <c:pt idx="291">
                    <c:v>1:20</c:v>
                  </c:pt>
                  <c:pt idx="292">
                    <c:v>3:45</c:v>
                  </c:pt>
                  <c:pt idx="293">
                    <c:v>16:30</c:v>
                  </c:pt>
                  <c:pt idx="294">
                    <c:v>20:15</c:v>
                  </c:pt>
                  <c:pt idx="295">
                    <c:v>23:25</c:v>
                  </c:pt>
                  <c:pt idx="296">
                    <c:v>2:40</c:v>
                  </c:pt>
                  <c:pt idx="297">
                    <c:v>16:30</c:v>
                  </c:pt>
                  <c:pt idx="298">
                    <c:v>20:15</c:v>
                  </c:pt>
                  <c:pt idx="299">
                    <c:v>1:20</c:v>
                  </c:pt>
                  <c:pt idx="300">
                    <c:v>4:50</c:v>
                  </c:pt>
                  <c:pt idx="301">
                    <c:v>16:50</c:v>
                  </c:pt>
                  <c:pt idx="302">
                    <c:v>20:10</c:v>
                  </c:pt>
                  <c:pt idx="303">
                    <c:v>1:25</c:v>
                  </c:pt>
                  <c:pt idx="304">
                    <c:v>4:50</c:v>
                  </c:pt>
                  <c:pt idx="305">
                    <c:v>12:45</c:v>
                  </c:pt>
                  <c:pt idx="306">
                    <c:v>16:03</c:v>
                  </c:pt>
                  <c:pt idx="307">
                    <c:v>21:10</c:v>
                  </c:pt>
                  <c:pt idx="308">
                    <c:v>0:45</c:v>
                  </c:pt>
                  <c:pt idx="309">
                    <c:v>4:50</c:v>
                  </c:pt>
                  <c:pt idx="310">
                    <c:v>23:35</c:v>
                  </c:pt>
                  <c:pt idx="311">
                    <c:v>15:10</c:v>
                  </c:pt>
                  <c:pt idx="312">
                    <c:v>18:45</c:v>
                  </c:pt>
                  <c:pt idx="313">
                    <c:v>0:50</c:v>
                  </c:pt>
                  <c:pt idx="314">
                    <c:v>3:25</c:v>
                  </c:pt>
                  <c:pt idx="315">
                    <c:v>12:35</c:v>
                  </c:pt>
                  <c:pt idx="316">
                    <c:v>15:30</c:v>
                  </c:pt>
                  <c:pt idx="317">
                    <c:v>18:55</c:v>
                  </c:pt>
                  <c:pt idx="318">
                    <c:v>23:45</c:v>
                  </c:pt>
                  <c:pt idx="319">
                    <c:v>3:00</c:v>
                  </c:pt>
                  <c:pt idx="320">
                    <c:v>11:45</c:v>
                  </c:pt>
                  <c:pt idx="321">
                    <c:v>16:05</c:v>
                  </c:pt>
                  <c:pt idx="322">
                    <c:v>18:50</c:v>
                  </c:pt>
                  <c:pt idx="323">
                    <c:v>23:50</c:v>
                  </c:pt>
                  <c:pt idx="324">
                    <c:v>3:15</c:v>
                  </c:pt>
                  <c:pt idx="325">
                    <c:v>11:45</c:v>
                  </c:pt>
                  <c:pt idx="326">
                    <c:v>16:05</c:v>
                  </c:pt>
                  <c:pt idx="327">
                    <c:v>18:50</c:v>
                  </c:pt>
                  <c:pt idx="328">
                    <c:v>23:40</c:v>
                  </c:pt>
                  <c:pt idx="329">
                    <c:v>3:15</c:v>
                  </c:pt>
                  <c:pt idx="330">
                    <c:v>11:45</c:v>
                  </c:pt>
                  <c:pt idx="331">
                    <c:v>18:58</c:v>
                  </c:pt>
                  <c:pt idx="332">
                    <c:v>23:50</c:v>
                  </c:pt>
                  <c:pt idx="333">
                    <c:v>3:15</c:v>
                  </c:pt>
                  <c:pt idx="334">
                    <c:v>10:40</c:v>
                  </c:pt>
                  <c:pt idx="335">
                    <c:v>15:15</c:v>
                  </c:pt>
                  <c:pt idx="336">
                    <c:v>18:35</c:v>
                  </c:pt>
                  <c:pt idx="337">
                    <c:v>23:55</c:v>
                  </c:pt>
                  <c:pt idx="338">
                    <c:v>3:10</c:v>
                  </c:pt>
                  <c:pt idx="339">
                    <c:v>11:45</c:v>
                  </c:pt>
                  <c:pt idx="340">
                    <c:v>15:15</c:v>
                  </c:pt>
                  <c:pt idx="341">
                    <c:v>18:35</c:v>
                  </c:pt>
                  <c:pt idx="342">
                    <c:v>23:58</c:v>
                  </c:pt>
                  <c:pt idx="343">
                    <c:v>3:10</c:v>
                  </c:pt>
                  <c:pt idx="344">
                    <c:v>11:45</c:v>
                  </c:pt>
                  <c:pt idx="345">
                    <c:v>15:35</c:v>
                  </c:pt>
                  <c:pt idx="346">
                    <c:v>20:10</c:v>
                  </c:pt>
                  <c:pt idx="347">
                    <c:v>1:15</c:v>
                  </c:pt>
                  <c:pt idx="348">
                    <c:v>4:40</c:v>
                  </c:pt>
                  <c:pt idx="349">
                    <c:v>11:45</c:v>
                  </c:pt>
                  <c:pt idx="350">
                    <c:v>15:10</c:v>
                  </c:pt>
                  <c:pt idx="351">
                    <c:v>18:35</c:v>
                  </c:pt>
                  <c:pt idx="352">
                    <c:v>23:58</c:v>
                  </c:pt>
                  <c:pt idx="353">
                    <c:v>3:10</c:v>
                  </c:pt>
                  <c:pt idx="354">
                    <c:v>10:15</c:v>
                  </c:pt>
                  <c:pt idx="355">
                    <c:v>14:45</c:v>
                  </c:pt>
                  <c:pt idx="356">
                    <c:v>20:10</c:v>
                  </c:pt>
                  <c:pt idx="357">
                    <c:v>23:40</c:v>
                  </c:pt>
                  <c:pt idx="358">
                    <c:v>3:20</c:v>
                  </c:pt>
                  <c:pt idx="359">
                    <c:v>10:15</c:v>
                  </c:pt>
                  <c:pt idx="360">
                    <c:v>14:45</c:v>
                  </c:pt>
                  <c:pt idx="361">
                    <c:v>20:10</c:v>
                  </c:pt>
                  <c:pt idx="362">
                    <c:v>23:40</c:v>
                  </c:pt>
                  <c:pt idx="363">
                    <c:v>2:40</c:v>
                  </c:pt>
                  <c:pt idx="364">
                    <c:v>10:15</c:v>
                  </c:pt>
                  <c:pt idx="365">
                    <c:v>14:45</c:v>
                  </c:pt>
                  <c:pt idx="366">
                    <c:v>18:10</c:v>
                  </c:pt>
                  <c:pt idx="367">
                    <c:v>23:00</c:v>
                  </c:pt>
                  <c:pt idx="368">
                    <c:v>2:45</c:v>
                  </c:pt>
                  <c:pt idx="369">
                    <c:v>10:45</c:v>
                  </c:pt>
                  <c:pt idx="370">
                    <c:v>14:45</c:v>
                  </c:pt>
                  <c:pt idx="371">
                    <c:v>18:25</c:v>
                  </c:pt>
                  <c:pt idx="372">
                    <c:v>23:00</c:v>
                  </c:pt>
                  <c:pt idx="373">
                    <c:v>2:40</c:v>
                  </c:pt>
                  <c:pt idx="374">
                    <c:v>12:25</c:v>
                  </c:pt>
                  <c:pt idx="375">
                    <c:v>16:25</c:v>
                  </c:pt>
                  <c:pt idx="376">
                    <c:v>20:15</c:v>
                  </c:pt>
                  <c:pt idx="377">
                    <c:v>23:15</c:v>
                  </c:pt>
                  <c:pt idx="378">
                    <c:v>4:10</c:v>
                  </c:pt>
                  <c:pt idx="379">
                    <c:v>11:20</c:v>
                  </c:pt>
                  <c:pt idx="380">
                    <c:v>17:15</c:v>
                  </c:pt>
                  <c:pt idx="381">
                    <c:v>20:45</c:v>
                  </c:pt>
                  <c:pt idx="382">
                    <c:v>0:10</c:v>
                  </c:pt>
                  <c:pt idx="383">
                    <c:v>5:10</c:v>
                  </c:pt>
                  <c:pt idx="384">
                    <c:v>11:50</c:v>
                  </c:pt>
                  <c:pt idx="385">
                    <c:v>15:15</c:v>
                  </c:pt>
                  <c:pt idx="386">
                    <c:v>18:15</c:v>
                  </c:pt>
                  <c:pt idx="387">
                    <c:v>23:15</c:v>
                  </c:pt>
                  <c:pt idx="388">
                    <c:v>2:50</c:v>
                  </c:pt>
                  <c:pt idx="389">
                    <c:v>13:30</c:v>
                  </c:pt>
                  <c:pt idx="390">
                    <c:v>18:10</c:v>
                  </c:pt>
                  <c:pt idx="391">
                    <c:v>20:30</c:v>
                  </c:pt>
                  <c:pt idx="392">
                    <c:v>0:15</c:v>
                  </c:pt>
                  <c:pt idx="393">
                    <c:v>3:40</c:v>
                  </c:pt>
                  <c:pt idx="394">
                    <c:v>11:25</c:v>
                  </c:pt>
                  <c:pt idx="395">
                    <c:v>15:15</c:v>
                  </c:pt>
                  <c:pt idx="396">
                    <c:v>20:45</c:v>
                  </c:pt>
                  <c:pt idx="397">
                    <c:v>0:10</c:v>
                  </c:pt>
                  <c:pt idx="398">
                    <c:v>3:45</c:v>
                  </c:pt>
                  <c:pt idx="399">
                    <c:v>11:25</c:v>
                  </c:pt>
                  <c:pt idx="400">
                    <c:v>15:20</c:v>
                  </c:pt>
                  <c:pt idx="401">
                    <c:v>18:50</c:v>
                  </c:pt>
                  <c:pt idx="402">
                    <c:v>0:20</c:v>
                  </c:pt>
                  <c:pt idx="403">
                    <c:v>3:50</c:v>
                  </c:pt>
                  <c:pt idx="404">
                    <c:v>11:15</c:v>
                  </c:pt>
                  <c:pt idx="405">
                    <c:v>15:28</c:v>
                  </c:pt>
                  <c:pt idx="406">
                    <c:v>20:45</c:v>
                  </c:pt>
                  <c:pt idx="407">
                    <c:v>0:25</c:v>
                  </c:pt>
                  <c:pt idx="408">
                    <c:v>3:45</c:v>
                  </c:pt>
                  <c:pt idx="409">
                    <c:v>11:30</c:v>
                  </c:pt>
                  <c:pt idx="410">
                    <c:v>15:28</c:v>
                  </c:pt>
                  <c:pt idx="411">
                    <c:v>20:40</c:v>
                  </c:pt>
                  <c:pt idx="412">
                    <c:v>0:15</c:v>
                  </c:pt>
                  <c:pt idx="413">
                    <c:v>3:45</c:v>
                  </c:pt>
                  <c:pt idx="414">
                    <c:v>11:20</c:v>
                  </c:pt>
                  <c:pt idx="415">
                    <c:v>15:10</c:v>
                  </c:pt>
                  <c:pt idx="416">
                    <c:v>19:35</c:v>
                  </c:pt>
                  <c:pt idx="417">
                    <c:v>0:15</c:v>
                  </c:pt>
                  <c:pt idx="418">
                    <c:v>3:40</c:v>
                  </c:pt>
                  <c:pt idx="419">
                    <c:v>11:15</c:v>
                  </c:pt>
                  <c:pt idx="420">
                    <c:v>15:40</c:v>
                  </c:pt>
                  <c:pt idx="421">
                    <c:v>19:15</c:v>
                  </c:pt>
                  <c:pt idx="422">
                    <c:v>23:45</c:v>
                  </c:pt>
                  <c:pt idx="423">
                    <c:v>3:15</c:v>
                  </c:pt>
                  <c:pt idx="424">
                    <c:v>11:15</c:v>
                  </c:pt>
                  <c:pt idx="425">
                    <c:v>15:42</c:v>
                  </c:pt>
                  <c:pt idx="426">
                    <c:v>21:30</c:v>
                  </c:pt>
                  <c:pt idx="427">
                    <c:v>0:50</c:v>
                  </c:pt>
                  <c:pt idx="428">
                    <c:v>4:15</c:v>
                  </c:pt>
                  <c:pt idx="429">
                    <c:v>11:15</c:v>
                  </c:pt>
                  <c:pt idx="430">
                    <c:v>15:35</c:v>
                  </c:pt>
                  <c:pt idx="431">
                    <c:v>21:47</c:v>
                  </c:pt>
                  <c:pt idx="432">
                    <c:v>2:15</c:v>
                  </c:pt>
                  <c:pt idx="433">
                    <c:v>11:20</c:v>
                  </c:pt>
                  <c:pt idx="434">
                    <c:v>15:45</c:v>
                  </c:pt>
                  <c:pt idx="435">
                    <c:v>21:25</c:v>
                  </c:pt>
                  <c:pt idx="436">
                    <c:v>0:45</c:v>
                  </c:pt>
                  <c:pt idx="437">
                    <c:v>4:15</c:v>
                  </c:pt>
                  <c:pt idx="438">
                    <c:v>11:45</c:v>
                  </c:pt>
                  <c:pt idx="439">
                    <c:v>15:45</c:v>
                  </c:pt>
                  <c:pt idx="440">
                    <c:v>21:10</c:v>
                  </c:pt>
                  <c:pt idx="441">
                    <c:v>0:50</c:v>
                  </c:pt>
                  <c:pt idx="442">
                    <c:v>4:10</c:v>
                  </c:pt>
                  <c:pt idx="443">
                    <c:v>11:40</c:v>
                  </c:pt>
                  <c:pt idx="444">
                    <c:v>16:10</c:v>
                  </c:pt>
                  <c:pt idx="445">
                    <c:v>21:15</c:v>
                  </c:pt>
                  <c:pt idx="446">
                    <c:v>0:50</c:v>
                  </c:pt>
                  <c:pt idx="447">
                    <c:v>4:20</c:v>
                  </c:pt>
                  <c:pt idx="448">
                    <c:v>10:15</c:v>
                  </c:pt>
                  <c:pt idx="449">
                    <c:v>14:45</c:v>
                  </c:pt>
                  <c:pt idx="450">
                    <c:v>18:15</c:v>
                  </c:pt>
                  <c:pt idx="451">
                    <c:v>23:10</c:v>
                  </c:pt>
                  <c:pt idx="452">
                    <c:v>2:50</c:v>
                  </c:pt>
                  <c:pt idx="453">
                    <c:v>10:45</c:v>
                  </c:pt>
                  <c:pt idx="454">
                    <c:v>14:45</c:v>
                  </c:pt>
                  <c:pt idx="455">
                    <c:v>18:15</c:v>
                  </c:pt>
                  <c:pt idx="456">
                    <c:v>0:50</c:v>
                  </c:pt>
                  <c:pt idx="457">
                    <c:v>2:45</c:v>
                  </c:pt>
                  <c:pt idx="458">
                    <c:v>10:35</c:v>
                  </c:pt>
                  <c:pt idx="459">
                    <c:v>14:45</c:v>
                  </c:pt>
                  <c:pt idx="460">
                    <c:v>18:15</c:v>
                  </c:pt>
                  <c:pt idx="461">
                    <c:v>23:00</c:v>
                  </c:pt>
                  <c:pt idx="462">
                    <c:v>2:40</c:v>
                  </c:pt>
                  <c:pt idx="463">
                    <c:v>11:00</c:v>
                  </c:pt>
                  <c:pt idx="464">
                    <c:v>14:45</c:v>
                  </c:pt>
                  <c:pt idx="465">
                    <c:v>18:15</c:v>
                  </c:pt>
                  <c:pt idx="466">
                    <c:v>23:15</c:v>
                  </c:pt>
                  <c:pt idx="467">
                    <c:v>2:45</c:v>
                  </c:pt>
                  <c:pt idx="468">
                    <c:v>11:20</c:v>
                  </c:pt>
                  <c:pt idx="469">
                    <c:v>14:35</c:v>
                  </c:pt>
                  <c:pt idx="470">
                    <c:v>18:15</c:v>
                  </c:pt>
                  <c:pt idx="471">
                    <c:v>23:15</c:v>
                  </c:pt>
                  <c:pt idx="472">
                    <c:v>2:45</c:v>
                  </c:pt>
                  <c:pt idx="473">
                    <c:v>12:35</c:v>
                  </c:pt>
                  <c:pt idx="474">
                    <c:v>15:35</c:v>
                  </c:pt>
                  <c:pt idx="475">
                    <c:v>18:40</c:v>
                  </c:pt>
                  <c:pt idx="476">
                    <c:v>23:10</c:v>
                  </c:pt>
                  <c:pt idx="477">
                    <c:v>2:45</c:v>
                  </c:pt>
                  <c:pt idx="478">
                    <c:v>14:45</c:v>
                  </c:pt>
                  <c:pt idx="479">
                    <c:v>18:30</c:v>
                  </c:pt>
                  <c:pt idx="480">
                    <c:v>21:45</c:v>
                  </c:pt>
                  <c:pt idx="481">
                    <c:v>1:15</c:v>
                  </c:pt>
                  <c:pt idx="482">
                    <c:v>4:55</c:v>
                  </c:pt>
                  <c:pt idx="483">
                    <c:v>14:30</c:v>
                  </c:pt>
                  <c:pt idx="484">
                    <c:v>17:00</c:v>
                  </c:pt>
                  <c:pt idx="485">
                    <c:v>20:45</c:v>
                  </c:pt>
                  <c:pt idx="486">
                    <c:v>23:30</c:v>
                  </c:pt>
                  <c:pt idx="487">
                    <c:v>3:15</c:v>
                  </c:pt>
                  <c:pt idx="488">
                    <c:v>12:45</c:v>
                  </c:pt>
                  <c:pt idx="489">
                    <c:v>16:45</c:v>
                  </c:pt>
                  <c:pt idx="490">
                    <c:v>22:45</c:v>
                  </c:pt>
                  <c:pt idx="491">
                    <c:v>2:10</c:v>
                  </c:pt>
                  <c:pt idx="492">
                    <c:v>5:45</c:v>
                  </c:pt>
                  <c:pt idx="493">
                    <c:v>13:40</c:v>
                  </c:pt>
                  <c:pt idx="494">
                    <c:v>17:20</c:v>
                  </c:pt>
                  <c:pt idx="495">
                    <c:v>21:50</c:v>
                  </c:pt>
                  <c:pt idx="496">
                    <c:v>1:10</c:v>
                  </c:pt>
                </c:lvl>
                <c:lvl>
                  <c:pt idx="0">
                    <c:v>30-Dec-15</c:v>
                  </c:pt>
                  <c:pt idx="1">
                    <c:v>30-Dec-15</c:v>
                  </c:pt>
                  <c:pt idx="2">
                    <c:v>30-Dec-15</c:v>
                  </c:pt>
                  <c:pt idx="3">
                    <c:v>30-Dec-15</c:v>
                  </c:pt>
                  <c:pt idx="4">
                    <c:v>30-Dec-15</c:v>
                  </c:pt>
                  <c:pt idx="5">
                    <c:v>31-Dec-15</c:v>
                  </c:pt>
                  <c:pt idx="6">
                    <c:v>31-Dec-15</c:v>
                  </c:pt>
                  <c:pt idx="7">
                    <c:v>31-Dec-15</c:v>
                  </c:pt>
                  <c:pt idx="8">
                    <c:v>31-Dec-15</c:v>
                  </c:pt>
                  <c:pt idx="9">
                    <c:v>31-Dec-15</c:v>
                  </c:pt>
                  <c:pt idx="10">
                    <c:v>31-Dec-15</c:v>
                  </c:pt>
                  <c:pt idx="11">
                    <c:v>1-Jan-16</c:v>
                  </c:pt>
                  <c:pt idx="12">
                    <c:v>1-Jan-16</c:v>
                  </c:pt>
                  <c:pt idx="13">
                    <c:v>1-Jan-16</c:v>
                  </c:pt>
                  <c:pt idx="14">
                    <c:v>1-Jan-16</c:v>
                  </c:pt>
                  <c:pt idx="15">
                    <c:v>1-Jan-16</c:v>
                  </c:pt>
                  <c:pt idx="16">
                    <c:v>1-Jan-16</c:v>
                  </c:pt>
                  <c:pt idx="17">
                    <c:v>1-Jan-16</c:v>
                  </c:pt>
                  <c:pt idx="18">
                    <c:v>2-Jan-16</c:v>
                  </c:pt>
                  <c:pt idx="19">
                    <c:v>2-Jan-16</c:v>
                  </c:pt>
                  <c:pt idx="20">
                    <c:v>2-Jan-16</c:v>
                  </c:pt>
                  <c:pt idx="21">
                    <c:v>2-Jan-16</c:v>
                  </c:pt>
                  <c:pt idx="22">
                    <c:v>2-Jan-16</c:v>
                  </c:pt>
                  <c:pt idx="23">
                    <c:v>3-Jan-16</c:v>
                  </c:pt>
                  <c:pt idx="24">
                    <c:v>3-Jan-16</c:v>
                  </c:pt>
                  <c:pt idx="25">
                    <c:v>3-Jan-16</c:v>
                  </c:pt>
                  <c:pt idx="26">
                    <c:v>3-Jan-16</c:v>
                  </c:pt>
                  <c:pt idx="27">
                    <c:v>3-Jan-16</c:v>
                  </c:pt>
                  <c:pt idx="28">
                    <c:v>4-Jan-16</c:v>
                  </c:pt>
                  <c:pt idx="29">
                    <c:v>4-Jan-16</c:v>
                  </c:pt>
                  <c:pt idx="30">
                    <c:v>4-Jan-16</c:v>
                  </c:pt>
                  <c:pt idx="31">
                    <c:v>4-Jan-16</c:v>
                  </c:pt>
                  <c:pt idx="32">
                    <c:v>4-Jan-16</c:v>
                  </c:pt>
                  <c:pt idx="33">
                    <c:v>4-Jan-16</c:v>
                  </c:pt>
                  <c:pt idx="34">
                    <c:v>5-Jan-16</c:v>
                  </c:pt>
                  <c:pt idx="35">
                    <c:v>5-Jan-16</c:v>
                  </c:pt>
                  <c:pt idx="36">
                    <c:v>5-Jan-16</c:v>
                  </c:pt>
                  <c:pt idx="37">
                    <c:v>5-Jan-16</c:v>
                  </c:pt>
                  <c:pt idx="38">
                    <c:v>5-Jan-16</c:v>
                  </c:pt>
                  <c:pt idx="39">
                    <c:v>6-Jan-16</c:v>
                  </c:pt>
                  <c:pt idx="40">
                    <c:v>6-Jan-16</c:v>
                  </c:pt>
                  <c:pt idx="41">
                    <c:v>6-Jan-16</c:v>
                  </c:pt>
                  <c:pt idx="42">
                    <c:v>6-Jan-16</c:v>
                  </c:pt>
                  <c:pt idx="43">
                    <c:v>6-Jan-16</c:v>
                  </c:pt>
                  <c:pt idx="44">
                    <c:v>6-Jan-16</c:v>
                  </c:pt>
                  <c:pt idx="45">
                    <c:v>7-Jan-16</c:v>
                  </c:pt>
                  <c:pt idx="46">
                    <c:v>7-Jan-16</c:v>
                  </c:pt>
                  <c:pt idx="47">
                    <c:v>7-Jan-16</c:v>
                  </c:pt>
                  <c:pt idx="48">
                    <c:v>7-Jan-16</c:v>
                  </c:pt>
                  <c:pt idx="49">
                    <c:v>8-Jan-16</c:v>
                  </c:pt>
                  <c:pt idx="50">
                    <c:v>8-Jan-16</c:v>
                  </c:pt>
                  <c:pt idx="51">
                    <c:v>8-Jan-16</c:v>
                  </c:pt>
                  <c:pt idx="52">
                    <c:v>8-Jan-16</c:v>
                  </c:pt>
                  <c:pt idx="53">
                    <c:v>9-Jan-16</c:v>
                  </c:pt>
                  <c:pt idx="54">
                    <c:v>9-Jan-16</c:v>
                  </c:pt>
                  <c:pt idx="55">
                    <c:v>9-Jan-16</c:v>
                  </c:pt>
                  <c:pt idx="56">
                    <c:v>10-Jan-16</c:v>
                  </c:pt>
                  <c:pt idx="57">
                    <c:v>10-Jan-16</c:v>
                  </c:pt>
                  <c:pt idx="58">
                    <c:v>10-Jan-16</c:v>
                  </c:pt>
                  <c:pt idx="59">
                    <c:v>11-Jan-16</c:v>
                  </c:pt>
                  <c:pt idx="60">
                    <c:v>11-Jan-16</c:v>
                  </c:pt>
                  <c:pt idx="61">
                    <c:v>11-Jan-16</c:v>
                  </c:pt>
                  <c:pt idx="62">
                    <c:v>11-Jan-16</c:v>
                  </c:pt>
                  <c:pt idx="63">
                    <c:v>12-Jan-16</c:v>
                  </c:pt>
                  <c:pt idx="64">
                    <c:v>13-Jan-16</c:v>
                  </c:pt>
                  <c:pt idx="65">
                    <c:v>14-Jan-16</c:v>
                  </c:pt>
                  <c:pt idx="66">
                    <c:v>15-Jan-16</c:v>
                  </c:pt>
                  <c:pt idx="67">
                    <c:v>16-Jan-16</c:v>
                  </c:pt>
                  <c:pt idx="68">
                    <c:v>16-Jan-16</c:v>
                  </c:pt>
                  <c:pt idx="69">
                    <c:v>17-Jan-16</c:v>
                  </c:pt>
                  <c:pt idx="70">
                    <c:v>17-Jan-16</c:v>
                  </c:pt>
                  <c:pt idx="71">
                    <c:v>17-Jan-16</c:v>
                  </c:pt>
                  <c:pt idx="72">
                    <c:v>18-Jan-16</c:v>
                  </c:pt>
                  <c:pt idx="73">
                    <c:v>18-Jan-16</c:v>
                  </c:pt>
                  <c:pt idx="74">
                    <c:v>18-Jan-16</c:v>
                  </c:pt>
                  <c:pt idx="75">
                    <c:v>18-Jan-16</c:v>
                  </c:pt>
                  <c:pt idx="76">
                    <c:v>18-Jan-16</c:v>
                  </c:pt>
                  <c:pt idx="77">
                    <c:v>18-Jan-16</c:v>
                  </c:pt>
                  <c:pt idx="78">
                    <c:v>19-Jan-16</c:v>
                  </c:pt>
                  <c:pt idx="79">
                    <c:v>19-Jan-16</c:v>
                  </c:pt>
                  <c:pt idx="80">
                    <c:v>19-Jan-16</c:v>
                  </c:pt>
                  <c:pt idx="81">
                    <c:v>19-Jan-16</c:v>
                  </c:pt>
                  <c:pt idx="82">
                    <c:v>19-Jan-16</c:v>
                  </c:pt>
                  <c:pt idx="83">
                    <c:v>20-Jan-16</c:v>
                  </c:pt>
                  <c:pt idx="84">
                    <c:v>20-Jan-16</c:v>
                  </c:pt>
                  <c:pt idx="85">
                    <c:v>20-Jan-16</c:v>
                  </c:pt>
                  <c:pt idx="86">
                    <c:v>20-Jan-16</c:v>
                  </c:pt>
                  <c:pt idx="87">
                    <c:v>20-Jan-16</c:v>
                  </c:pt>
                  <c:pt idx="88">
                    <c:v>21-Jan-16</c:v>
                  </c:pt>
                  <c:pt idx="89">
                    <c:v>21-Jan-16</c:v>
                  </c:pt>
                  <c:pt idx="90">
                    <c:v>21-Jan-16</c:v>
                  </c:pt>
                  <c:pt idx="91">
                    <c:v>21-Jan-16</c:v>
                  </c:pt>
                  <c:pt idx="92">
                    <c:v>21-Jan-16</c:v>
                  </c:pt>
                  <c:pt idx="93">
                    <c:v>22-Jan-16</c:v>
                  </c:pt>
                  <c:pt idx="94">
                    <c:v>22-Jan-16</c:v>
                  </c:pt>
                  <c:pt idx="95">
                    <c:v>22-Jan-16</c:v>
                  </c:pt>
                  <c:pt idx="96">
                    <c:v>23-Jan-16</c:v>
                  </c:pt>
                  <c:pt idx="97">
                    <c:v>23-Jan-16</c:v>
                  </c:pt>
                  <c:pt idx="98">
                    <c:v>23-Jan-16</c:v>
                  </c:pt>
                  <c:pt idx="99">
                    <c:v>24-Jan-16</c:v>
                  </c:pt>
                  <c:pt idx="100">
                    <c:v>24-Jan-16</c:v>
                  </c:pt>
                  <c:pt idx="101">
                    <c:v>24-Jan-16</c:v>
                  </c:pt>
                  <c:pt idx="102">
                    <c:v>25-Jan-16</c:v>
                  </c:pt>
                  <c:pt idx="103">
                    <c:v>25-Jan-16</c:v>
                  </c:pt>
                  <c:pt idx="104">
                    <c:v>25-Jan-16</c:v>
                  </c:pt>
                  <c:pt idx="105">
                    <c:v>25-Jan-16</c:v>
                  </c:pt>
                  <c:pt idx="106">
                    <c:v>26-Jan-16</c:v>
                  </c:pt>
                  <c:pt idx="107">
                    <c:v>26-Jan-16</c:v>
                  </c:pt>
                  <c:pt idx="108">
                    <c:v>26-Jan-16</c:v>
                  </c:pt>
                  <c:pt idx="109">
                    <c:v>26-Jan-16</c:v>
                  </c:pt>
                  <c:pt idx="110">
                    <c:v>26-Jan-16</c:v>
                  </c:pt>
                  <c:pt idx="111">
                    <c:v>27-Jan-16</c:v>
                  </c:pt>
                  <c:pt idx="112">
                    <c:v>27-Jan-16</c:v>
                  </c:pt>
                  <c:pt idx="113">
                    <c:v>27-Jan-16</c:v>
                  </c:pt>
                  <c:pt idx="114">
                    <c:v>27-Jan-16</c:v>
                  </c:pt>
                  <c:pt idx="115">
                    <c:v>28-Jan-16</c:v>
                  </c:pt>
                  <c:pt idx="116">
                    <c:v>28-Jan-16</c:v>
                  </c:pt>
                  <c:pt idx="117">
                    <c:v>28-Jan-16</c:v>
                  </c:pt>
                  <c:pt idx="118">
                    <c:v>29-Jan-16</c:v>
                  </c:pt>
                  <c:pt idx="119">
                    <c:v>29-Jan-16</c:v>
                  </c:pt>
                  <c:pt idx="120">
                    <c:v>29-Jan-16</c:v>
                  </c:pt>
                  <c:pt idx="121">
                    <c:v>29-Jan-16</c:v>
                  </c:pt>
                  <c:pt idx="122">
                    <c:v>29-Jan-16</c:v>
                  </c:pt>
                  <c:pt idx="123">
                    <c:v>30-Jan-16</c:v>
                  </c:pt>
                  <c:pt idx="124">
                    <c:v>30-Jan-16</c:v>
                  </c:pt>
                  <c:pt idx="125">
                    <c:v>30-Jan-16</c:v>
                  </c:pt>
                  <c:pt idx="126">
                    <c:v>30-Jan-16</c:v>
                  </c:pt>
                  <c:pt idx="127">
                    <c:v>31-Jan-16</c:v>
                  </c:pt>
                  <c:pt idx="128">
                    <c:v>31-Jan-16</c:v>
                  </c:pt>
                  <c:pt idx="129">
                    <c:v>1-Feb-16</c:v>
                  </c:pt>
                  <c:pt idx="130">
                    <c:v>1-Feb-16</c:v>
                  </c:pt>
                  <c:pt idx="131">
                    <c:v>1-Feb-16</c:v>
                  </c:pt>
                  <c:pt idx="132">
                    <c:v>1-Feb-16</c:v>
                  </c:pt>
                  <c:pt idx="133">
                    <c:v>2-Feb-16</c:v>
                  </c:pt>
                  <c:pt idx="134">
                    <c:v>2-Feb-16</c:v>
                  </c:pt>
                  <c:pt idx="135">
                    <c:v>2-Feb-16</c:v>
                  </c:pt>
                  <c:pt idx="136">
                    <c:v>2-Feb-16</c:v>
                  </c:pt>
                  <c:pt idx="137">
                    <c:v>2-Feb-16</c:v>
                  </c:pt>
                  <c:pt idx="138">
                    <c:v>3-Feb-16</c:v>
                  </c:pt>
                  <c:pt idx="139">
                    <c:v>3-Feb-16</c:v>
                  </c:pt>
                  <c:pt idx="140">
                    <c:v>3-Feb-16</c:v>
                  </c:pt>
                  <c:pt idx="141">
                    <c:v>3-Feb-16</c:v>
                  </c:pt>
                  <c:pt idx="142">
                    <c:v>4-Feb-16</c:v>
                  </c:pt>
                  <c:pt idx="143">
                    <c:v>4-Feb-16</c:v>
                  </c:pt>
                  <c:pt idx="144">
                    <c:v>4-Feb-16</c:v>
                  </c:pt>
                  <c:pt idx="145">
                    <c:v>5-Feb-16</c:v>
                  </c:pt>
                  <c:pt idx="146">
                    <c:v>5-Feb-16</c:v>
                  </c:pt>
                  <c:pt idx="147">
                    <c:v>6-Feb-16</c:v>
                  </c:pt>
                  <c:pt idx="148">
                    <c:v>6-Feb-16</c:v>
                  </c:pt>
                  <c:pt idx="149">
                    <c:v>6-Feb-16</c:v>
                  </c:pt>
                  <c:pt idx="150">
                    <c:v>7-Feb-16</c:v>
                  </c:pt>
                  <c:pt idx="151">
                    <c:v>7-Feb-16</c:v>
                  </c:pt>
                  <c:pt idx="152">
                    <c:v>7-Feb-16</c:v>
                  </c:pt>
                  <c:pt idx="153">
                    <c:v>7-Feb-16</c:v>
                  </c:pt>
                  <c:pt idx="154">
                    <c:v>8-Feb-16</c:v>
                  </c:pt>
                  <c:pt idx="155">
                    <c:v>8-Feb-16</c:v>
                  </c:pt>
                  <c:pt idx="156">
                    <c:v>8-Feb-16</c:v>
                  </c:pt>
                  <c:pt idx="157">
                    <c:v>8-Feb-16</c:v>
                  </c:pt>
                  <c:pt idx="158">
                    <c:v>8-Feb-16</c:v>
                  </c:pt>
                  <c:pt idx="159">
                    <c:v>9-Feb-16</c:v>
                  </c:pt>
                  <c:pt idx="160">
                    <c:v>9-Feb-16</c:v>
                  </c:pt>
                  <c:pt idx="161">
                    <c:v>9-Feb-16</c:v>
                  </c:pt>
                  <c:pt idx="162">
                    <c:v>9-Feb-16</c:v>
                  </c:pt>
                  <c:pt idx="163">
                    <c:v>10-Feb-16</c:v>
                  </c:pt>
                  <c:pt idx="164">
                    <c:v>10-Feb-16</c:v>
                  </c:pt>
                  <c:pt idx="165">
                    <c:v>10-Feb-16</c:v>
                  </c:pt>
                  <c:pt idx="166">
                    <c:v>10-Feb-16</c:v>
                  </c:pt>
                  <c:pt idx="167">
                    <c:v>10-Feb-16</c:v>
                  </c:pt>
                  <c:pt idx="168">
                    <c:v>11-Feb-16</c:v>
                  </c:pt>
                  <c:pt idx="169">
                    <c:v>11-Feb-16</c:v>
                  </c:pt>
                  <c:pt idx="170">
                    <c:v>11-Feb-16</c:v>
                  </c:pt>
                  <c:pt idx="171">
                    <c:v>11-Feb-16</c:v>
                  </c:pt>
                  <c:pt idx="172">
                    <c:v>11-Feb-16</c:v>
                  </c:pt>
                  <c:pt idx="173">
                    <c:v>12-Feb-16</c:v>
                  </c:pt>
                  <c:pt idx="174">
                    <c:v>12-Feb-16</c:v>
                  </c:pt>
                  <c:pt idx="175">
                    <c:v>12-Feb-16</c:v>
                  </c:pt>
                  <c:pt idx="176">
                    <c:v>12-Feb-16</c:v>
                  </c:pt>
                  <c:pt idx="177">
                    <c:v>12-Feb-16</c:v>
                  </c:pt>
                  <c:pt idx="178">
                    <c:v>13-Feb-16</c:v>
                  </c:pt>
                  <c:pt idx="179">
                    <c:v>13-Feb-16</c:v>
                  </c:pt>
                  <c:pt idx="180">
                    <c:v>13-Feb-16</c:v>
                  </c:pt>
                  <c:pt idx="181">
                    <c:v>13-Feb-16</c:v>
                  </c:pt>
                  <c:pt idx="182">
                    <c:v>14-Feb-16</c:v>
                  </c:pt>
                  <c:pt idx="183">
                    <c:v>14-Feb-16</c:v>
                  </c:pt>
                  <c:pt idx="184">
                    <c:v>14-Feb-16</c:v>
                  </c:pt>
                  <c:pt idx="185">
                    <c:v>14-Feb-16</c:v>
                  </c:pt>
                  <c:pt idx="186">
                    <c:v>14-Feb-16</c:v>
                  </c:pt>
                  <c:pt idx="187">
                    <c:v>15-Feb-16</c:v>
                  </c:pt>
                  <c:pt idx="188">
                    <c:v>15-Feb-16</c:v>
                  </c:pt>
                  <c:pt idx="189">
                    <c:v>15-Feb-16</c:v>
                  </c:pt>
                  <c:pt idx="190">
                    <c:v>15-Feb-16</c:v>
                  </c:pt>
                  <c:pt idx="191">
                    <c:v>15-Feb-16</c:v>
                  </c:pt>
                  <c:pt idx="192">
                    <c:v>16-Feb-16</c:v>
                  </c:pt>
                  <c:pt idx="193">
                    <c:v>16-Feb-16</c:v>
                  </c:pt>
                  <c:pt idx="194">
                    <c:v>16-Feb-16</c:v>
                  </c:pt>
                  <c:pt idx="195">
                    <c:v>16-Feb-16</c:v>
                  </c:pt>
                  <c:pt idx="196">
                    <c:v>16-Feb-16</c:v>
                  </c:pt>
                  <c:pt idx="197">
                    <c:v>17-Feb-16</c:v>
                  </c:pt>
                  <c:pt idx="198">
                    <c:v>17-Feb-16</c:v>
                  </c:pt>
                  <c:pt idx="199">
                    <c:v>17-Feb-16</c:v>
                  </c:pt>
                  <c:pt idx="200">
                    <c:v>17-Feb-16</c:v>
                  </c:pt>
                  <c:pt idx="201">
                    <c:v>17-Feb-16</c:v>
                  </c:pt>
                  <c:pt idx="202">
                    <c:v>18-Feb-16</c:v>
                  </c:pt>
                  <c:pt idx="203">
                    <c:v>18-Feb-16</c:v>
                  </c:pt>
                  <c:pt idx="204">
                    <c:v>18-Feb-16</c:v>
                  </c:pt>
                  <c:pt idx="205">
                    <c:v>18-Feb-16</c:v>
                  </c:pt>
                  <c:pt idx="206">
                    <c:v>18-Feb-16</c:v>
                  </c:pt>
                  <c:pt idx="207">
                    <c:v>19-Feb-16</c:v>
                  </c:pt>
                  <c:pt idx="208">
                    <c:v>19-Feb-16</c:v>
                  </c:pt>
                  <c:pt idx="209">
                    <c:v>19-Feb-16</c:v>
                  </c:pt>
                  <c:pt idx="210">
                    <c:v>19-Feb-16</c:v>
                  </c:pt>
                  <c:pt idx="211">
                    <c:v>20-Feb-16</c:v>
                  </c:pt>
                  <c:pt idx="212">
                    <c:v>20-Feb-16</c:v>
                  </c:pt>
                  <c:pt idx="213">
                    <c:v>20-Feb-16</c:v>
                  </c:pt>
                  <c:pt idx="214">
                    <c:v>20-Feb-16</c:v>
                  </c:pt>
                  <c:pt idx="215">
                    <c:v>21-Feb-16</c:v>
                  </c:pt>
                  <c:pt idx="216">
                    <c:v>21-Feb-16</c:v>
                  </c:pt>
                  <c:pt idx="217">
                    <c:v>21-Feb-16</c:v>
                  </c:pt>
                  <c:pt idx="218">
                    <c:v>21-Feb-16</c:v>
                  </c:pt>
                  <c:pt idx="219">
                    <c:v>22-Feb-16</c:v>
                  </c:pt>
                  <c:pt idx="220">
                    <c:v>22-Feb-16</c:v>
                  </c:pt>
                  <c:pt idx="221">
                    <c:v>23-Feb-16</c:v>
                  </c:pt>
                  <c:pt idx="222">
                    <c:v>23-Feb-16</c:v>
                  </c:pt>
                  <c:pt idx="223">
                    <c:v>23-Feb-16</c:v>
                  </c:pt>
                  <c:pt idx="224">
                    <c:v>23-Feb-16</c:v>
                  </c:pt>
                  <c:pt idx="225">
                    <c:v>24-Feb-16</c:v>
                  </c:pt>
                  <c:pt idx="226">
                    <c:v>24-Feb-16</c:v>
                  </c:pt>
                  <c:pt idx="227">
                    <c:v>24-Feb-16</c:v>
                  </c:pt>
                  <c:pt idx="228">
                    <c:v>24-Feb-16</c:v>
                  </c:pt>
                  <c:pt idx="229">
                    <c:v>24-Feb-16</c:v>
                  </c:pt>
                  <c:pt idx="230">
                    <c:v>24-Feb-16</c:v>
                  </c:pt>
                  <c:pt idx="231">
                    <c:v>25-Feb-16</c:v>
                  </c:pt>
                  <c:pt idx="232">
                    <c:v>25-Feb-16</c:v>
                  </c:pt>
                  <c:pt idx="233">
                    <c:v>25-Feb-16</c:v>
                  </c:pt>
                  <c:pt idx="234">
                    <c:v>25-Feb-16</c:v>
                  </c:pt>
                  <c:pt idx="235">
                    <c:v>25-Feb-16</c:v>
                  </c:pt>
                  <c:pt idx="236">
                    <c:v>26-Feb-16</c:v>
                  </c:pt>
                  <c:pt idx="237">
                    <c:v>26-Feb-16</c:v>
                  </c:pt>
                  <c:pt idx="238">
                    <c:v>26-Feb-16</c:v>
                  </c:pt>
                  <c:pt idx="239">
                    <c:v>26-Feb-16</c:v>
                  </c:pt>
                  <c:pt idx="240">
                    <c:v>26-Feb-16</c:v>
                  </c:pt>
                  <c:pt idx="241">
                    <c:v>27-Feb-16</c:v>
                  </c:pt>
                  <c:pt idx="242">
                    <c:v>27-Feb-16</c:v>
                  </c:pt>
                  <c:pt idx="243">
                    <c:v>27-Feb-16</c:v>
                  </c:pt>
                  <c:pt idx="244">
                    <c:v>27-Feb-16</c:v>
                  </c:pt>
                  <c:pt idx="245">
                    <c:v>27-Feb-16</c:v>
                  </c:pt>
                  <c:pt idx="246">
                    <c:v>28-Feb-16</c:v>
                  </c:pt>
                  <c:pt idx="247">
                    <c:v>28-Feb-16</c:v>
                  </c:pt>
                  <c:pt idx="248">
                    <c:v>28-Feb-16</c:v>
                  </c:pt>
                  <c:pt idx="249">
                    <c:v>28-Feb-16</c:v>
                  </c:pt>
                  <c:pt idx="250">
                    <c:v>28-Feb-16</c:v>
                  </c:pt>
                  <c:pt idx="251">
                    <c:v>29-Feb-16</c:v>
                  </c:pt>
                  <c:pt idx="252">
                    <c:v>29-Feb-16</c:v>
                  </c:pt>
                  <c:pt idx="253">
                    <c:v>29-Feb-16</c:v>
                  </c:pt>
                  <c:pt idx="254">
                    <c:v>29-Feb-16</c:v>
                  </c:pt>
                  <c:pt idx="255">
                    <c:v>29-Feb-16</c:v>
                  </c:pt>
                  <c:pt idx="256">
                    <c:v>1-Mar-16</c:v>
                  </c:pt>
                  <c:pt idx="257">
                    <c:v>1-Mar-16</c:v>
                  </c:pt>
                  <c:pt idx="258">
                    <c:v>1-Mar-16</c:v>
                  </c:pt>
                  <c:pt idx="259">
                    <c:v>1-Mar-16</c:v>
                  </c:pt>
                  <c:pt idx="260">
                    <c:v>1-Mar-16</c:v>
                  </c:pt>
                  <c:pt idx="261">
                    <c:v>2-Mar-16</c:v>
                  </c:pt>
                  <c:pt idx="262">
                    <c:v>2-Mar-16</c:v>
                  </c:pt>
                  <c:pt idx="263">
                    <c:v>2-Mar-16</c:v>
                  </c:pt>
                  <c:pt idx="264">
                    <c:v>3-Mar-16</c:v>
                  </c:pt>
                  <c:pt idx="265">
                    <c:v>3-Mar-16</c:v>
                  </c:pt>
                  <c:pt idx="266">
                    <c:v>4-Mar-16</c:v>
                  </c:pt>
                  <c:pt idx="267">
                    <c:v>4-Mar-16</c:v>
                  </c:pt>
                  <c:pt idx="268">
                    <c:v>4-Mar-16</c:v>
                  </c:pt>
                  <c:pt idx="269">
                    <c:v>4-Mar-16</c:v>
                  </c:pt>
                  <c:pt idx="270">
                    <c:v>5-Mar-16</c:v>
                  </c:pt>
                  <c:pt idx="271">
                    <c:v>5-Mar-16</c:v>
                  </c:pt>
                  <c:pt idx="272">
                    <c:v>5-Mar-16</c:v>
                  </c:pt>
                  <c:pt idx="273">
                    <c:v>5-Mar-16</c:v>
                  </c:pt>
                  <c:pt idx="274">
                    <c:v>6-Mar-16</c:v>
                  </c:pt>
                  <c:pt idx="275">
                    <c:v>6-Mar-16</c:v>
                  </c:pt>
                  <c:pt idx="276">
                    <c:v>6-Mar-16</c:v>
                  </c:pt>
                  <c:pt idx="277">
                    <c:v>6-Mar-16</c:v>
                  </c:pt>
                  <c:pt idx="278">
                    <c:v>6-Mar-16</c:v>
                  </c:pt>
                  <c:pt idx="279">
                    <c:v>7-Mar-16</c:v>
                  </c:pt>
                  <c:pt idx="280">
                    <c:v>7-Mar-16</c:v>
                  </c:pt>
                  <c:pt idx="281">
                    <c:v>7-Mar-16</c:v>
                  </c:pt>
                  <c:pt idx="282">
                    <c:v>7-Mar-16</c:v>
                  </c:pt>
                  <c:pt idx="283">
                    <c:v>8-Mar-16</c:v>
                  </c:pt>
                  <c:pt idx="284">
                    <c:v>8-Mar-16</c:v>
                  </c:pt>
                  <c:pt idx="285">
                    <c:v>8-Mar-16</c:v>
                  </c:pt>
                  <c:pt idx="286">
                    <c:v>8-Mar-16</c:v>
                  </c:pt>
                  <c:pt idx="287">
                    <c:v>9-Mar-16</c:v>
                  </c:pt>
                  <c:pt idx="288">
                    <c:v>9-Mar-16</c:v>
                  </c:pt>
                  <c:pt idx="289">
                    <c:v>9-Mar-16</c:v>
                  </c:pt>
                  <c:pt idx="290">
                    <c:v>9-Mar-16</c:v>
                  </c:pt>
                  <c:pt idx="291">
                    <c:v>10-Mar-16</c:v>
                  </c:pt>
                  <c:pt idx="292">
                    <c:v>10-Mar-16</c:v>
                  </c:pt>
                  <c:pt idx="293">
                    <c:v>10-Mar-16</c:v>
                  </c:pt>
                  <c:pt idx="294">
                    <c:v>10-Mar-16</c:v>
                  </c:pt>
                  <c:pt idx="295">
                    <c:v>10-Mar-16</c:v>
                  </c:pt>
                  <c:pt idx="296">
                    <c:v>11-Mar-16</c:v>
                  </c:pt>
                  <c:pt idx="297">
                    <c:v>11-Mar-16</c:v>
                  </c:pt>
                  <c:pt idx="298">
                    <c:v>11-Mar-16</c:v>
                  </c:pt>
                  <c:pt idx="299">
                    <c:v>12-Mar-16</c:v>
                  </c:pt>
                  <c:pt idx="300">
                    <c:v>12-Mar-16</c:v>
                  </c:pt>
                  <c:pt idx="301">
                    <c:v>12-Mar-16</c:v>
                  </c:pt>
                  <c:pt idx="302">
                    <c:v>12-Mar-16</c:v>
                  </c:pt>
                  <c:pt idx="303">
                    <c:v>13-Mar-16</c:v>
                  </c:pt>
                  <c:pt idx="304">
                    <c:v>13-Mar-16</c:v>
                  </c:pt>
                  <c:pt idx="305">
                    <c:v>13-Mar-16</c:v>
                  </c:pt>
                  <c:pt idx="306">
                    <c:v>13-Mar-16</c:v>
                  </c:pt>
                  <c:pt idx="307">
                    <c:v>13-Mar-16</c:v>
                  </c:pt>
                  <c:pt idx="308">
                    <c:v>14-Mar-16</c:v>
                  </c:pt>
                  <c:pt idx="309">
                    <c:v>14-Mar-16</c:v>
                  </c:pt>
                  <c:pt idx="310">
                    <c:v>14-Mar-16</c:v>
                  </c:pt>
                  <c:pt idx="311">
                    <c:v>14-Mar-16</c:v>
                  </c:pt>
                  <c:pt idx="312">
                    <c:v>14-Mar-16</c:v>
                  </c:pt>
                  <c:pt idx="313">
                    <c:v>15-Mar-16</c:v>
                  </c:pt>
                  <c:pt idx="314">
                    <c:v>15-Mar-16</c:v>
                  </c:pt>
                  <c:pt idx="315">
                    <c:v>15-Mar-16</c:v>
                  </c:pt>
                  <c:pt idx="316">
                    <c:v>15-Mar-16</c:v>
                  </c:pt>
                  <c:pt idx="317">
                    <c:v>15-Mar-16</c:v>
                  </c:pt>
                  <c:pt idx="318">
                    <c:v>15-Mar-16</c:v>
                  </c:pt>
                  <c:pt idx="319">
                    <c:v>16-Mar-16</c:v>
                  </c:pt>
                  <c:pt idx="320">
                    <c:v>16-Mar-16</c:v>
                  </c:pt>
                  <c:pt idx="321">
                    <c:v>16-Mar-16</c:v>
                  </c:pt>
                  <c:pt idx="322">
                    <c:v>16-Mar-16</c:v>
                  </c:pt>
                  <c:pt idx="323">
                    <c:v>16-Mar-16</c:v>
                  </c:pt>
                  <c:pt idx="324">
                    <c:v>17-Mar-16</c:v>
                  </c:pt>
                  <c:pt idx="325">
                    <c:v>17-Mar-16</c:v>
                  </c:pt>
                  <c:pt idx="326">
                    <c:v>17-Mar-16</c:v>
                  </c:pt>
                  <c:pt idx="327">
                    <c:v>17-Mar-16</c:v>
                  </c:pt>
                  <c:pt idx="328">
                    <c:v>17-Mar-16</c:v>
                  </c:pt>
                  <c:pt idx="329">
                    <c:v>18-Mar-16</c:v>
                  </c:pt>
                  <c:pt idx="330">
                    <c:v>18-Mar-16</c:v>
                  </c:pt>
                  <c:pt idx="331">
                    <c:v>18-Mar-16</c:v>
                  </c:pt>
                  <c:pt idx="332">
                    <c:v>18-Mar-16</c:v>
                  </c:pt>
                  <c:pt idx="333">
                    <c:v>19-Mar-16</c:v>
                  </c:pt>
                  <c:pt idx="334">
                    <c:v>19-Mar-16</c:v>
                  </c:pt>
                  <c:pt idx="335">
                    <c:v>19-Mar-16</c:v>
                  </c:pt>
                  <c:pt idx="336">
                    <c:v>19-Mar-16</c:v>
                  </c:pt>
                  <c:pt idx="337">
                    <c:v>19-Mar-16</c:v>
                  </c:pt>
                  <c:pt idx="338">
                    <c:v>20-Mar-16</c:v>
                  </c:pt>
                  <c:pt idx="339">
                    <c:v>20-Mar-16</c:v>
                  </c:pt>
                  <c:pt idx="340">
                    <c:v>20-Mar-16</c:v>
                  </c:pt>
                  <c:pt idx="341">
                    <c:v>20-Mar-16</c:v>
                  </c:pt>
                  <c:pt idx="342">
                    <c:v>20-Mar-16</c:v>
                  </c:pt>
                  <c:pt idx="343">
                    <c:v>21-Mar-16</c:v>
                  </c:pt>
                  <c:pt idx="344">
                    <c:v>21-Mar-16</c:v>
                  </c:pt>
                  <c:pt idx="345">
                    <c:v>21-Mar-16</c:v>
                  </c:pt>
                  <c:pt idx="346">
                    <c:v>21-Mar-16</c:v>
                  </c:pt>
                  <c:pt idx="347">
                    <c:v>22-Mar-16</c:v>
                  </c:pt>
                  <c:pt idx="348">
                    <c:v>22-Mar-16</c:v>
                  </c:pt>
                  <c:pt idx="349">
                    <c:v>22-Mar-16</c:v>
                  </c:pt>
                  <c:pt idx="350">
                    <c:v>22-Mar-16</c:v>
                  </c:pt>
                  <c:pt idx="351">
                    <c:v>22-Mar-16</c:v>
                  </c:pt>
                  <c:pt idx="352">
                    <c:v>22-Mar-16</c:v>
                  </c:pt>
                  <c:pt idx="353">
                    <c:v>23-Mar-16</c:v>
                  </c:pt>
                  <c:pt idx="354">
                    <c:v>23-Mar-16</c:v>
                  </c:pt>
                  <c:pt idx="355">
                    <c:v>23-Mar-16</c:v>
                  </c:pt>
                  <c:pt idx="356">
                    <c:v>23-Mar-16</c:v>
                  </c:pt>
                  <c:pt idx="357">
                    <c:v>23-Mar-16</c:v>
                  </c:pt>
                  <c:pt idx="358">
                    <c:v>24-Mar-16</c:v>
                  </c:pt>
                  <c:pt idx="359">
                    <c:v>24-Mar-16</c:v>
                  </c:pt>
                  <c:pt idx="360">
                    <c:v>24-Mar-16</c:v>
                  </c:pt>
                  <c:pt idx="361">
                    <c:v>24-Mar-16</c:v>
                  </c:pt>
                  <c:pt idx="362">
                    <c:v>24-Mar-16</c:v>
                  </c:pt>
                  <c:pt idx="363">
                    <c:v>25-Mar-16</c:v>
                  </c:pt>
                  <c:pt idx="364">
                    <c:v>25-Mar-16</c:v>
                  </c:pt>
                  <c:pt idx="365">
                    <c:v>25-Mar-16</c:v>
                  </c:pt>
                  <c:pt idx="366">
                    <c:v>25-Mar-16</c:v>
                  </c:pt>
                  <c:pt idx="367">
                    <c:v>25-Mar-16</c:v>
                  </c:pt>
                  <c:pt idx="368">
                    <c:v>26-Mar-16</c:v>
                  </c:pt>
                  <c:pt idx="369">
                    <c:v>26-Mar-16</c:v>
                  </c:pt>
                  <c:pt idx="370">
                    <c:v>26-Mar-16</c:v>
                  </c:pt>
                  <c:pt idx="371">
                    <c:v>26-Mar-16</c:v>
                  </c:pt>
                  <c:pt idx="372">
                    <c:v>26-Mar-16</c:v>
                  </c:pt>
                  <c:pt idx="373">
                    <c:v>27-Mar-16</c:v>
                  </c:pt>
                  <c:pt idx="374">
                    <c:v>27-Mar-16</c:v>
                  </c:pt>
                  <c:pt idx="375">
                    <c:v>27-Mar-16</c:v>
                  </c:pt>
                  <c:pt idx="376">
                    <c:v>27-Mar-16</c:v>
                  </c:pt>
                  <c:pt idx="377">
                    <c:v>27-Mar-16</c:v>
                  </c:pt>
                  <c:pt idx="378">
                    <c:v>28-Mar-16</c:v>
                  </c:pt>
                  <c:pt idx="379">
                    <c:v>28-Mar-16</c:v>
                  </c:pt>
                  <c:pt idx="380">
                    <c:v>28-Mar-16</c:v>
                  </c:pt>
                  <c:pt idx="381">
                    <c:v>28-Mar-16</c:v>
                  </c:pt>
                  <c:pt idx="382">
                    <c:v>29-Mar-16</c:v>
                  </c:pt>
                  <c:pt idx="383">
                    <c:v>29-Mar-16</c:v>
                  </c:pt>
                  <c:pt idx="384">
                    <c:v>29-Mar-16</c:v>
                  </c:pt>
                  <c:pt idx="385">
                    <c:v>29-Mar-16</c:v>
                  </c:pt>
                  <c:pt idx="386">
                    <c:v>29-Mar-16</c:v>
                  </c:pt>
                  <c:pt idx="387">
                    <c:v>29-Mar-16</c:v>
                  </c:pt>
                  <c:pt idx="388">
                    <c:v>30-Mar-16</c:v>
                  </c:pt>
                  <c:pt idx="389">
                    <c:v>30-Mar-16</c:v>
                  </c:pt>
                  <c:pt idx="390">
                    <c:v>30-Mar-16</c:v>
                  </c:pt>
                  <c:pt idx="391">
                    <c:v>30-Mar-16</c:v>
                  </c:pt>
                  <c:pt idx="392">
                    <c:v>31-Mar-16</c:v>
                  </c:pt>
                  <c:pt idx="393">
                    <c:v>31-Mar-16</c:v>
                  </c:pt>
                  <c:pt idx="394">
                    <c:v>31-Mar-16</c:v>
                  </c:pt>
                  <c:pt idx="395">
                    <c:v>31-Mar-16</c:v>
                  </c:pt>
                  <c:pt idx="396">
                    <c:v>31-Mar-16</c:v>
                  </c:pt>
                  <c:pt idx="397">
                    <c:v>1-Apr-16</c:v>
                  </c:pt>
                  <c:pt idx="398">
                    <c:v>1-Apr-16</c:v>
                  </c:pt>
                  <c:pt idx="399">
                    <c:v>1-Apr-16</c:v>
                  </c:pt>
                  <c:pt idx="400">
                    <c:v>1-Apr-16</c:v>
                  </c:pt>
                  <c:pt idx="401">
                    <c:v>1-Apr-16</c:v>
                  </c:pt>
                  <c:pt idx="402">
                    <c:v>2-Apr-16</c:v>
                  </c:pt>
                  <c:pt idx="403">
                    <c:v>2-Apr-16</c:v>
                  </c:pt>
                  <c:pt idx="404">
                    <c:v>2-Apr-16</c:v>
                  </c:pt>
                  <c:pt idx="405">
                    <c:v>2-Apr-16</c:v>
                  </c:pt>
                  <c:pt idx="406">
                    <c:v>2-Apr-16</c:v>
                  </c:pt>
                  <c:pt idx="407">
                    <c:v>3-Apr-16</c:v>
                  </c:pt>
                  <c:pt idx="408">
                    <c:v>3-Apr-16</c:v>
                  </c:pt>
                  <c:pt idx="409">
                    <c:v>3-Apr-16</c:v>
                  </c:pt>
                  <c:pt idx="410">
                    <c:v>3-Apr-16</c:v>
                  </c:pt>
                  <c:pt idx="411">
                    <c:v>3-Apr-16</c:v>
                  </c:pt>
                  <c:pt idx="412">
                    <c:v>4-Apr-16</c:v>
                  </c:pt>
                  <c:pt idx="413">
                    <c:v>4-Apr-16</c:v>
                  </c:pt>
                  <c:pt idx="414">
                    <c:v>4-Apr-16</c:v>
                  </c:pt>
                  <c:pt idx="415">
                    <c:v>4-Apr-16</c:v>
                  </c:pt>
                  <c:pt idx="416">
                    <c:v>4-Apr-16</c:v>
                  </c:pt>
                  <c:pt idx="417">
                    <c:v>5-Apr-16</c:v>
                  </c:pt>
                  <c:pt idx="418">
                    <c:v>5-Apr-16</c:v>
                  </c:pt>
                  <c:pt idx="419">
                    <c:v>5-Apr-16</c:v>
                  </c:pt>
                  <c:pt idx="420">
                    <c:v>5-Apr-16</c:v>
                  </c:pt>
                  <c:pt idx="421">
                    <c:v>5-Apr-16</c:v>
                  </c:pt>
                  <c:pt idx="422">
                    <c:v>5-Apr-16</c:v>
                  </c:pt>
                  <c:pt idx="423">
                    <c:v>6-Apr-16</c:v>
                  </c:pt>
                  <c:pt idx="424">
                    <c:v>6-Apr-16</c:v>
                  </c:pt>
                  <c:pt idx="425">
                    <c:v>6-Apr-16</c:v>
                  </c:pt>
                  <c:pt idx="426">
                    <c:v>6-Apr-16</c:v>
                  </c:pt>
                  <c:pt idx="427">
                    <c:v>7-Apr-16</c:v>
                  </c:pt>
                  <c:pt idx="428">
                    <c:v>7-Apr-16</c:v>
                  </c:pt>
                  <c:pt idx="429">
                    <c:v>7-Apr-16</c:v>
                  </c:pt>
                  <c:pt idx="430">
                    <c:v>7-Apr-16</c:v>
                  </c:pt>
                  <c:pt idx="431">
                    <c:v>7-Apr-16</c:v>
                  </c:pt>
                  <c:pt idx="432">
                    <c:v>8-Apr-16</c:v>
                  </c:pt>
                  <c:pt idx="433">
                    <c:v>8-Apr-16</c:v>
                  </c:pt>
                  <c:pt idx="434">
                    <c:v>8-Apr-16</c:v>
                  </c:pt>
                  <c:pt idx="435">
                    <c:v>8-Apr-16</c:v>
                  </c:pt>
                  <c:pt idx="436">
                    <c:v>9-Apr-16</c:v>
                  </c:pt>
                  <c:pt idx="437">
                    <c:v>9-Apr-16</c:v>
                  </c:pt>
                  <c:pt idx="438">
                    <c:v>9-Apr-16</c:v>
                  </c:pt>
                  <c:pt idx="439">
                    <c:v>9-Apr-16</c:v>
                  </c:pt>
                  <c:pt idx="440">
                    <c:v>9-Apr-16</c:v>
                  </c:pt>
                  <c:pt idx="441">
                    <c:v>10-Apr-16</c:v>
                  </c:pt>
                  <c:pt idx="442">
                    <c:v>10-Apr-16</c:v>
                  </c:pt>
                  <c:pt idx="443">
                    <c:v>10-Apr-16</c:v>
                  </c:pt>
                  <c:pt idx="444">
                    <c:v>10-Apr-16</c:v>
                  </c:pt>
                  <c:pt idx="445">
                    <c:v>10-Apr-16</c:v>
                  </c:pt>
                  <c:pt idx="446">
                    <c:v>11-Apr-16</c:v>
                  </c:pt>
                  <c:pt idx="447">
                    <c:v>11-Apr-16</c:v>
                  </c:pt>
                  <c:pt idx="448">
                    <c:v>11-Apr-16</c:v>
                  </c:pt>
                  <c:pt idx="449">
                    <c:v>11-Apr-16</c:v>
                  </c:pt>
                  <c:pt idx="450">
                    <c:v>11-Apr-16</c:v>
                  </c:pt>
                  <c:pt idx="451">
                    <c:v>11-Apr-16</c:v>
                  </c:pt>
                  <c:pt idx="452">
                    <c:v>12-Apr-16</c:v>
                  </c:pt>
                  <c:pt idx="453">
                    <c:v>12-Apr-16</c:v>
                  </c:pt>
                  <c:pt idx="454">
                    <c:v>12-Apr-16</c:v>
                  </c:pt>
                  <c:pt idx="455">
                    <c:v>12-Apr-16</c:v>
                  </c:pt>
                  <c:pt idx="456">
                    <c:v>13-Apr-16</c:v>
                  </c:pt>
                  <c:pt idx="457">
                    <c:v>13-Apr-16</c:v>
                  </c:pt>
                  <c:pt idx="458">
                    <c:v>13-Apr-16</c:v>
                  </c:pt>
                  <c:pt idx="459">
                    <c:v>13-Apr-16</c:v>
                  </c:pt>
                  <c:pt idx="460">
                    <c:v>13-Apr-16</c:v>
                  </c:pt>
                  <c:pt idx="461">
                    <c:v>13-Apr-16</c:v>
                  </c:pt>
                  <c:pt idx="462">
                    <c:v>14-Apr-16</c:v>
                  </c:pt>
                  <c:pt idx="463">
                    <c:v>14-Apr-16</c:v>
                  </c:pt>
                  <c:pt idx="464">
                    <c:v>14-Apr-16</c:v>
                  </c:pt>
                  <c:pt idx="465">
                    <c:v>14-Apr-16</c:v>
                  </c:pt>
                  <c:pt idx="466">
                    <c:v>14-Apr-16</c:v>
                  </c:pt>
                  <c:pt idx="467">
                    <c:v>15-Apr-16</c:v>
                  </c:pt>
                  <c:pt idx="468">
                    <c:v>15-Apr-16</c:v>
                  </c:pt>
                  <c:pt idx="469">
                    <c:v>15-Apr-16</c:v>
                  </c:pt>
                  <c:pt idx="470">
                    <c:v>15-Apr-16</c:v>
                  </c:pt>
                  <c:pt idx="471">
                    <c:v>15-Apr-16</c:v>
                  </c:pt>
                  <c:pt idx="472">
                    <c:v>16-Apr-16</c:v>
                  </c:pt>
                  <c:pt idx="473">
                    <c:v>16-Apr-16</c:v>
                  </c:pt>
                  <c:pt idx="474">
                    <c:v>16-Apr-16</c:v>
                  </c:pt>
                  <c:pt idx="475">
                    <c:v>16-Apr-16</c:v>
                  </c:pt>
                  <c:pt idx="476">
                    <c:v>16-Apr-16</c:v>
                  </c:pt>
                  <c:pt idx="477">
                    <c:v>17-Apr-16</c:v>
                  </c:pt>
                  <c:pt idx="478">
                    <c:v>17-Apr-16</c:v>
                  </c:pt>
                  <c:pt idx="479">
                    <c:v>17-Apr-16</c:v>
                  </c:pt>
                  <c:pt idx="480">
                    <c:v>17-Apr-16</c:v>
                  </c:pt>
                  <c:pt idx="481">
                    <c:v>18-Apr-16</c:v>
                  </c:pt>
                  <c:pt idx="482">
                    <c:v>18-Apr-16</c:v>
                  </c:pt>
                  <c:pt idx="483">
                    <c:v>18-Apr-16</c:v>
                  </c:pt>
                  <c:pt idx="484">
                    <c:v>18-Apr-16</c:v>
                  </c:pt>
                  <c:pt idx="485">
                    <c:v>18-Apr-16</c:v>
                  </c:pt>
                  <c:pt idx="486">
                    <c:v>18-Apr-16</c:v>
                  </c:pt>
                  <c:pt idx="487">
                    <c:v>19-Apr-16</c:v>
                  </c:pt>
                  <c:pt idx="488">
                    <c:v>19-Apr-16</c:v>
                  </c:pt>
                  <c:pt idx="489">
                    <c:v>19-Apr-16</c:v>
                  </c:pt>
                  <c:pt idx="490">
                    <c:v>19-Apr-16</c:v>
                  </c:pt>
                  <c:pt idx="491">
                    <c:v>20-Apr-16</c:v>
                  </c:pt>
                  <c:pt idx="492">
                    <c:v>20-Apr-16</c:v>
                  </c:pt>
                  <c:pt idx="493">
                    <c:v>20-Apr-16</c:v>
                  </c:pt>
                  <c:pt idx="494">
                    <c:v>20-Apr-16</c:v>
                  </c:pt>
                  <c:pt idx="495">
                    <c:v>20-Apr-16</c:v>
                  </c:pt>
                  <c:pt idx="496">
                    <c:v>21-Apr-16</c:v>
                  </c:pt>
                </c:lvl>
              </c:multiLvlStrCache>
            </c:multiLvlStrRef>
          </c:cat>
          <c:val>
            <c:numRef>
              <c:f>'Coke Moisture'!$I$4:$I$1501</c:f>
              <c:numCache>
                <c:formatCode>General</c:formatCode>
                <c:ptCount val="1498"/>
                <c:pt idx="0">
                  <c:v>42</c:v>
                </c:pt>
                <c:pt idx="1">
                  <c:v>38</c:v>
                </c:pt>
                <c:pt idx="2">
                  <c:v>25</c:v>
                </c:pt>
                <c:pt idx="3">
                  <c:v>30</c:v>
                </c:pt>
                <c:pt idx="4">
                  <c:v>28</c:v>
                </c:pt>
                <c:pt idx="5">
                  <c:v>28</c:v>
                </c:pt>
                <c:pt idx="6">
                  <c:v>37</c:v>
                </c:pt>
                <c:pt idx="7">
                  <c:v>36</c:v>
                </c:pt>
                <c:pt idx="8">
                  <c:v>21</c:v>
                </c:pt>
                <c:pt idx="9">
                  <c:v>23</c:v>
                </c:pt>
                <c:pt idx="10">
                  <c:v>27</c:v>
                </c:pt>
                <c:pt idx="11">
                  <c:v>30</c:v>
                </c:pt>
                <c:pt idx="12">
                  <c:v>27</c:v>
                </c:pt>
                <c:pt idx="13">
                  <c:v>33</c:v>
                </c:pt>
                <c:pt idx="14">
                  <c:v>22</c:v>
                </c:pt>
                <c:pt idx="15">
                  <c:v>23</c:v>
                </c:pt>
                <c:pt idx="16">
                  <c:v>21</c:v>
                </c:pt>
                <c:pt idx="17">
                  <c:v>22</c:v>
                </c:pt>
                <c:pt idx="18">
                  <c:v>23</c:v>
                </c:pt>
                <c:pt idx="19">
                  <c:v>34.200000000000003</c:v>
                </c:pt>
                <c:pt idx="20">
                  <c:v>21.6</c:v>
                </c:pt>
                <c:pt idx="21">
                  <c:v>28</c:v>
                </c:pt>
                <c:pt idx="22">
                  <c:v>35</c:v>
                </c:pt>
                <c:pt idx="23">
                  <c:v>26</c:v>
                </c:pt>
                <c:pt idx="24">
                  <c:v>27</c:v>
                </c:pt>
                <c:pt idx="25">
                  <c:v>26</c:v>
                </c:pt>
                <c:pt idx="26">
                  <c:v>27</c:v>
                </c:pt>
                <c:pt idx="27">
                  <c:v>20</c:v>
                </c:pt>
                <c:pt idx="28">
                  <c:v>19.3</c:v>
                </c:pt>
                <c:pt idx="29">
                  <c:v>24</c:v>
                </c:pt>
                <c:pt idx="30">
                  <c:v>35</c:v>
                </c:pt>
                <c:pt idx="31">
                  <c:v>30</c:v>
                </c:pt>
                <c:pt idx="32">
                  <c:v>20.8</c:v>
                </c:pt>
                <c:pt idx="33">
                  <c:v>23</c:v>
                </c:pt>
                <c:pt idx="34">
                  <c:v>30</c:v>
                </c:pt>
                <c:pt idx="35">
                  <c:v>43.6</c:v>
                </c:pt>
                <c:pt idx="36">
                  <c:v>33</c:v>
                </c:pt>
                <c:pt idx="37">
                  <c:v>25</c:v>
                </c:pt>
                <c:pt idx="38">
                  <c:v>24.4</c:v>
                </c:pt>
                <c:pt idx="39">
                  <c:v>30.2</c:v>
                </c:pt>
                <c:pt idx="40">
                  <c:v>25.4</c:v>
                </c:pt>
                <c:pt idx="41">
                  <c:v>36.5</c:v>
                </c:pt>
                <c:pt idx="42">
                  <c:v>35</c:v>
                </c:pt>
                <c:pt idx="43">
                  <c:v>41</c:v>
                </c:pt>
                <c:pt idx="44">
                  <c:v>37</c:v>
                </c:pt>
                <c:pt idx="45">
                  <c:v>29</c:v>
                </c:pt>
                <c:pt idx="46">
                  <c:v>45</c:v>
                </c:pt>
                <c:pt idx="47">
                  <c:v>43</c:v>
                </c:pt>
                <c:pt idx="48">
                  <c:v>35</c:v>
                </c:pt>
                <c:pt idx="49">
                  <c:v>33</c:v>
                </c:pt>
                <c:pt idx="50">
                  <c:v>32</c:v>
                </c:pt>
                <c:pt idx="51">
                  <c:v>30</c:v>
                </c:pt>
                <c:pt idx="52">
                  <c:v>28</c:v>
                </c:pt>
                <c:pt idx="53">
                  <c:v>37</c:v>
                </c:pt>
                <c:pt idx="54">
                  <c:v>36</c:v>
                </c:pt>
                <c:pt idx="55">
                  <c:v>33</c:v>
                </c:pt>
                <c:pt idx="56">
                  <c:v>30</c:v>
                </c:pt>
                <c:pt idx="57">
                  <c:v>29.3</c:v>
                </c:pt>
                <c:pt idx="58">
                  <c:v>34</c:v>
                </c:pt>
                <c:pt idx="59">
                  <c:v>28</c:v>
                </c:pt>
                <c:pt idx="60">
                  <c:v>51</c:v>
                </c:pt>
                <c:pt idx="61">
                  <c:v>33.200000000000003</c:v>
                </c:pt>
                <c:pt idx="62">
                  <c:v>33</c:v>
                </c:pt>
                <c:pt idx="63">
                  <c:v>25</c:v>
                </c:pt>
                <c:pt idx="64">
                  <c:v>30</c:v>
                </c:pt>
                <c:pt idx="65">
                  <c:v>33</c:v>
                </c:pt>
                <c:pt idx="66">
                  <c:v>32</c:v>
                </c:pt>
                <c:pt idx="67">
                  <c:v>36.4</c:v>
                </c:pt>
                <c:pt idx="68">
                  <c:v>34</c:v>
                </c:pt>
                <c:pt idx="69">
                  <c:v>35</c:v>
                </c:pt>
                <c:pt idx="70">
                  <c:v>38</c:v>
                </c:pt>
                <c:pt idx="71">
                  <c:v>30</c:v>
                </c:pt>
                <c:pt idx="72">
                  <c:v>45</c:v>
                </c:pt>
                <c:pt idx="73">
                  <c:v>35</c:v>
                </c:pt>
                <c:pt idx="74">
                  <c:v>45</c:v>
                </c:pt>
                <c:pt idx="75">
                  <c:v>31</c:v>
                </c:pt>
                <c:pt idx="76">
                  <c:v>30</c:v>
                </c:pt>
                <c:pt idx="77">
                  <c:v>41</c:v>
                </c:pt>
                <c:pt idx="78">
                  <c:v>32</c:v>
                </c:pt>
                <c:pt idx="79">
                  <c:v>26</c:v>
                </c:pt>
                <c:pt idx="80">
                  <c:v>29</c:v>
                </c:pt>
                <c:pt idx="81">
                  <c:v>21</c:v>
                </c:pt>
                <c:pt idx="82">
                  <c:v>24</c:v>
                </c:pt>
                <c:pt idx="83">
                  <c:v>39</c:v>
                </c:pt>
                <c:pt idx="84">
                  <c:v>28</c:v>
                </c:pt>
                <c:pt idx="85">
                  <c:v>21</c:v>
                </c:pt>
                <c:pt idx="86">
                  <c:v>24</c:v>
                </c:pt>
                <c:pt idx="87">
                  <c:v>38</c:v>
                </c:pt>
                <c:pt idx="88">
                  <c:v>45</c:v>
                </c:pt>
                <c:pt idx="89">
                  <c:v>27</c:v>
                </c:pt>
                <c:pt idx="90">
                  <c:v>21</c:v>
                </c:pt>
                <c:pt idx="91">
                  <c:v>24</c:v>
                </c:pt>
                <c:pt idx="92">
                  <c:v>30</c:v>
                </c:pt>
                <c:pt idx="93">
                  <c:v>38</c:v>
                </c:pt>
                <c:pt idx="94">
                  <c:v>28</c:v>
                </c:pt>
                <c:pt idx="95">
                  <c:v>33</c:v>
                </c:pt>
                <c:pt idx="96">
                  <c:v>26</c:v>
                </c:pt>
                <c:pt idx="97">
                  <c:v>24</c:v>
                </c:pt>
                <c:pt idx="98">
                  <c:v>19</c:v>
                </c:pt>
                <c:pt idx="99">
                  <c:v>26</c:v>
                </c:pt>
                <c:pt idx="100">
                  <c:v>27</c:v>
                </c:pt>
                <c:pt idx="101">
                  <c:v>24.3</c:v>
                </c:pt>
                <c:pt idx="102">
                  <c:v>15.2</c:v>
                </c:pt>
                <c:pt idx="103">
                  <c:v>28</c:v>
                </c:pt>
                <c:pt idx="104">
                  <c:v>27</c:v>
                </c:pt>
                <c:pt idx="105">
                  <c:v>26</c:v>
                </c:pt>
                <c:pt idx="106">
                  <c:v>24</c:v>
                </c:pt>
                <c:pt idx="107">
                  <c:v>22</c:v>
                </c:pt>
                <c:pt idx="108">
                  <c:v>28</c:v>
                </c:pt>
                <c:pt idx="109">
                  <c:v>26</c:v>
                </c:pt>
                <c:pt idx="110">
                  <c:v>30</c:v>
                </c:pt>
                <c:pt idx="111">
                  <c:v>22</c:v>
                </c:pt>
                <c:pt idx="112">
                  <c:v>35</c:v>
                </c:pt>
                <c:pt idx="113">
                  <c:v>26</c:v>
                </c:pt>
                <c:pt idx="114">
                  <c:v>30</c:v>
                </c:pt>
                <c:pt idx="115">
                  <c:v>25</c:v>
                </c:pt>
                <c:pt idx="116">
                  <c:v>28</c:v>
                </c:pt>
                <c:pt idx="117">
                  <c:v>28</c:v>
                </c:pt>
                <c:pt idx="118">
                  <c:v>31</c:v>
                </c:pt>
                <c:pt idx="119">
                  <c:v>26</c:v>
                </c:pt>
                <c:pt idx="120">
                  <c:v>32</c:v>
                </c:pt>
                <c:pt idx="121">
                  <c:v>26</c:v>
                </c:pt>
                <c:pt idx="122">
                  <c:v>26</c:v>
                </c:pt>
                <c:pt idx="123">
                  <c:v>24</c:v>
                </c:pt>
                <c:pt idx="124">
                  <c:v>23</c:v>
                </c:pt>
                <c:pt idx="125">
                  <c:v>28</c:v>
                </c:pt>
                <c:pt idx="126">
                  <c:v>26</c:v>
                </c:pt>
                <c:pt idx="127">
                  <c:v>28</c:v>
                </c:pt>
                <c:pt idx="128">
                  <c:v>32</c:v>
                </c:pt>
                <c:pt idx="129">
                  <c:v>22</c:v>
                </c:pt>
                <c:pt idx="130">
                  <c:v>25</c:v>
                </c:pt>
                <c:pt idx="131">
                  <c:v>28</c:v>
                </c:pt>
                <c:pt idx="132">
                  <c:v>35</c:v>
                </c:pt>
                <c:pt idx="133">
                  <c:v>33</c:v>
                </c:pt>
                <c:pt idx="134">
                  <c:v>34</c:v>
                </c:pt>
                <c:pt idx="135">
                  <c:v>29</c:v>
                </c:pt>
                <c:pt idx="136">
                  <c:v>28</c:v>
                </c:pt>
                <c:pt idx="137">
                  <c:v>24</c:v>
                </c:pt>
                <c:pt idx="138">
                  <c:v>34</c:v>
                </c:pt>
                <c:pt idx="139">
                  <c:v>30</c:v>
                </c:pt>
                <c:pt idx="140">
                  <c:v>25</c:v>
                </c:pt>
                <c:pt idx="141">
                  <c:v>26</c:v>
                </c:pt>
                <c:pt idx="142">
                  <c:v>34</c:v>
                </c:pt>
                <c:pt idx="143">
                  <c:v>24</c:v>
                </c:pt>
                <c:pt idx="144">
                  <c:v>34</c:v>
                </c:pt>
                <c:pt idx="145">
                  <c:v>23</c:v>
                </c:pt>
                <c:pt idx="146">
                  <c:v>34</c:v>
                </c:pt>
                <c:pt idx="147">
                  <c:v>38</c:v>
                </c:pt>
                <c:pt idx="148">
                  <c:v>24</c:v>
                </c:pt>
                <c:pt idx="149">
                  <c:v>28</c:v>
                </c:pt>
                <c:pt idx="150">
                  <c:v>23</c:v>
                </c:pt>
                <c:pt idx="151">
                  <c:v>27</c:v>
                </c:pt>
                <c:pt idx="152">
                  <c:v>28</c:v>
                </c:pt>
                <c:pt idx="153">
                  <c:v>24</c:v>
                </c:pt>
                <c:pt idx="154">
                  <c:v>25</c:v>
                </c:pt>
                <c:pt idx="155">
                  <c:v>29</c:v>
                </c:pt>
                <c:pt idx="156">
                  <c:v>35</c:v>
                </c:pt>
                <c:pt idx="157">
                  <c:v>33</c:v>
                </c:pt>
                <c:pt idx="158">
                  <c:v>33</c:v>
                </c:pt>
                <c:pt idx="159">
                  <c:v>34</c:v>
                </c:pt>
                <c:pt idx="160">
                  <c:v>28</c:v>
                </c:pt>
                <c:pt idx="161">
                  <c:v>40</c:v>
                </c:pt>
                <c:pt idx="162">
                  <c:v>28</c:v>
                </c:pt>
                <c:pt idx="163">
                  <c:v>24</c:v>
                </c:pt>
                <c:pt idx="164">
                  <c:v>26</c:v>
                </c:pt>
                <c:pt idx="165">
                  <c:v>24</c:v>
                </c:pt>
                <c:pt idx="166">
                  <c:v>25</c:v>
                </c:pt>
                <c:pt idx="167">
                  <c:v>22</c:v>
                </c:pt>
                <c:pt idx="168">
                  <c:v>23</c:v>
                </c:pt>
                <c:pt idx="169">
                  <c:v>51</c:v>
                </c:pt>
                <c:pt idx="170">
                  <c:v>23</c:v>
                </c:pt>
                <c:pt idx="171">
                  <c:v>22</c:v>
                </c:pt>
                <c:pt idx="172">
                  <c:v>23</c:v>
                </c:pt>
                <c:pt idx="173">
                  <c:v>28</c:v>
                </c:pt>
                <c:pt idx="174">
                  <c:v>27</c:v>
                </c:pt>
                <c:pt idx="175">
                  <c:v>20</c:v>
                </c:pt>
                <c:pt idx="176">
                  <c:v>26</c:v>
                </c:pt>
                <c:pt idx="177">
                  <c:v>26</c:v>
                </c:pt>
                <c:pt idx="178">
                  <c:v>25</c:v>
                </c:pt>
                <c:pt idx="179">
                  <c:v>25</c:v>
                </c:pt>
                <c:pt idx="180">
                  <c:v>37</c:v>
                </c:pt>
                <c:pt idx="181">
                  <c:v>25</c:v>
                </c:pt>
                <c:pt idx="182">
                  <c:v>26</c:v>
                </c:pt>
                <c:pt idx="183">
                  <c:v>20</c:v>
                </c:pt>
                <c:pt idx="184">
                  <c:v>36</c:v>
                </c:pt>
                <c:pt idx="185">
                  <c:v>26</c:v>
                </c:pt>
                <c:pt idx="186">
                  <c:v>22</c:v>
                </c:pt>
                <c:pt idx="187">
                  <c:v>28</c:v>
                </c:pt>
                <c:pt idx="188">
                  <c:v>27</c:v>
                </c:pt>
                <c:pt idx="189">
                  <c:v>37</c:v>
                </c:pt>
                <c:pt idx="190">
                  <c:v>34</c:v>
                </c:pt>
                <c:pt idx="191">
                  <c:v>26</c:v>
                </c:pt>
                <c:pt idx="192">
                  <c:v>23</c:v>
                </c:pt>
                <c:pt idx="193">
                  <c:v>25</c:v>
                </c:pt>
                <c:pt idx="194">
                  <c:v>35</c:v>
                </c:pt>
                <c:pt idx="195">
                  <c:v>33</c:v>
                </c:pt>
                <c:pt idx="196">
                  <c:v>34</c:v>
                </c:pt>
                <c:pt idx="197">
                  <c:v>28</c:v>
                </c:pt>
                <c:pt idx="198">
                  <c:v>28</c:v>
                </c:pt>
                <c:pt idx="199">
                  <c:v>29</c:v>
                </c:pt>
                <c:pt idx="200">
                  <c:v>26</c:v>
                </c:pt>
                <c:pt idx="201">
                  <c:v>28</c:v>
                </c:pt>
                <c:pt idx="202">
                  <c:v>21</c:v>
                </c:pt>
                <c:pt idx="203">
                  <c:v>25</c:v>
                </c:pt>
                <c:pt idx="204">
                  <c:v>30</c:v>
                </c:pt>
                <c:pt idx="205">
                  <c:v>37</c:v>
                </c:pt>
                <c:pt idx="206">
                  <c:v>26</c:v>
                </c:pt>
                <c:pt idx="207">
                  <c:v>36</c:v>
                </c:pt>
                <c:pt idx="208">
                  <c:v>24</c:v>
                </c:pt>
                <c:pt idx="209">
                  <c:v>30</c:v>
                </c:pt>
                <c:pt idx="210">
                  <c:v>37</c:v>
                </c:pt>
                <c:pt idx="211">
                  <c:v>29</c:v>
                </c:pt>
                <c:pt idx="212">
                  <c:v>22</c:v>
                </c:pt>
                <c:pt idx="213">
                  <c:v>24</c:v>
                </c:pt>
                <c:pt idx="214">
                  <c:v>26</c:v>
                </c:pt>
                <c:pt idx="215">
                  <c:v>26</c:v>
                </c:pt>
                <c:pt idx="216">
                  <c:v>35</c:v>
                </c:pt>
                <c:pt idx="217">
                  <c:v>29</c:v>
                </c:pt>
                <c:pt idx="218">
                  <c:v>36</c:v>
                </c:pt>
                <c:pt idx="219">
                  <c:v>27</c:v>
                </c:pt>
                <c:pt idx="220">
                  <c:v>26</c:v>
                </c:pt>
                <c:pt idx="221">
                  <c:v>24</c:v>
                </c:pt>
                <c:pt idx="222">
                  <c:v>24</c:v>
                </c:pt>
                <c:pt idx="223">
                  <c:v>22</c:v>
                </c:pt>
                <c:pt idx="224">
                  <c:v>27</c:v>
                </c:pt>
                <c:pt idx="225">
                  <c:v>22</c:v>
                </c:pt>
                <c:pt idx="226">
                  <c:v>33</c:v>
                </c:pt>
                <c:pt idx="227">
                  <c:v>30</c:v>
                </c:pt>
                <c:pt idx="228">
                  <c:v>30</c:v>
                </c:pt>
                <c:pt idx="229">
                  <c:v>26</c:v>
                </c:pt>
                <c:pt idx="230">
                  <c:v>42</c:v>
                </c:pt>
                <c:pt idx="231">
                  <c:v>28</c:v>
                </c:pt>
                <c:pt idx="232">
                  <c:v>32</c:v>
                </c:pt>
                <c:pt idx="233">
                  <c:v>44</c:v>
                </c:pt>
                <c:pt idx="234">
                  <c:v>37</c:v>
                </c:pt>
                <c:pt idx="235">
                  <c:v>28</c:v>
                </c:pt>
                <c:pt idx="236">
                  <c:v>34</c:v>
                </c:pt>
                <c:pt idx="237">
                  <c:v>31</c:v>
                </c:pt>
                <c:pt idx="238">
                  <c:v>38</c:v>
                </c:pt>
                <c:pt idx="239">
                  <c:v>35</c:v>
                </c:pt>
                <c:pt idx="240">
                  <c:v>23</c:v>
                </c:pt>
                <c:pt idx="241">
                  <c:v>30</c:v>
                </c:pt>
                <c:pt idx="242">
                  <c:v>37</c:v>
                </c:pt>
                <c:pt idx="243">
                  <c:v>26</c:v>
                </c:pt>
                <c:pt idx="244">
                  <c:v>29</c:v>
                </c:pt>
                <c:pt idx="245">
                  <c:v>45</c:v>
                </c:pt>
                <c:pt idx="246">
                  <c:v>35</c:v>
                </c:pt>
                <c:pt idx="247">
                  <c:v>32</c:v>
                </c:pt>
                <c:pt idx="248">
                  <c:v>29</c:v>
                </c:pt>
                <c:pt idx="249">
                  <c:v>23</c:v>
                </c:pt>
                <c:pt idx="250">
                  <c:v>37</c:v>
                </c:pt>
                <c:pt idx="251">
                  <c:v>29</c:v>
                </c:pt>
                <c:pt idx="252">
                  <c:v>36</c:v>
                </c:pt>
                <c:pt idx="253">
                  <c:v>39</c:v>
                </c:pt>
                <c:pt idx="254">
                  <c:v>33</c:v>
                </c:pt>
                <c:pt idx="255">
                  <c:v>25</c:v>
                </c:pt>
                <c:pt idx="256">
                  <c:v>22</c:v>
                </c:pt>
                <c:pt idx="257">
                  <c:v>34</c:v>
                </c:pt>
                <c:pt idx="258">
                  <c:v>35</c:v>
                </c:pt>
                <c:pt idx="259">
                  <c:v>34</c:v>
                </c:pt>
                <c:pt idx="260">
                  <c:v>20</c:v>
                </c:pt>
                <c:pt idx="261">
                  <c:v>27</c:v>
                </c:pt>
                <c:pt idx="262">
                  <c:v>26</c:v>
                </c:pt>
                <c:pt idx="263">
                  <c:v>31</c:v>
                </c:pt>
                <c:pt idx="264">
                  <c:v>26</c:v>
                </c:pt>
                <c:pt idx="265">
                  <c:v>44</c:v>
                </c:pt>
                <c:pt idx="266">
                  <c:v>31</c:v>
                </c:pt>
                <c:pt idx="267">
                  <c:v>26</c:v>
                </c:pt>
                <c:pt idx="268">
                  <c:v>26</c:v>
                </c:pt>
                <c:pt idx="269">
                  <c:v>28</c:v>
                </c:pt>
                <c:pt idx="270">
                  <c:v>26</c:v>
                </c:pt>
                <c:pt idx="271">
                  <c:v>34</c:v>
                </c:pt>
                <c:pt idx="272">
                  <c:v>26</c:v>
                </c:pt>
                <c:pt idx="273">
                  <c:v>28</c:v>
                </c:pt>
                <c:pt idx="274">
                  <c:v>25</c:v>
                </c:pt>
                <c:pt idx="275">
                  <c:v>38</c:v>
                </c:pt>
                <c:pt idx="276">
                  <c:v>26</c:v>
                </c:pt>
                <c:pt idx="277">
                  <c:v>24</c:v>
                </c:pt>
                <c:pt idx="278">
                  <c:v>22</c:v>
                </c:pt>
                <c:pt idx="279">
                  <c:v>23</c:v>
                </c:pt>
                <c:pt idx="280">
                  <c:v>28</c:v>
                </c:pt>
                <c:pt idx="281">
                  <c:v>36</c:v>
                </c:pt>
                <c:pt idx="282">
                  <c:v>24</c:v>
                </c:pt>
                <c:pt idx="283">
                  <c:v>25</c:v>
                </c:pt>
                <c:pt idx="284">
                  <c:v>30</c:v>
                </c:pt>
                <c:pt idx="285">
                  <c:v>26</c:v>
                </c:pt>
                <c:pt idx="286">
                  <c:v>34</c:v>
                </c:pt>
                <c:pt idx="287">
                  <c:v>31</c:v>
                </c:pt>
                <c:pt idx="288">
                  <c:v>28</c:v>
                </c:pt>
                <c:pt idx="289">
                  <c:v>30</c:v>
                </c:pt>
                <c:pt idx="290">
                  <c:v>26</c:v>
                </c:pt>
                <c:pt idx="291">
                  <c:v>25</c:v>
                </c:pt>
                <c:pt idx="292">
                  <c:v>27</c:v>
                </c:pt>
                <c:pt idx="293">
                  <c:v>29</c:v>
                </c:pt>
                <c:pt idx="294">
                  <c:v>32</c:v>
                </c:pt>
                <c:pt idx="295">
                  <c:v>30</c:v>
                </c:pt>
                <c:pt idx="296">
                  <c:v>24</c:v>
                </c:pt>
                <c:pt idx="297">
                  <c:v>29</c:v>
                </c:pt>
                <c:pt idx="298">
                  <c:v>28</c:v>
                </c:pt>
                <c:pt idx="299">
                  <c:v>31</c:v>
                </c:pt>
                <c:pt idx="300">
                  <c:v>29</c:v>
                </c:pt>
                <c:pt idx="301">
                  <c:v>32</c:v>
                </c:pt>
                <c:pt idx="302">
                  <c:v>41</c:v>
                </c:pt>
                <c:pt idx="303">
                  <c:v>32</c:v>
                </c:pt>
                <c:pt idx="304">
                  <c:v>36</c:v>
                </c:pt>
                <c:pt idx="305">
                  <c:v>34</c:v>
                </c:pt>
                <c:pt idx="306">
                  <c:v>33</c:v>
                </c:pt>
                <c:pt idx="307">
                  <c:v>34</c:v>
                </c:pt>
                <c:pt idx="308">
                  <c:v>27</c:v>
                </c:pt>
                <c:pt idx="309">
                  <c:v>32</c:v>
                </c:pt>
                <c:pt idx="310">
                  <c:v>23</c:v>
                </c:pt>
                <c:pt idx="311">
                  <c:v>39</c:v>
                </c:pt>
                <c:pt idx="312">
                  <c:v>28</c:v>
                </c:pt>
                <c:pt idx="313">
                  <c:v>32</c:v>
                </c:pt>
                <c:pt idx="314">
                  <c:v>37</c:v>
                </c:pt>
                <c:pt idx="315">
                  <c:v>31</c:v>
                </c:pt>
                <c:pt idx="316">
                  <c:v>24</c:v>
                </c:pt>
                <c:pt idx="317">
                  <c:v>36</c:v>
                </c:pt>
                <c:pt idx="318">
                  <c:v>22</c:v>
                </c:pt>
                <c:pt idx="319">
                  <c:v>22</c:v>
                </c:pt>
                <c:pt idx="320">
                  <c:v>26</c:v>
                </c:pt>
                <c:pt idx="321">
                  <c:v>22</c:v>
                </c:pt>
                <c:pt idx="322">
                  <c:v>19</c:v>
                </c:pt>
                <c:pt idx="323">
                  <c:v>31</c:v>
                </c:pt>
                <c:pt idx="324">
                  <c:v>25</c:v>
                </c:pt>
                <c:pt idx="325">
                  <c:v>30</c:v>
                </c:pt>
                <c:pt idx="326">
                  <c:v>30</c:v>
                </c:pt>
                <c:pt idx="327">
                  <c:v>21</c:v>
                </c:pt>
                <c:pt idx="328">
                  <c:v>26</c:v>
                </c:pt>
                <c:pt idx="329">
                  <c:v>28</c:v>
                </c:pt>
                <c:pt idx="330">
                  <c:v>39</c:v>
                </c:pt>
                <c:pt idx="331">
                  <c:v>19</c:v>
                </c:pt>
                <c:pt idx="332">
                  <c:v>28</c:v>
                </c:pt>
                <c:pt idx="333">
                  <c:v>27</c:v>
                </c:pt>
                <c:pt idx="334">
                  <c:v>22</c:v>
                </c:pt>
                <c:pt idx="335">
                  <c:v>32</c:v>
                </c:pt>
                <c:pt idx="336">
                  <c:v>24</c:v>
                </c:pt>
                <c:pt idx="337">
                  <c:v>28</c:v>
                </c:pt>
                <c:pt idx="338">
                  <c:v>38</c:v>
                </c:pt>
                <c:pt idx="339">
                  <c:v>30</c:v>
                </c:pt>
                <c:pt idx="340">
                  <c:v>24</c:v>
                </c:pt>
                <c:pt idx="341">
                  <c:v>24</c:v>
                </c:pt>
                <c:pt idx="342">
                  <c:v>36</c:v>
                </c:pt>
                <c:pt idx="343">
                  <c:v>30</c:v>
                </c:pt>
                <c:pt idx="344">
                  <c:v>26</c:v>
                </c:pt>
                <c:pt idx="345">
                  <c:v>24</c:v>
                </c:pt>
                <c:pt idx="346">
                  <c:v>24</c:v>
                </c:pt>
                <c:pt idx="347">
                  <c:v>33</c:v>
                </c:pt>
                <c:pt idx="348">
                  <c:v>42</c:v>
                </c:pt>
                <c:pt idx="349">
                  <c:v>28</c:v>
                </c:pt>
                <c:pt idx="350">
                  <c:v>25</c:v>
                </c:pt>
                <c:pt idx="351">
                  <c:v>26</c:v>
                </c:pt>
                <c:pt idx="352">
                  <c:v>25</c:v>
                </c:pt>
                <c:pt idx="353">
                  <c:v>29</c:v>
                </c:pt>
                <c:pt idx="354">
                  <c:v>43</c:v>
                </c:pt>
                <c:pt idx="355">
                  <c:v>35</c:v>
                </c:pt>
                <c:pt idx="356">
                  <c:v>27</c:v>
                </c:pt>
                <c:pt idx="357">
                  <c:v>44</c:v>
                </c:pt>
                <c:pt idx="358">
                  <c:v>27</c:v>
                </c:pt>
                <c:pt idx="359">
                  <c:v>38</c:v>
                </c:pt>
                <c:pt idx="360">
                  <c:v>30</c:v>
                </c:pt>
                <c:pt idx="361">
                  <c:v>27</c:v>
                </c:pt>
                <c:pt idx="362">
                  <c:v>27</c:v>
                </c:pt>
                <c:pt idx="363">
                  <c:v>42</c:v>
                </c:pt>
                <c:pt idx="364">
                  <c:v>37</c:v>
                </c:pt>
                <c:pt idx="365">
                  <c:v>28</c:v>
                </c:pt>
                <c:pt idx="366">
                  <c:v>37</c:v>
                </c:pt>
                <c:pt idx="367">
                  <c:v>29</c:v>
                </c:pt>
                <c:pt idx="368">
                  <c:v>35</c:v>
                </c:pt>
                <c:pt idx="369">
                  <c:v>37</c:v>
                </c:pt>
                <c:pt idx="370">
                  <c:v>34</c:v>
                </c:pt>
                <c:pt idx="371">
                  <c:v>28</c:v>
                </c:pt>
                <c:pt idx="372">
                  <c:v>27</c:v>
                </c:pt>
                <c:pt idx="373">
                  <c:v>39</c:v>
                </c:pt>
                <c:pt idx="374">
                  <c:v>43</c:v>
                </c:pt>
                <c:pt idx="375">
                  <c:v>28</c:v>
                </c:pt>
                <c:pt idx="376">
                  <c:v>34</c:v>
                </c:pt>
                <c:pt idx="377">
                  <c:v>37</c:v>
                </c:pt>
                <c:pt idx="378">
                  <c:v>35</c:v>
                </c:pt>
                <c:pt idx="379">
                  <c:v>33</c:v>
                </c:pt>
                <c:pt idx="380">
                  <c:v>24</c:v>
                </c:pt>
                <c:pt idx="381">
                  <c:v>22</c:v>
                </c:pt>
                <c:pt idx="382">
                  <c:v>24</c:v>
                </c:pt>
                <c:pt idx="383">
                  <c:v>26</c:v>
                </c:pt>
                <c:pt idx="384">
                  <c:v>19</c:v>
                </c:pt>
                <c:pt idx="385">
                  <c:v>25</c:v>
                </c:pt>
                <c:pt idx="386">
                  <c:v>26</c:v>
                </c:pt>
                <c:pt idx="387">
                  <c:v>28</c:v>
                </c:pt>
                <c:pt idx="388">
                  <c:v>30</c:v>
                </c:pt>
                <c:pt idx="389">
                  <c:v>26</c:v>
                </c:pt>
                <c:pt idx="390">
                  <c:v>24</c:v>
                </c:pt>
                <c:pt idx="391">
                  <c:v>33</c:v>
                </c:pt>
                <c:pt idx="392">
                  <c:v>32</c:v>
                </c:pt>
                <c:pt idx="393">
                  <c:v>26</c:v>
                </c:pt>
                <c:pt idx="394">
                  <c:v>34</c:v>
                </c:pt>
                <c:pt idx="395">
                  <c:v>32</c:v>
                </c:pt>
                <c:pt idx="396">
                  <c:v>32</c:v>
                </c:pt>
                <c:pt idx="397">
                  <c:v>38</c:v>
                </c:pt>
                <c:pt idx="398">
                  <c:v>29</c:v>
                </c:pt>
                <c:pt idx="399">
                  <c:v>25</c:v>
                </c:pt>
                <c:pt idx="400">
                  <c:v>32</c:v>
                </c:pt>
                <c:pt idx="401">
                  <c:v>28</c:v>
                </c:pt>
                <c:pt idx="402">
                  <c:v>31</c:v>
                </c:pt>
                <c:pt idx="403">
                  <c:v>26</c:v>
                </c:pt>
                <c:pt idx="404">
                  <c:v>26</c:v>
                </c:pt>
                <c:pt idx="405">
                  <c:v>25</c:v>
                </c:pt>
                <c:pt idx="406">
                  <c:v>38</c:v>
                </c:pt>
                <c:pt idx="407">
                  <c:v>31</c:v>
                </c:pt>
                <c:pt idx="408">
                  <c:v>29</c:v>
                </c:pt>
                <c:pt idx="409">
                  <c:v>31</c:v>
                </c:pt>
                <c:pt idx="410">
                  <c:v>33</c:v>
                </c:pt>
                <c:pt idx="411">
                  <c:v>40</c:v>
                </c:pt>
                <c:pt idx="412">
                  <c:v>33</c:v>
                </c:pt>
                <c:pt idx="413">
                  <c:v>45</c:v>
                </c:pt>
                <c:pt idx="414">
                  <c:v>34</c:v>
                </c:pt>
                <c:pt idx="415">
                  <c:v>39</c:v>
                </c:pt>
                <c:pt idx="416">
                  <c:v>35</c:v>
                </c:pt>
                <c:pt idx="417">
                  <c:v>35</c:v>
                </c:pt>
                <c:pt idx="418">
                  <c:v>33</c:v>
                </c:pt>
                <c:pt idx="419">
                  <c:v>28</c:v>
                </c:pt>
                <c:pt idx="420">
                  <c:v>24</c:v>
                </c:pt>
                <c:pt idx="421">
                  <c:v>36</c:v>
                </c:pt>
                <c:pt idx="422">
                  <c:v>35</c:v>
                </c:pt>
                <c:pt idx="423">
                  <c:v>28</c:v>
                </c:pt>
                <c:pt idx="424">
                  <c:v>26</c:v>
                </c:pt>
                <c:pt idx="425">
                  <c:v>35</c:v>
                </c:pt>
                <c:pt idx="426">
                  <c:v>32</c:v>
                </c:pt>
                <c:pt idx="427">
                  <c:v>23</c:v>
                </c:pt>
                <c:pt idx="428">
                  <c:v>32</c:v>
                </c:pt>
                <c:pt idx="429">
                  <c:v>29</c:v>
                </c:pt>
                <c:pt idx="430">
                  <c:v>25</c:v>
                </c:pt>
                <c:pt idx="431">
                  <c:v>35</c:v>
                </c:pt>
                <c:pt idx="432">
                  <c:v>37</c:v>
                </c:pt>
                <c:pt idx="433">
                  <c:v>43</c:v>
                </c:pt>
                <c:pt idx="434">
                  <c:v>32</c:v>
                </c:pt>
                <c:pt idx="435">
                  <c:v>31</c:v>
                </c:pt>
                <c:pt idx="436">
                  <c:v>29</c:v>
                </c:pt>
                <c:pt idx="437">
                  <c:v>41</c:v>
                </c:pt>
                <c:pt idx="438">
                  <c:v>22</c:v>
                </c:pt>
                <c:pt idx="439">
                  <c:v>32</c:v>
                </c:pt>
                <c:pt idx="440">
                  <c:v>35</c:v>
                </c:pt>
                <c:pt idx="441">
                  <c:v>39</c:v>
                </c:pt>
                <c:pt idx="442">
                  <c:v>43</c:v>
                </c:pt>
                <c:pt idx="443">
                  <c:v>28</c:v>
                </c:pt>
                <c:pt idx="444">
                  <c:v>28</c:v>
                </c:pt>
                <c:pt idx="445">
                  <c:v>36</c:v>
                </c:pt>
                <c:pt idx="446">
                  <c:v>35</c:v>
                </c:pt>
                <c:pt idx="447">
                  <c:v>45</c:v>
                </c:pt>
                <c:pt idx="448">
                  <c:v>34</c:v>
                </c:pt>
                <c:pt idx="449">
                  <c:v>29</c:v>
                </c:pt>
                <c:pt idx="450">
                  <c:v>32</c:v>
                </c:pt>
                <c:pt idx="451">
                  <c:v>33</c:v>
                </c:pt>
                <c:pt idx="452">
                  <c:v>38</c:v>
                </c:pt>
                <c:pt idx="453">
                  <c:v>35</c:v>
                </c:pt>
                <c:pt idx="454">
                  <c:v>26</c:v>
                </c:pt>
                <c:pt idx="455">
                  <c:v>24</c:v>
                </c:pt>
                <c:pt idx="456">
                  <c:v>24</c:v>
                </c:pt>
                <c:pt idx="457">
                  <c:v>31</c:v>
                </c:pt>
                <c:pt idx="458">
                  <c:v>26</c:v>
                </c:pt>
                <c:pt idx="459">
                  <c:v>21</c:v>
                </c:pt>
                <c:pt idx="460">
                  <c:v>23</c:v>
                </c:pt>
                <c:pt idx="461">
                  <c:v>28</c:v>
                </c:pt>
                <c:pt idx="462">
                  <c:v>22</c:v>
                </c:pt>
                <c:pt idx="463">
                  <c:v>25</c:v>
                </c:pt>
                <c:pt idx="464">
                  <c:v>23</c:v>
                </c:pt>
                <c:pt idx="465">
                  <c:v>22</c:v>
                </c:pt>
                <c:pt idx="466">
                  <c:v>20</c:v>
                </c:pt>
                <c:pt idx="467">
                  <c:v>32</c:v>
                </c:pt>
                <c:pt idx="468">
                  <c:v>32</c:v>
                </c:pt>
                <c:pt idx="469">
                  <c:v>38</c:v>
                </c:pt>
                <c:pt idx="470">
                  <c:v>40</c:v>
                </c:pt>
                <c:pt idx="471">
                  <c:v>33</c:v>
                </c:pt>
                <c:pt idx="472">
                  <c:v>38</c:v>
                </c:pt>
                <c:pt idx="473">
                  <c:v>31</c:v>
                </c:pt>
                <c:pt idx="474">
                  <c:v>24</c:v>
                </c:pt>
                <c:pt idx="475">
                  <c:v>28</c:v>
                </c:pt>
                <c:pt idx="476">
                  <c:v>30</c:v>
                </c:pt>
                <c:pt idx="477">
                  <c:v>30</c:v>
                </c:pt>
                <c:pt idx="478">
                  <c:v>39</c:v>
                </c:pt>
                <c:pt idx="479">
                  <c:v>25</c:v>
                </c:pt>
                <c:pt idx="480">
                  <c:v>28</c:v>
                </c:pt>
                <c:pt idx="481">
                  <c:v>38</c:v>
                </c:pt>
                <c:pt idx="482">
                  <c:v>37</c:v>
                </c:pt>
                <c:pt idx="483">
                  <c:v>32</c:v>
                </c:pt>
                <c:pt idx="484">
                  <c:v>27</c:v>
                </c:pt>
                <c:pt idx="485">
                  <c:v>32</c:v>
                </c:pt>
                <c:pt idx="486">
                  <c:v>36</c:v>
                </c:pt>
                <c:pt idx="487">
                  <c:v>28</c:v>
                </c:pt>
                <c:pt idx="488">
                  <c:v>31</c:v>
                </c:pt>
                <c:pt idx="489">
                  <c:v>28</c:v>
                </c:pt>
                <c:pt idx="490">
                  <c:v>28</c:v>
                </c:pt>
                <c:pt idx="491">
                  <c:v>36</c:v>
                </c:pt>
                <c:pt idx="492">
                  <c:v>37</c:v>
                </c:pt>
                <c:pt idx="493">
                  <c:v>31</c:v>
                </c:pt>
                <c:pt idx="494">
                  <c:v>27</c:v>
                </c:pt>
                <c:pt idx="495">
                  <c:v>26</c:v>
                </c:pt>
                <c:pt idx="496">
                  <c:v>38</c:v>
                </c:pt>
                <c:pt idx="497">
                  <c:v>34</c:v>
                </c:pt>
                <c:pt idx="498">
                  <c:v>30</c:v>
                </c:pt>
                <c:pt idx="499">
                  <c:v>28</c:v>
                </c:pt>
                <c:pt idx="500">
                  <c:v>47</c:v>
                </c:pt>
                <c:pt idx="501">
                  <c:v>28</c:v>
                </c:pt>
                <c:pt idx="502">
                  <c:v>28</c:v>
                </c:pt>
                <c:pt idx="503">
                  <c:v>32</c:v>
                </c:pt>
                <c:pt idx="504">
                  <c:v>41</c:v>
                </c:pt>
                <c:pt idx="505">
                  <c:v>38</c:v>
                </c:pt>
                <c:pt idx="506">
                  <c:v>28</c:v>
                </c:pt>
                <c:pt idx="507">
                  <c:v>38</c:v>
                </c:pt>
                <c:pt idx="508">
                  <c:v>34</c:v>
                </c:pt>
                <c:pt idx="509">
                  <c:v>23</c:v>
                </c:pt>
                <c:pt idx="510">
                  <c:v>38</c:v>
                </c:pt>
                <c:pt idx="511">
                  <c:v>37</c:v>
                </c:pt>
                <c:pt idx="512">
                  <c:v>27</c:v>
                </c:pt>
                <c:pt idx="513">
                  <c:v>32</c:v>
                </c:pt>
                <c:pt idx="514">
                  <c:v>35</c:v>
                </c:pt>
                <c:pt idx="515">
                  <c:v>42</c:v>
                </c:pt>
                <c:pt idx="516">
                  <c:v>28</c:v>
                </c:pt>
                <c:pt idx="517">
                  <c:v>36</c:v>
                </c:pt>
                <c:pt idx="518">
                  <c:v>28</c:v>
                </c:pt>
                <c:pt idx="519">
                  <c:v>32</c:v>
                </c:pt>
                <c:pt idx="520">
                  <c:v>29</c:v>
                </c:pt>
                <c:pt idx="521">
                  <c:v>30</c:v>
                </c:pt>
                <c:pt idx="522">
                  <c:v>38</c:v>
                </c:pt>
                <c:pt idx="523">
                  <c:v>34</c:v>
                </c:pt>
                <c:pt idx="524">
                  <c:v>42</c:v>
                </c:pt>
                <c:pt idx="525">
                  <c:v>35</c:v>
                </c:pt>
                <c:pt idx="526">
                  <c:v>29</c:v>
                </c:pt>
                <c:pt idx="527">
                  <c:v>29</c:v>
                </c:pt>
                <c:pt idx="528">
                  <c:v>30</c:v>
                </c:pt>
                <c:pt idx="529">
                  <c:v>34</c:v>
                </c:pt>
                <c:pt idx="530">
                  <c:v>30</c:v>
                </c:pt>
                <c:pt idx="531">
                  <c:v>33</c:v>
                </c:pt>
                <c:pt idx="532">
                  <c:v>29</c:v>
                </c:pt>
                <c:pt idx="533">
                  <c:v>34</c:v>
                </c:pt>
                <c:pt idx="534">
                  <c:v>34</c:v>
                </c:pt>
                <c:pt idx="535">
                  <c:v>30</c:v>
                </c:pt>
                <c:pt idx="536">
                  <c:v>33</c:v>
                </c:pt>
                <c:pt idx="537">
                  <c:v>39</c:v>
                </c:pt>
                <c:pt idx="538">
                  <c:v>34</c:v>
                </c:pt>
                <c:pt idx="539">
                  <c:v>27</c:v>
                </c:pt>
                <c:pt idx="540">
                  <c:v>25</c:v>
                </c:pt>
                <c:pt idx="541">
                  <c:v>28</c:v>
                </c:pt>
                <c:pt idx="542">
                  <c:v>29</c:v>
                </c:pt>
                <c:pt idx="543">
                  <c:v>34</c:v>
                </c:pt>
                <c:pt idx="544">
                  <c:v>40</c:v>
                </c:pt>
                <c:pt idx="545">
                  <c:v>30</c:v>
                </c:pt>
                <c:pt idx="546">
                  <c:v>40</c:v>
                </c:pt>
                <c:pt idx="547">
                  <c:v>31</c:v>
                </c:pt>
                <c:pt idx="548">
                  <c:v>40</c:v>
                </c:pt>
                <c:pt idx="549">
                  <c:v>31</c:v>
                </c:pt>
                <c:pt idx="550">
                  <c:v>28</c:v>
                </c:pt>
                <c:pt idx="551">
                  <c:v>35</c:v>
                </c:pt>
                <c:pt idx="552">
                  <c:v>38</c:v>
                </c:pt>
                <c:pt idx="553">
                  <c:v>34</c:v>
                </c:pt>
                <c:pt idx="554">
                  <c:v>38</c:v>
                </c:pt>
                <c:pt idx="555">
                  <c:v>38</c:v>
                </c:pt>
                <c:pt idx="556">
                  <c:v>33</c:v>
                </c:pt>
                <c:pt idx="557">
                  <c:v>34</c:v>
                </c:pt>
                <c:pt idx="558">
                  <c:v>32</c:v>
                </c:pt>
                <c:pt idx="559">
                  <c:v>34</c:v>
                </c:pt>
                <c:pt idx="560">
                  <c:v>34</c:v>
                </c:pt>
                <c:pt idx="561">
                  <c:v>33</c:v>
                </c:pt>
                <c:pt idx="562">
                  <c:v>32</c:v>
                </c:pt>
                <c:pt idx="563">
                  <c:v>48</c:v>
                </c:pt>
                <c:pt idx="564">
                  <c:v>48</c:v>
                </c:pt>
                <c:pt idx="565">
                  <c:v>36</c:v>
                </c:pt>
                <c:pt idx="566">
                  <c:v>38</c:v>
                </c:pt>
                <c:pt idx="567">
                  <c:v>38</c:v>
                </c:pt>
                <c:pt idx="568">
                  <c:v>33</c:v>
                </c:pt>
                <c:pt idx="569">
                  <c:v>34</c:v>
                </c:pt>
                <c:pt idx="570">
                  <c:v>32</c:v>
                </c:pt>
                <c:pt idx="571">
                  <c:v>34</c:v>
                </c:pt>
                <c:pt idx="572">
                  <c:v>22</c:v>
                </c:pt>
                <c:pt idx="573">
                  <c:v>34</c:v>
                </c:pt>
                <c:pt idx="574">
                  <c:v>33</c:v>
                </c:pt>
                <c:pt idx="575">
                  <c:v>32</c:v>
                </c:pt>
                <c:pt idx="576">
                  <c:v>48</c:v>
                </c:pt>
                <c:pt idx="577">
                  <c:v>35</c:v>
                </c:pt>
                <c:pt idx="578">
                  <c:v>48</c:v>
                </c:pt>
                <c:pt idx="579">
                  <c:v>36</c:v>
                </c:pt>
                <c:pt idx="580">
                  <c:v>47</c:v>
                </c:pt>
                <c:pt idx="581">
                  <c:v>36</c:v>
                </c:pt>
                <c:pt idx="582">
                  <c:v>30</c:v>
                </c:pt>
                <c:pt idx="583">
                  <c:v>38</c:v>
                </c:pt>
                <c:pt idx="584">
                  <c:v>35</c:v>
                </c:pt>
                <c:pt idx="585">
                  <c:v>44</c:v>
                </c:pt>
                <c:pt idx="586">
                  <c:v>35</c:v>
                </c:pt>
                <c:pt idx="587">
                  <c:v>27</c:v>
                </c:pt>
                <c:pt idx="588">
                  <c:v>38</c:v>
                </c:pt>
                <c:pt idx="589">
                  <c:v>35</c:v>
                </c:pt>
                <c:pt idx="590">
                  <c:v>24</c:v>
                </c:pt>
                <c:pt idx="591">
                  <c:v>35</c:v>
                </c:pt>
                <c:pt idx="592">
                  <c:v>42</c:v>
                </c:pt>
                <c:pt idx="593">
                  <c:v>34</c:v>
                </c:pt>
                <c:pt idx="594">
                  <c:v>38</c:v>
                </c:pt>
                <c:pt idx="595">
                  <c:v>24</c:v>
                </c:pt>
                <c:pt idx="596">
                  <c:v>32</c:v>
                </c:pt>
                <c:pt idx="597">
                  <c:v>26</c:v>
                </c:pt>
                <c:pt idx="598">
                  <c:v>31.5</c:v>
                </c:pt>
                <c:pt idx="599">
                  <c:v>33</c:v>
                </c:pt>
                <c:pt idx="600">
                  <c:v>31</c:v>
                </c:pt>
                <c:pt idx="601">
                  <c:v>28</c:v>
                </c:pt>
                <c:pt idx="602">
                  <c:v>30</c:v>
                </c:pt>
                <c:pt idx="603">
                  <c:v>42</c:v>
                </c:pt>
                <c:pt idx="604">
                  <c:v>36</c:v>
                </c:pt>
                <c:pt idx="605">
                  <c:v>34</c:v>
                </c:pt>
                <c:pt idx="606">
                  <c:v>40</c:v>
                </c:pt>
                <c:pt idx="607">
                  <c:v>28</c:v>
                </c:pt>
                <c:pt idx="608">
                  <c:v>28</c:v>
                </c:pt>
                <c:pt idx="609">
                  <c:v>40</c:v>
                </c:pt>
                <c:pt idx="610">
                  <c:v>31</c:v>
                </c:pt>
                <c:pt idx="611">
                  <c:v>32</c:v>
                </c:pt>
                <c:pt idx="612">
                  <c:v>37</c:v>
                </c:pt>
                <c:pt idx="613">
                  <c:v>35</c:v>
                </c:pt>
                <c:pt idx="614">
                  <c:v>42</c:v>
                </c:pt>
                <c:pt idx="615">
                  <c:v>31</c:v>
                </c:pt>
                <c:pt idx="616">
                  <c:v>32</c:v>
                </c:pt>
                <c:pt idx="617">
                  <c:v>31</c:v>
                </c:pt>
                <c:pt idx="618">
                  <c:v>32</c:v>
                </c:pt>
                <c:pt idx="619">
                  <c:v>33</c:v>
                </c:pt>
                <c:pt idx="620">
                  <c:v>29</c:v>
                </c:pt>
                <c:pt idx="621">
                  <c:v>28</c:v>
                </c:pt>
                <c:pt idx="622">
                  <c:v>25</c:v>
                </c:pt>
                <c:pt idx="623">
                  <c:v>27</c:v>
                </c:pt>
                <c:pt idx="624">
                  <c:v>28</c:v>
                </c:pt>
                <c:pt idx="625">
                  <c:v>30</c:v>
                </c:pt>
                <c:pt idx="626">
                  <c:v>34</c:v>
                </c:pt>
                <c:pt idx="627">
                  <c:v>31</c:v>
                </c:pt>
                <c:pt idx="628">
                  <c:v>24</c:v>
                </c:pt>
                <c:pt idx="629">
                  <c:v>31</c:v>
                </c:pt>
                <c:pt idx="630">
                  <c:v>25</c:v>
                </c:pt>
                <c:pt idx="631">
                  <c:v>28</c:v>
                </c:pt>
                <c:pt idx="632">
                  <c:v>21</c:v>
                </c:pt>
                <c:pt idx="633">
                  <c:v>35</c:v>
                </c:pt>
                <c:pt idx="634">
                  <c:v>37</c:v>
                </c:pt>
                <c:pt idx="635">
                  <c:v>35</c:v>
                </c:pt>
                <c:pt idx="636">
                  <c:v>37</c:v>
                </c:pt>
                <c:pt idx="637">
                  <c:v>31</c:v>
                </c:pt>
                <c:pt idx="638">
                  <c:v>30</c:v>
                </c:pt>
                <c:pt idx="639">
                  <c:v>35</c:v>
                </c:pt>
                <c:pt idx="640">
                  <c:v>32</c:v>
                </c:pt>
                <c:pt idx="641">
                  <c:v>42</c:v>
                </c:pt>
                <c:pt idx="642">
                  <c:v>32</c:v>
                </c:pt>
                <c:pt idx="643">
                  <c:v>28</c:v>
                </c:pt>
                <c:pt idx="644">
                  <c:v>32</c:v>
                </c:pt>
                <c:pt idx="645">
                  <c:v>34</c:v>
                </c:pt>
                <c:pt idx="646">
                  <c:v>32</c:v>
                </c:pt>
                <c:pt idx="647">
                  <c:v>34</c:v>
                </c:pt>
                <c:pt idx="648">
                  <c:v>29</c:v>
                </c:pt>
                <c:pt idx="649">
                  <c:v>31</c:v>
                </c:pt>
                <c:pt idx="650">
                  <c:v>29</c:v>
                </c:pt>
                <c:pt idx="651">
                  <c:v>34</c:v>
                </c:pt>
                <c:pt idx="652">
                  <c:v>32</c:v>
                </c:pt>
                <c:pt idx="653">
                  <c:v>35</c:v>
                </c:pt>
                <c:pt idx="654">
                  <c:v>29</c:v>
                </c:pt>
                <c:pt idx="655">
                  <c:v>22</c:v>
                </c:pt>
                <c:pt idx="656">
                  <c:v>29</c:v>
                </c:pt>
                <c:pt idx="657">
                  <c:v>34</c:v>
                </c:pt>
                <c:pt idx="658">
                  <c:v>29</c:v>
                </c:pt>
                <c:pt idx="659">
                  <c:v>36</c:v>
                </c:pt>
                <c:pt idx="660">
                  <c:v>34</c:v>
                </c:pt>
                <c:pt idx="661">
                  <c:v>33</c:v>
                </c:pt>
                <c:pt idx="662">
                  <c:v>37</c:v>
                </c:pt>
                <c:pt idx="663">
                  <c:v>26</c:v>
                </c:pt>
                <c:pt idx="664">
                  <c:v>32</c:v>
                </c:pt>
                <c:pt idx="665">
                  <c:v>32</c:v>
                </c:pt>
                <c:pt idx="666">
                  <c:v>30</c:v>
                </c:pt>
                <c:pt idx="667">
                  <c:v>29.5</c:v>
                </c:pt>
                <c:pt idx="668">
                  <c:v>28.3</c:v>
                </c:pt>
                <c:pt idx="669">
                  <c:v>30</c:v>
                </c:pt>
                <c:pt idx="670">
                  <c:v>31</c:v>
                </c:pt>
                <c:pt idx="671">
                  <c:v>26</c:v>
                </c:pt>
                <c:pt idx="672">
                  <c:v>31</c:v>
                </c:pt>
                <c:pt idx="673">
                  <c:v>30</c:v>
                </c:pt>
                <c:pt idx="674">
                  <c:v>32</c:v>
                </c:pt>
                <c:pt idx="675">
                  <c:v>34</c:v>
                </c:pt>
                <c:pt idx="676">
                  <c:v>29</c:v>
                </c:pt>
                <c:pt idx="677">
                  <c:v>33</c:v>
                </c:pt>
                <c:pt idx="678">
                  <c:v>32</c:v>
                </c:pt>
                <c:pt idx="679">
                  <c:v>35</c:v>
                </c:pt>
                <c:pt idx="680">
                  <c:v>247</c:v>
                </c:pt>
                <c:pt idx="681">
                  <c:v>28</c:v>
                </c:pt>
                <c:pt idx="682">
                  <c:v>31</c:v>
                </c:pt>
                <c:pt idx="683">
                  <c:v>31</c:v>
                </c:pt>
                <c:pt idx="684">
                  <c:v>41</c:v>
                </c:pt>
                <c:pt idx="685">
                  <c:v>32</c:v>
                </c:pt>
                <c:pt idx="686">
                  <c:v>31</c:v>
                </c:pt>
                <c:pt idx="687">
                  <c:v>41</c:v>
                </c:pt>
                <c:pt idx="688">
                  <c:v>32</c:v>
                </c:pt>
                <c:pt idx="689">
                  <c:v>31</c:v>
                </c:pt>
                <c:pt idx="690">
                  <c:v>41</c:v>
                </c:pt>
                <c:pt idx="691">
                  <c:v>32</c:v>
                </c:pt>
                <c:pt idx="692">
                  <c:v>29</c:v>
                </c:pt>
                <c:pt idx="693">
                  <c:v>41</c:v>
                </c:pt>
                <c:pt idx="694">
                  <c:v>28</c:v>
                </c:pt>
                <c:pt idx="695">
                  <c:v>33</c:v>
                </c:pt>
                <c:pt idx="696">
                  <c:v>34</c:v>
                </c:pt>
                <c:pt idx="697">
                  <c:v>41</c:v>
                </c:pt>
                <c:pt idx="698">
                  <c:v>41</c:v>
                </c:pt>
                <c:pt idx="699">
                  <c:v>41</c:v>
                </c:pt>
                <c:pt idx="700">
                  <c:v>32</c:v>
                </c:pt>
                <c:pt idx="701">
                  <c:v>40</c:v>
                </c:pt>
                <c:pt idx="702">
                  <c:v>29</c:v>
                </c:pt>
                <c:pt idx="703">
                  <c:v>42</c:v>
                </c:pt>
                <c:pt idx="704">
                  <c:v>36</c:v>
                </c:pt>
                <c:pt idx="705">
                  <c:v>42</c:v>
                </c:pt>
                <c:pt idx="706">
                  <c:v>28</c:v>
                </c:pt>
                <c:pt idx="707">
                  <c:v>30</c:v>
                </c:pt>
                <c:pt idx="708">
                  <c:v>36</c:v>
                </c:pt>
                <c:pt idx="709">
                  <c:v>34</c:v>
                </c:pt>
                <c:pt idx="710">
                  <c:v>28</c:v>
                </c:pt>
                <c:pt idx="711">
                  <c:v>35</c:v>
                </c:pt>
                <c:pt idx="712">
                  <c:v>36</c:v>
                </c:pt>
                <c:pt idx="713">
                  <c:v>33</c:v>
                </c:pt>
                <c:pt idx="714">
                  <c:v>33</c:v>
                </c:pt>
                <c:pt idx="715">
                  <c:v>32</c:v>
                </c:pt>
                <c:pt idx="716">
                  <c:v>31</c:v>
                </c:pt>
                <c:pt idx="717">
                  <c:v>35</c:v>
                </c:pt>
                <c:pt idx="718">
                  <c:v>34</c:v>
                </c:pt>
                <c:pt idx="719">
                  <c:v>39</c:v>
                </c:pt>
                <c:pt idx="720">
                  <c:v>32</c:v>
                </c:pt>
                <c:pt idx="721">
                  <c:v>28</c:v>
                </c:pt>
                <c:pt idx="722">
                  <c:v>38</c:v>
                </c:pt>
                <c:pt idx="723">
                  <c:v>40</c:v>
                </c:pt>
                <c:pt idx="724">
                  <c:v>37</c:v>
                </c:pt>
                <c:pt idx="725">
                  <c:v>29</c:v>
                </c:pt>
                <c:pt idx="726">
                  <c:v>27</c:v>
                </c:pt>
                <c:pt idx="727">
                  <c:v>49</c:v>
                </c:pt>
                <c:pt idx="728">
                  <c:v>35</c:v>
                </c:pt>
                <c:pt idx="729">
                  <c:v>37</c:v>
                </c:pt>
                <c:pt idx="730">
                  <c:v>32</c:v>
                </c:pt>
                <c:pt idx="731">
                  <c:v>30</c:v>
                </c:pt>
                <c:pt idx="732">
                  <c:v>39</c:v>
                </c:pt>
                <c:pt idx="733">
                  <c:v>35</c:v>
                </c:pt>
                <c:pt idx="734">
                  <c:v>35</c:v>
                </c:pt>
                <c:pt idx="735">
                  <c:v>34</c:v>
                </c:pt>
                <c:pt idx="736">
                  <c:v>45</c:v>
                </c:pt>
                <c:pt idx="737">
                  <c:v>38</c:v>
                </c:pt>
                <c:pt idx="738">
                  <c:v>31</c:v>
                </c:pt>
                <c:pt idx="739">
                  <c:v>32</c:v>
                </c:pt>
                <c:pt idx="740">
                  <c:v>32</c:v>
                </c:pt>
                <c:pt idx="741">
                  <c:v>34</c:v>
                </c:pt>
                <c:pt idx="742">
                  <c:v>32</c:v>
                </c:pt>
                <c:pt idx="743">
                  <c:v>34</c:v>
                </c:pt>
                <c:pt idx="744">
                  <c:v>39</c:v>
                </c:pt>
                <c:pt idx="745">
                  <c:v>33</c:v>
                </c:pt>
                <c:pt idx="746">
                  <c:v>40</c:v>
                </c:pt>
                <c:pt idx="747">
                  <c:v>39</c:v>
                </c:pt>
                <c:pt idx="748">
                  <c:v>42</c:v>
                </c:pt>
                <c:pt idx="749">
                  <c:v>37</c:v>
                </c:pt>
                <c:pt idx="750">
                  <c:v>40</c:v>
                </c:pt>
                <c:pt idx="751">
                  <c:v>31</c:v>
                </c:pt>
                <c:pt idx="752">
                  <c:v>35</c:v>
                </c:pt>
                <c:pt idx="753">
                  <c:v>34</c:v>
                </c:pt>
                <c:pt idx="754">
                  <c:v>33</c:v>
                </c:pt>
                <c:pt idx="755">
                  <c:v>43</c:v>
                </c:pt>
                <c:pt idx="756">
                  <c:v>39</c:v>
                </c:pt>
                <c:pt idx="757">
                  <c:v>35</c:v>
                </c:pt>
                <c:pt idx="758">
                  <c:v>49</c:v>
                </c:pt>
                <c:pt idx="759">
                  <c:v>28</c:v>
                </c:pt>
                <c:pt idx="760">
                  <c:v>34</c:v>
                </c:pt>
                <c:pt idx="761">
                  <c:v>24</c:v>
                </c:pt>
                <c:pt idx="762">
                  <c:v>30</c:v>
                </c:pt>
                <c:pt idx="763">
                  <c:v>32</c:v>
                </c:pt>
                <c:pt idx="764">
                  <c:v>33</c:v>
                </c:pt>
                <c:pt idx="765">
                  <c:v>35</c:v>
                </c:pt>
                <c:pt idx="766">
                  <c:v>37</c:v>
                </c:pt>
                <c:pt idx="767">
                  <c:v>29</c:v>
                </c:pt>
                <c:pt idx="768">
                  <c:v>40</c:v>
                </c:pt>
                <c:pt idx="769">
                  <c:v>44</c:v>
                </c:pt>
                <c:pt idx="770">
                  <c:v>33</c:v>
                </c:pt>
                <c:pt idx="771">
                  <c:v>36</c:v>
                </c:pt>
                <c:pt idx="772">
                  <c:v>36</c:v>
                </c:pt>
                <c:pt idx="773">
                  <c:v>39</c:v>
                </c:pt>
                <c:pt idx="774">
                  <c:v>29</c:v>
                </c:pt>
                <c:pt idx="775">
                  <c:v>42</c:v>
                </c:pt>
                <c:pt idx="776">
                  <c:v>40</c:v>
                </c:pt>
                <c:pt idx="777">
                  <c:v>39</c:v>
                </c:pt>
                <c:pt idx="778">
                  <c:v>33</c:v>
                </c:pt>
                <c:pt idx="779">
                  <c:v>20</c:v>
                </c:pt>
                <c:pt idx="780">
                  <c:v>36</c:v>
                </c:pt>
                <c:pt idx="781">
                  <c:v>30</c:v>
                </c:pt>
                <c:pt idx="782">
                  <c:v>43</c:v>
                </c:pt>
                <c:pt idx="783">
                  <c:v>31</c:v>
                </c:pt>
                <c:pt idx="784">
                  <c:v>29</c:v>
                </c:pt>
                <c:pt idx="785">
                  <c:v>28</c:v>
                </c:pt>
                <c:pt idx="786">
                  <c:v>35</c:v>
                </c:pt>
                <c:pt idx="787">
                  <c:v>32</c:v>
                </c:pt>
                <c:pt idx="788">
                  <c:v>35</c:v>
                </c:pt>
                <c:pt idx="789">
                  <c:v>33</c:v>
                </c:pt>
                <c:pt idx="790">
                  <c:v>29</c:v>
                </c:pt>
                <c:pt idx="791">
                  <c:v>31</c:v>
                </c:pt>
                <c:pt idx="792">
                  <c:v>34</c:v>
                </c:pt>
                <c:pt idx="793">
                  <c:v>31</c:v>
                </c:pt>
                <c:pt idx="794">
                  <c:v>32</c:v>
                </c:pt>
                <c:pt idx="795">
                  <c:v>32</c:v>
                </c:pt>
                <c:pt idx="796">
                  <c:v>41</c:v>
                </c:pt>
                <c:pt idx="797">
                  <c:v>27</c:v>
                </c:pt>
                <c:pt idx="798">
                  <c:v>32</c:v>
                </c:pt>
                <c:pt idx="799">
                  <c:v>29</c:v>
                </c:pt>
                <c:pt idx="800">
                  <c:v>37</c:v>
                </c:pt>
                <c:pt idx="801">
                  <c:v>38</c:v>
                </c:pt>
                <c:pt idx="802">
                  <c:v>35</c:v>
                </c:pt>
                <c:pt idx="803">
                  <c:v>37</c:v>
                </c:pt>
                <c:pt idx="804">
                  <c:v>37</c:v>
                </c:pt>
                <c:pt idx="805">
                  <c:v>36</c:v>
                </c:pt>
                <c:pt idx="806">
                  <c:v>34</c:v>
                </c:pt>
                <c:pt idx="807">
                  <c:v>42</c:v>
                </c:pt>
                <c:pt idx="808">
                  <c:v>29</c:v>
                </c:pt>
                <c:pt idx="809">
                  <c:v>37</c:v>
                </c:pt>
                <c:pt idx="810">
                  <c:v>28</c:v>
                </c:pt>
                <c:pt idx="811">
                  <c:v>32</c:v>
                </c:pt>
                <c:pt idx="812">
                  <c:v>36</c:v>
                </c:pt>
                <c:pt idx="813">
                  <c:v>37</c:v>
                </c:pt>
                <c:pt idx="814">
                  <c:v>34</c:v>
                </c:pt>
                <c:pt idx="815">
                  <c:v>34</c:v>
                </c:pt>
                <c:pt idx="816">
                  <c:v>38</c:v>
                </c:pt>
                <c:pt idx="817">
                  <c:v>38</c:v>
                </c:pt>
                <c:pt idx="818">
                  <c:v>38</c:v>
                </c:pt>
                <c:pt idx="819">
                  <c:v>38</c:v>
                </c:pt>
                <c:pt idx="820">
                  <c:v>31.3</c:v>
                </c:pt>
                <c:pt idx="821">
                  <c:v>36</c:v>
                </c:pt>
                <c:pt idx="822">
                  <c:v>32</c:v>
                </c:pt>
                <c:pt idx="823">
                  <c:v>30</c:v>
                </c:pt>
                <c:pt idx="824">
                  <c:v>27</c:v>
                </c:pt>
                <c:pt idx="825">
                  <c:v>37.700000000000003</c:v>
                </c:pt>
                <c:pt idx="826">
                  <c:v>36</c:v>
                </c:pt>
                <c:pt idx="827">
                  <c:v>39</c:v>
                </c:pt>
                <c:pt idx="828">
                  <c:v>41</c:v>
                </c:pt>
                <c:pt idx="829">
                  <c:v>33</c:v>
                </c:pt>
                <c:pt idx="830">
                  <c:v>37.700000000000003</c:v>
                </c:pt>
                <c:pt idx="831">
                  <c:v>33</c:v>
                </c:pt>
                <c:pt idx="832">
                  <c:v>32</c:v>
                </c:pt>
                <c:pt idx="833">
                  <c:v>38</c:v>
                </c:pt>
                <c:pt idx="834">
                  <c:v>35</c:v>
                </c:pt>
                <c:pt idx="835">
                  <c:v>36</c:v>
                </c:pt>
                <c:pt idx="836">
                  <c:v>29</c:v>
                </c:pt>
                <c:pt idx="837">
                  <c:v>32</c:v>
                </c:pt>
                <c:pt idx="838">
                  <c:v>36</c:v>
                </c:pt>
                <c:pt idx="839">
                  <c:v>39</c:v>
                </c:pt>
                <c:pt idx="840">
                  <c:v>34</c:v>
                </c:pt>
                <c:pt idx="841">
                  <c:v>33</c:v>
                </c:pt>
                <c:pt idx="842">
                  <c:v>36</c:v>
                </c:pt>
                <c:pt idx="843">
                  <c:v>35</c:v>
                </c:pt>
                <c:pt idx="844">
                  <c:v>40</c:v>
                </c:pt>
                <c:pt idx="845">
                  <c:v>34</c:v>
                </c:pt>
                <c:pt idx="846">
                  <c:v>35</c:v>
                </c:pt>
                <c:pt idx="847">
                  <c:v>36</c:v>
                </c:pt>
                <c:pt idx="848">
                  <c:v>45</c:v>
                </c:pt>
                <c:pt idx="849">
                  <c:v>36</c:v>
                </c:pt>
                <c:pt idx="850">
                  <c:v>35</c:v>
                </c:pt>
                <c:pt idx="851">
                  <c:v>33</c:v>
                </c:pt>
                <c:pt idx="852">
                  <c:v>32</c:v>
                </c:pt>
                <c:pt idx="853">
                  <c:v>27</c:v>
                </c:pt>
                <c:pt idx="854">
                  <c:v>30</c:v>
                </c:pt>
                <c:pt idx="855">
                  <c:v>33</c:v>
                </c:pt>
                <c:pt idx="856">
                  <c:v>33</c:v>
                </c:pt>
                <c:pt idx="857">
                  <c:v>42</c:v>
                </c:pt>
                <c:pt idx="858">
                  <c:v>32</c:v>
                </c:pt>
                <c:pt idx="859">
                  <c:v>32</c:v>
                </c:pt>
                <c:pt idx="860">
                  <c:v>35</c:v>
                </c:pt>
                <c:pt idx="861">
                  <c:v>32</c:v>
                </c:pt>
                <c:pt idx="862">
                  <c:v>28</c:v>
                </c:pt>
                <c:pt idx="863">
                  <c:v>40</c:v>
                </c:pt>
                <c:pt idx="864">
                  <c:v>26</c:v>
                </c:pt>
                <c:pt idx="865">
                  <c:v>14.2</c:v>
                </c:pt>
                <c:pt idx="866">
                  <c:v>19.3</c:v>
                </c:pt>
                <c:pt idx="867">
                  <c:v>18.399999999999999</c:v>
                </c:pt>
                <c:pt idx="868">
                  <c:v>21.2</c:v>
                </c:pt>
                <c:pt idx="869">
                  <c:v>18.100000000000001</c:v>
                </c:pt>
                <c:pt idx="870">
                  <c:v>33</c:v>
                </c:pt>
                <c:pt idx="871">
                  <c:v>31</c:v>
                </c:pt>
                <c:pt idx="872">
                  <c:v>41</c:v>
                </c:pt>
                <c:pt idx="873">
                  <c:v>36</c:v>
                </c:pt>
                <c:pt idx="874">
                  <c:v>31</c:v>
                </c:pt>
                <c:pt idx="875">
                  <c:v>33</c:v>
                </c:pt>
                <c:pt idx="876">
                  <c:v>31</c:v>
                </c:pt>
                <c:pt idx="877">
                  <c:v>39</c:v>
                </c:pt>
                <c:pt idx="878">
                  <c:v>31.9</c:v>
                </c:pt>
                <c:pt idx="879">
                  <c:v>32</c:v>
                </c:pt>
                <c:pt idx="880">
                  <c:v>36</c:v>
                </c:pt>
                <c:pt idx="881">
                  <c:v>34</c:v>
                </c:pt>
                <c:pt idx="882">
                  <c:v>31</c:v>
                </c:pt>
                <c:pt idx="883">
                  <c:v>31</c:v>
                </c:pt>
                <c:pt idx="884">
                  <c:v>38</c:v>
                </c:pt>
                <c:pt idx="885">
                  <c:v>43</c:v>
                </c:pt>
                <c:pt idx="886">
                  <c:v>32</c:v>
                </c:pt>
                <c:pt idx="887">
                  <c:v>29</c:v>
                </c:pt>
                <c:pt idx="888">
                  <c:v>28</c:v>
                </c:pt>
                <c:pt idx="889">
                  <c:v>26</c:v>
                </c:pt>
                <c:pt idx="890">
                  <c:v>34</c:v>
                </c:pt>
                <c:pt idx="891">
                  <c:v>33</c:v>
                </c:pt>
                <c:pt idx="892">
                  <c:v>31</c:v>
                </c:pt>
                <c:pt idx="893">
                  <c:v>34</c:v>
                </c:pt>
                <c:pt idx="894">
                  <c:v>32</c:v>
                </c:pt>
                <c:pt idx="895">
                  <c:v>29</c:v>
                </c:pt>
                <c:pt idx="896">
                  <c:v>29</c:v>
                </c:pt>
                <c:pt idx="897">
                  <c:v>30</c:v>
                </c:pt>
                <c:pt idx="898">
                  <c:v>32</c:v>
                </c:pt>
                <c:pt idx="899">
                  <c:v>33</c:v>
                </c:pt>
                <c:pt idx="900">
                  <c:v>34</c:v>
                </c:pt>
                <c:pt idx="901">
                  <c:v>35</c:v>
                </c:pt>
                <c:pt idx="902">
                  <c:v>31</c:v>
                </c:pt>
                <c:pt idx="903">
                  <c:v>25</c:v>
                </c:pt>
                <c:pt idx="904">
                  <c:v>40</c:v>
                </c:pt>
                <c:pt idx="905">
                  <c:v>38</c:v>
                </c:pt>
                <c:pt idx="906">
                  <c:v>37</c:v>
                </c:pt>
                <c:pt idx="907">
                  <c:v>28</c:v>
                </c:pt>
                <c:pt idx="908">
                  <c:v>36</c:v>
                </c:pt>
                <c:pt idx="909">
                  <c:v>32</c:v>
                </c:pt>
                <c:pt idx="910">
                  <c:v>38</c:v>
                </c:pt>
                <c:pt idx="911">
                  <c:v>36</c:v>
                </c:pt>
                <c:pt idx="912">
                  <c:v>32</c:v>
                </c:pt>
                <c:pt idx="913">
                  <c:v>40</c:v>
                </c:pt>
                <c:pt idx="914">
                  <c:v>32</c:v>
                </c:pt>
                <c:pt idx="915">
                  <c:v>33</c:v>
                </c:pt>
                <c:pt idx="916">
                  <c:v>35</c:v>
                </c:pt>
                <c:pt idx="917">
                  <c:v>28</c:v>
                </c:pt>
                <c:pt idx="918">
                  <c:v>31</c:v>
                </c:pt>
                <c:pt idx="919">
                  <c:v>28</c:v>
                </c:pt>
                <c:pt idx="920">
                  <c:v>32</c:v>
                </c:pt>
                <c:pt idx="921">
                  <c:v>30</c:v>
                </c:pt>
                <c:pt idx="922">
                  <c:v>29</c:v>
                </c:pt>
                <c:pt idx="923">
                  <c:v>41</c:v>
                </c:pt>
                <c:pt idx="924">
                  <c:v>34</c:v>
                </c:pt>
                <c:pt idx="925">
                  <c:v>31</c:v>
                </c:pt>
                <c:pt idx="926">
                  <c:v>30</c:v>
                </c:pt>
                <c:pt idx="927">
                  <c:v>36</c:v>
                </c:pt>
                <c:pt idx="928">
                  <c:v>29</c:v>
                </c:pt>
                <c:pt idx="929">
                  <c:v>38</c:v>
                </c:pt>
                <c:pt idx="930">
                  <c:v>31</c:v>
                </c:pt>
                <c:pt idx="931">
                  <c:v>30</c:v>
                </c:pt>
                <c:pt idx="932">
                  <c:v>45</c:v>
                </c:pt>
                <c:pt idx="933">
                  <c:v>37</c:v>
                </c:pt>
                <c:pt idx="934">
                  <c:v>36</c:v>
                </c:pt>
                <c:pt idx="935">
                  <c:v>35</c:v>
                </c:pt>
                <c:pt idx="936">
                  <c:v>38</c:v>
                </c:pt>
                <c:pt idx="937">
                  <c:v>31</c:v>
                </c:pt>
                <c:pt idx="938">
                  <c:v>32</c:v>
                </c:pt>
                <c:pt idx="939">
                  <c:v>32</c:v>
                </c:pt>
                <c:pt idx="940">
                  <c:v>36</c:v>
                </c:pt>
                <c:pt idx="941">
                  <c:v>30</c:v>
                </c:pt>
                <c:pt idx="942">
                  <c:v>38</c:v>
                </c:pt>
                <c:pt idx="943">
                  <c:v>34</c:v>
                </c:pt>
                <c:pt idx="944">
                  <c:v>30</c:v>
                </c:pt>
                <c:pt idx="945">
                  <c:v>32</c:v>
                </c:pt>
                <c:pt idx="946">
                  <c:v>36</c:v>
                </c:pt>
                <c:pt idx="947">
                  <c:v>38</c:v>
                </c:pt>
                <c:pt idx="948">
                  <c:v>35</c:v>
                </c:pt>
                <c:pt idx="949">
                  <c:v>45</c:v>
                </c:pt>
                <c:pt idx="950">
                  <c:v>45</c:v>
                </c:pt>
                <c:pt idx="951">
                  <c:v>39</c:v>
                </c:pt>
                <c:pt idx="952">
                  <c:v>41</c:v>
                </c:pt>
                <c:pt idx="953">
                  <c:v>23</c:v>
                </c:pt>
                <c:pt idx="954">
                  <c:v>31</c:v>
                </c:pt>
                <c:pt idx="955">
                  <c:v>30</c:v>
                </c:pt>
                <c:pt idx="956">
                  <c:v>36</c:v>
                </c:pt>
                <c:pt idx="957">
                  <c:v>34</c:v>
                </c:pt>
                <c:pt idx="958">
                  <c:v>35</c:v>
                </c:pt>
                <c:pt idx="959">
                  <c:v>35</c:v>
                </c:pt>
                <c:pt idx="960">
                  <c:v>35</c:v>
                </c:pt>
                <c:pt idx="961">
                  <c:v>32</c:v>
                </c:pt>
                <c:pt idx="962">
                  <c:v>31</c:v>
                </c:pt>
                <c:pt idx="963">
                  <c:v>31</c:v>
                </c:pt>
                <c:pt idx="964">
                  <c:v>30</c:v>
                </c:pt>
                <c:pt idx="965">
                  <c:v>31</c:v>
                </c:pt>
                <c:pt idx="966">
                  <c:v>38</c:v>
                </c:pt>
                <c:pt idx="967">
                  <c:v>31</c:v>
                </c:pt>
                <c:pt idx="968">
                  <c:v>36</c:v>
                </c:pt>
                <c:pt idx="969">
                  <c:v>33</c:v>
                </c:pt>
                <c:pt idx="970">
                  <c:v>30</c:v>
                </c:pt>
                <c:pt idx="971">
                  <c:v>39</c:v>
                </c:pt>
                <c:pt idx="972">
                  <c:v>38</c:v>
                </c:pt>
                <c:pt idx="973">
                  <c:v>42</c:v>
                </c:pt>
                <c:pt idx="974">
                  <c:v>40</c:v>
                </c:pt>
                <c:pt idx="975">
                  <c:v>32</c:v>
                </c:pt>
                <c:pt idx="976">
                  <c:v>30</c:v>
                </c:pt>
                <c:pt idx="977">
                  <c:v>34</c:v>
                </c:pt>
                <c:pt idx="978">
                  <c:v>34</c:v>
                </c:pt>
                <c:pt idx="979">
                  <c:v>42</c:v>
                </c:pt>
                <c:pt idx="980">
                  <c:v>34</c:v>
                </c:pt>
                <c:pt idx="981">
                  <c:v>41</c:v>
                </c:pt>
                <c:pt idx="982">
                  <c:v>36</c:v>
                </c:pt>
                <c:pt idx="983">
                  <c:v>32</c:v>
                </c:pt>
                <c:pt idx="984">
                  <c:v>32</c:v>
                </c:pt>
                <c:pt idx="985">
                  <c:v>29</c:v>
                </c:pt>
                <c:pt idx="986">
                  <c:v>35</c:v>
                </c:pt>
                <c:pt idx="987">
                  <c:v>32</c:v>
                </c:pt>
                <c:pt idx="988">
                  <c:v>32</c:v>
                </c:pt>
                <c:pt idx="989">
                  <c:v>28</c:v>
                </c:pt>
                <c:pt idx="990">
                  <c:v>30</c:v>
                </c:pt>
                <c:pt idx="991">
                  <c:v>34</c:v>
                </c:pt>
                <c:pt idx="992">
                  <c:v>34</c:v>
                </c:pt>
                <c:pt idx="993">
                  <c:v>29</c:v>
                </c:pt>
                <c:pt idx="994">
                  <c:v>31</c:v>
                </c:pt>
                <c:pt idx="995">
                  <c:v>39</c:v>
                </c:pt>
                <c:pt idx="996">
                  <c:v>27</c:v>
                </c:pt>
                <c:pt idx="997">
                  <c:v>37</c:v>
                </c:pt>
                <c:pt idx="998">
                  <c:v>46</c:v>
                </c:pt>
                <c:pt idx="999">
                  <c:v>29</c:v>
                </c:pt>
                <c:pt idx="1000">
                  <c:v>38</c:v>
                </c:pt>
                <c:pt idx="1001">
                  <c:v>48</c:v>
                </c:pt>
                <c:pt idx="1002">
                  <c:v>34</c:v>
                </c:pt>
                <c:pt idx="1003">
                  <c:v>42</c:v>
                </c:pt>
                <c:pt idx="1004">
                  <c:v>34</c:v>
                </c:pt>
                <c:pt idx="1005">
                  <c:v>38</c:v>
                </c:pt>
                <c:pt idx="1006">
                  <c:v>35</c:v>
                </c:pt>
                <c:pt idx="1007">
                  <c:v>35</c:v>
                </c:pt>
                <c:pt idx="1008">
                  <c:v>35</c:v>
                </c:pt>
                <c:pt idx="1009">
                  <c:v>35</c:v>
                </c:pt>
                <c:pt idx="1010">
                  <c:v>35</c:v>
                </c:pt>
                <c:pt idx="1011">
                  <c:v>25</c:v>
                </c:pt>
                <c:pt idx="1012">
                  <c:v>36</c:v>
                </c:pt>
                <c:pt idx="1013">
                  <c:v>32</c:v>
                </c:pt>
                <c:pt idx="1014">
                  <c:v>39</c:v>
                </c:pt>
                <c:pt idx="1015">
                  <c:v>35</c:v>
                </c:pt>
                <c:pt idx="1016">
                  <c:v>36</c:v>
                </c:pt>
                <c:pt idx="1017">
                  <c:v>38</c:v>
                </c:pt>
                <c:pt idx="1018">
                  <c:v>34</c:v>
                </c:pt>
                <c:pt idx="1019">
                  <c:v>38</c:v>
                </c:pt>
                <c:pt idx="1020">
                  <c:v>31</c:v>
                </c:pt>
                <c:pt idx="1021">
                  <c:v>35</c:v>
                </c:pt>
                <c:pt idx="1022">
                  <c:v>33</c:v>
                </c:pt>
                <c:pt idx="1023">
                  <c:v>42</c:v>
                </c:pt>
                <c:pt idx="1024">
                  <c:v>32</c:v>
                </c:pt>
                <c:pt idx="1025">
                  <c:v>38</c:v>
                </c:pt>
                <c:pt idx="1026">
                  <c:v>33</c:v>
                </c:pt>
                <c:pt idx="1027">
                  <c:v>26</c:v>
                </c:pt>
                <c:pt idx="1028">
                  <c:v>37</c:v>
                </c:pt>
                <c:pt idx="1029">
                  <c:v>48</c:v>
                </c:pt>
                <c:pt idx="1030">
                  <c:v>35</c:v>
                </c:pt>
                <c:pt idx="1031">
                  <c:v>37</c:v>
                </c:pt>
                <c:pt idx="1032">
                  <c:v>39</c:v>
                </c:pt>
                <c:pt idx="1033">
                  <c:v>32</c:v>
                </c:pt>
                <c:pt idx="1034">
                  <c:v>38</c:v>
                </c:pt>
                <c:pt idx="1035">
                  <c:v>47</c:v>
                </c:pt>
                <c:pt idx="1036">
                  <c:v>40</c:v>
                </c:pt>
                <c:pt idx="1037">
                  <c:v>29</c:v>
                </c:pt>
                <c:pt idx="1038">
                  <c:v>28</c:v>
                </c:pt>
                <c:pt idx="1039">
                  <c:v>39</c:v>
                </c:pt>
                <c:pt idx="1040">
                  <c:v>35</c:v>
                </c:pt>
                <c:pt idx="1041">
                  <c:v>38</c:v>
                </c:pt>
                <c:pt idx="1042">
                  <c:v>41</c:v>
                </c:pt>
                <c:pt idx="1043">
                  <c:v>36</c:v>
                </c:pt>
                <c:pt idx="1044">
                  <c:v>52</c:v>
                </c:pt>
                <c:pt idx="1045">
                  <c:v>45</c:v>
                </c:pt>
                <c:pt idx="1046">
                  <c:v>37</c:v>
                </c:pt>
                <c:pt idx="1047">
                  <c:v>35</c:v>
                </c:pt>
                <c:pt idx="1048">
                  <c:v>45</c:v>
                </c:pt>
                <c:pt idx="1049">
                  <c:v>38</c:v>
                </c:pt>
                <c:pt idx="1050">
                  <c:v>45</c:v>
                </c:pt>
                <c:pt idx="1051">
                  <c:v>43</c:v>
                </c:pt>
                <c:pt idx="1052">
                  <c:v>43</c:v>
                </c:pt>
                <c:pt idx="1053">
                  <c:v>40</c:v>
                </c:pt>
                <c:pt idx="1054">
                  <c:v>36</c:v>
                </c:pt>
                <c:pt idx="1055">
                  <c:v>35</c:v>
                </c:pt>
                <c:pt idx="1056">
                  <c:v>46</c:v>
                </c:pt>
                <c:pt idx="1057">
                  <c:v>38</c:v>
                </c:pt>
                <c:pt idx="1058">
                  <c:v>35</c:v>
                </c:pt>
                <c:pt idx="1059">
                  <c:v>36</c:v>
                </c:pt>
                <c:pt idx="1060">
                  <c:v>38</c:v>
                </c:pt>
                <c:pt idx="1061">
                  <c:v>42</c:v>
                </c:pt>
                <c:pt idx="1062">
                  <c:v>36</c:v>
                </c:pt>
                <c:pt idx="1063">
                  <c:v>37.6</c:v>
                </c:pt>
                <c:pt idx="1064">
                  <c:v>38</c:v>
                </c:pt>
                <c:pt idx="1065">
                  <c:v>32</c:v>
                </c:pt>
                <c:pt idx="1066">
                  <c:v>38</c:v>
                </c:pt>
                <c:pt idx="1067">
                  <c:v>39</c:v>
                </c:pt>
                <c:pt idx="1068">
                  <c:v>35</c:v>
                </c:pt>
                <c:pt idx="1069">
                  <c:v>38</c:v>
                </c:pt>
                <c:pt idx="1070">
                  <c:v>31</c:v>
                </c:pt>
                <c:pt idx="1071">
                  <c:v>34</c:v>
                </c:pt>
                <c:pt idx="1072">
                  <c:v>44</c:v>
                </c:pt>
                <c:pt idx="1073">
                  <c:v>40</c:v>
                </c:pt>
                <c:pt idx="1074">
                  <c:v>38</c:v>
                </c:pt>
                <c:pt idx="1075">
                  <c:v>37</c:v>
                </c:pt>
                <c:pt idx="1076">
                  <c:v>39</c:v>
                </c:pt>
                <c:pt idx="1077">
                  <c:v>36</c:v>
                </c:pt>
                <c:pt idx="1078">
                  <c:v>33</c:v>
                </c:pt>
                <c:pt idx="1079">
                  <c:v>30</c:v>
                </c:pt>
                <c:pt idx="1080">
                  <c:v>35</c:v>
                </c:pt>
                <c:pt idx="1081">
                  <c:v>36</c:v>
                </c:pt>
                <c:pt idx="1082">
                  <c:v>36</c:v>
                </c:pt>
                <c:pt idx="1083">
                  <c:v>39</c:v>
                </c:pt>
                <c:pt idx="1084">
                  <c:v>36</c:v>
                </c:pt>
                <c:pt idx="1085">
                  <c:v>32</c:v>
                </c:pt>
                <c:pt idx="1086">
                  <c:v>34</c:v>
                </c:pt>
                <c:pt idx="1087">
                  <c:v>32</c:v>
                </c:pt>
                <c:pt idx="1088">
                  <c:v>32</c:v>
                </c:pt>
                <c:pt idx="1089">
                  <c:v>29</c:v>
                </c:pt>
                <c:pt idx="1090">
                  <c:v>37</c:v>
                </c:pt>
                <c:pt idx="1091">
                  <c:v>33</c:v>
                </c:pt>
                <c:pt idx="1092">
                  <c:v>33</c:v>
                </c:pt>
                <c:pt idx="1093">
                  <c:v>32</c:v>
                </c:pt>
                <c:pt idx="1094">
                  <c:v>36</c:v>
                </c:pt>
                <c:pt idx="1095">
                  <c:v>38</c:v>
                </c:pt>
                <c:pt idx="1096">
                  <c:v>37</c:v>
                </c:pt>
                <c:pt idx="1097">
                  <c:v>38</c:v>
                </c:pt>
                <c:pt idx="1098">
                  <c:v>48</c:v>
                </c:pt>
                <c:pt idx="1099">
                  <c:v>36</c:v>
                </c:pt>
                <c:pt idx="1100">
                  <c:v>42</c:v>
                </c:pt>
                <c:pt idx="1101">
                  <c:v>38</c:v>
                </c:pt>
                <c:pt idx="1102">
                  <c:v>43</c:v>
                </c:pt>
                <c:pt idx="1103">
                  <c:v>40</c:v>
                </c:pt>
                <c:pt idx="1104">
                  <c:v>36</c:v>
                </c:pt>
                <c:pt idx="1105">
                  <c:v>39</c:v>
                </c:pt>
                <c:pt idx="1106">
                  <c:v>44</c:v>
                </c:pt>
                <c:pt idx="1107">
                  <c:v>26</c:v>
                </c:pt>
                <c:pt idx="1108">
                  <c:v>35</c:v>
                </c:pt>
                <c:pt idx="1109">
                  <c:v>29</c:v>
                </c:pt>
                <c:pt idx="1110">
                  <c:v>37</c:v>
                </c:pt>
                <c:pt idx="1111">
                  <c:v>30</c:v>
                </c:pt>
                <c:pt idx="1112">
                  <c:v>32</c:v>
                </c:pt>
                <c:pt idx="1113">
                  <c:v>30</c:v>
                </c:pt>
                <c:pt idx="1114">
                  <c:v>25</c:v>
                </c:pt>
                <c:pt idx="1115">
                  <c:v>38</c:v>
                </c:pt>
                <c:pt idx="1116">
                  <c:v>36</c:v>
                </c:pt>
                <c:pt idx="1117">
                  <c:v>39</c:v>
                </c:pt>
                <c:pt idx="1118">
                  <c:v>38</c:v>
                </c:pt>
                <c:pt idx="1119">
                  <c:v>35</c:v>
                </c:pt>
                <c:pt idx="1120">
                  <c:v>28</c:v>
                </c:pt>
                <c:pt idx="1121">
                  <c:v>42</c:v>
                </c:pt>
                <c:pt idx="1122">
                  <c:v>35</c:v>
                </c:pt>
                <c:pt idx="1123">
                  <c:v>33</c:v>
                </c:pt>
                <c:pt idx="1124">
                  <c:v>39</c:v>
                </c:pt>
                <c:pt idx="1125">
                  <c:v>32</c:v>
                </c:pt>
                <c:pt idx="1126">
                  <c:v>38</c:v>
                </c:pt>
                <c:pt idx="1127">
                  <c:v>39</c:v>
                </c:pt>
                <c:pt idx="1128">
                  <c:v>35</c:v>
                </c:pt>
                <c:pt idx="1129">
                  <c:v>28</c:v>
                </c:pt>
                <c:pt idx="1130">
                  <c:v>40</c:v>
                </c:pt>
                <c:pt idx="1131">
                  <c:v>32</c:v>
                </c:pt>
                <c:pt idx="1132">
                  <c:v>36</c:v>
                </c:pt>
                <c:pt idx="1133">
                  <c:v>34</c:v>
                </c:pt>
                <c:pt idx="1134">
                  <c:v>39</c:v>
                </c:pt>
                <c:pt idx="1135">
                  <c:v>44</c:v>
                </c:pt>
                <c:pt idx="1136">
                  <c:v>42</c:v>
                </c:pt>
                <c:pt idx="1137">
                  <c:v>35</c:v>
                </c:pt>
                <c:pt idx="1138">
                  <c:v>39</c:v>
                </c:pt>
                <c:pt idx="1139">
                  <c:v>37</c:v>
                </c:pt>
                <c:pt idx="1140">
                  <c:v>38</c:v>
                </c:pt>
                <c:pt idx="1141">
                  <c:v>34</c:v>
                </c:pt>
                <c:pt idx="1142">
                  <c:v>22</c:v>
                </c:pt>
                <c:pt idx="1143">
                  <c:v>39</c:v>
                </c:pt>
                <c:pt idx="1144">
                  <c:v>32</c:v>
                </c:pt>
                <c:pt idx="1145">
                  <c:v>31</c:v>
                </c:pt>
                <c:pt idx="1146">
                  <c:v>28</c:v>
                </c:pt>
                <c:pt idx="1147">
                  <c:v>39</c:v>
                </c:pt>
                <c:pt idx="1148">
                  <c:v>24</c:v>
                </c:pt>
                <c:pt idx="1149">
                  <c:v>30</c:v>
                </c:pt>
                <c:pt idx="1150">
                  <c:v>44</c:v>
                </c:pt>
                <c:pt idx="1151">
                  <c:v>32</c:v>
                </c:pt>
                <c:pt idx="1152">
                  <c:v>28</c:v>
                </c:pt>
                <c:pt idx="1153">
                  <c:v>29</c:v>
                </c:pt>
                <c:pt idx="1154">
                  <c:v>39</c:v>
                </c:pt>
                <c:pt idx="1155">
                  <c:v>38</c:v>
                </c:pt>
                <c:pt idx="1156">
                  <c:v>29</c:v>
                </c:pt>
                <c:pt idx="1157">
                  <c:v>38</c:v>
                </c:pt>
                <c:pt idx="1158">
                  <c:v>32</c:v>
                </c:pt>
                <c:pt idx="1159">
                  <c:v>34</c:v>
                </c:pt>
                <c:pt idx="1160">
                  <c:v>29</c:v>
                </c:pt>
                <c:pt idx="1161">
                  <c:v>34</c:v>
                </c:pt>
                <c:pt idx="1162">
                  <c:v>30</c:v>
                </c:pt>
                <c:pt idx="1163">
                  <c:v>38</c:v>
                </c:pt>
                <c:pt idx="1164">
                  <c:v>38</c:v>
                </c:pt>
                <c:pt idx="1165">
                  <c:v>36</c:v>
                </c:pt>
                <c:pt idx="1166">
                  <c:v>28</c:v>
                </c:pt>
                <c:pt idx="1167">
                  <c:v>43</c:v>
                </c:pt>
                <c:pt idx="1168">
                  <c:v>41</c:v>
                </c:pt>
                <c:pt idx="1169">
                  <c:v>32</c:v>
                </c:pt>
                <c:pt idx="1170">
                  <c:v>36</c:v>
                </c:pt>
                <c:pt idx="1171">
                  <c:v>39</c:v>
                </c:pt>
                <c:pt idx="1172">
                  <c:v>28</c:v>
                </c:pt>
                <c:pt idx="1173">
                  <c:v>37</c:v>
                </c:pt>
                <c:pt idx="1174">
                  <c:v>32</c:v>
                </c:pt>
                <c:pt idx="1175">
                  <c:v>32</c:v>
                </c:pt>
                <c:pt idx="1176">
                  <c:v>30</c:v>
                </c:pt>
                <c:pt idx="1177">
                  <c:v>36</c:v>
                </c:pt>
                <c:pt idx="1178">
                  <c:v>29</c:v>
                </c:pt>
                <c:pt idx="1179">
                  <c:v>28</c:v>
                </c:pt>
                <c:pt idx="1180">
                  <c:v>23</c:v>
                </c:pt>
                <c:pt idx="1181">
                  <c:v>27.5</c:v>
                </c:pt>
                <c:pt idx="1182">
                  <c:v>30</c:v>
                </c:pt>
                <c:pt idx="1183">
                  <c:v>38</c:v>
                </c:pt>
                <c:pt idx="1184">
                  <c:v>26</c:v>
                </c:pt>
                <c:pt idx="1185">
                  <c:v>30</c:v>
                </c:pt>
                <c:pt idx="1186">
                  <c:v>36</c:v>
                </c:pt>
                <c:pt idx="1187">
                  <c:v>28</c:v>
                </c:pt>
                <c:pt idx="1188">
                  <c:v>43</c:v>
                </c:pt>
                <c:pt idx="1189">
                  <c:v>42</c:v>
                </c:pt>
                <c:pt idx="1190">
                  <c:v>26</c:v>
                </c:pt>
                <c:pt idx="1191">
                  <c:v>34</c:v>
                </c:pt>
                <c:pt idx="1192">
                  <c:v>31</c:v>
                </c:pt>
                <c:pt idx="1193">
                  <c:v>36</c:v>
                </c:pt>
                <c:pt idx="1194">
                  <c:v>41</c:v>
                </c:pt>
                <c:pt idx="1195">
                  <c:v>31</c:v>
                </c:pt>
                <c:pt idx="1196">
                  <c:v>29</c:v>
                </c:pt>
                <c:pt idx="1197">
                  <c:v>22</c:v>
                </c:pt>
                <c:pt idx="1198">
                  <c:v>38</c:v>
                </c:pt>
                <c:pt idx="1199">
                  <c:v>23.5</c:v>
                </c:pt>
                <c:pt idx="1200">
                  <c:v>34</c:v>
                </c:pt>
                <c:pt idx="1201">
                  <c:v>18</c:v>
                </c:pt>
                <c:pt idx="1202">
                  <c:v>28</c:v>
                </c:pt>
                <c:pt idx="1203">
                  <c:v>37</c:v>
                </c:pt>
                <c:pt idx="1204">
                  <c:v>37</c:v>
                </c:pt>
                <c:pt idx="1205">
                  <c:v>29</c:v>
                </c:pt>
                <c:pt idx="1206">
                  <c:v>35</c:v>
                </c:pt>
                <c:pt idx="1207">
                  <c:v>21</c:v>
                </c:pt>
                <c:pt idx="1208">
                  <c:v>35</c:v>
                </c:pt>
                <c:pt idx="1209">
                  <c:v>38</c:v>
                </c:pt>
                <c:pt idx="1210">
                  <c:v>36</c:v>
                </c:pt>
                <c:pt idx="1211">
                  <c:v>28</c:v>
                </c:pt>
                <c:pt idx="1212">
                  <c:v>32</c:v>
                </c:pt>
                <c:pt idx="1213">
                  <c:v>22</c:v>
                </c:pt>
                <c:pt idx="1214">
                  <c:v>27</c:v>
                </c:pt>
                <c:pt idx="1215">
                  <c:v>29</c:v>
                </c:pt>
                <c:pt idx="1216">
                  <c:v>24</c:v>
                </c:pt>
                <c:pt idx="1217">
                  <c:v>38</c:v>
                </c:pt>
                <c:pt idx="1218">
                  <c:v>17</c:v>
                </c:pt>
                <c:pt idx="1219">
                  <c:v>43</c:v>
                </c:pt>
                <c:pt idx="1220">
                  <c:v>25</c:v>
                </c:pt>
                <c:pt idx="1221">
                  <c:v>37</c:v>
                </c:pt>
                <c:pt idx="1222">
                  <c:v>34</c:v>
                </c:pt>
                <c:pt idx="1223">
                  <c:v>40</c:v>
                </c:pt>
                <c:pt idx="1224">
                  <c:v>35</c:v>
                </c:pt>
                <c:pt idx="1225">
                  <c:v>30</c:v>
                </c:pt>
                <c:pt idx="1226">
                  <c:v>36</c:v>
                </c:pt>
                <c:pt idx="1227">
                  <c:v>28</c:v>
                </c:pt>
                <c:pt idx="1228">
                  <c:v>38</c:v>
                </c:pt>
                <c:pt idx="1229">
                  <c:v>37</c:v>
                </c:pt>
                <c:pt idx="1230">
                  <c:v>32</c:v>
                </c:pt>
                <c:pt idx="1231">
                  <c:v>35</c:v>
                </c:pt>
                <c:pt idx="1232">
                  <c:v>34</c:v>
                </c:pt>
                <c:pt idx="1233">
                  <c:v>32</c:v>
                </c:pt>
                <c:pt idx="1234">
                  <c:v>45</c:v>
                </c:pt>
                <c:pt idx="1235">
                  <c:v>45</c:v>
                </c:pt>
                <c:pt idx="1236">
                  <c:v>39</c:v>
                </c:pt>
                <c:pt idx="1237">
                  <c:v>21</c:v>
                </c:pt>
                <c:pt idx="1238">
                  <c:v>35</c:v>
                </c:pt>
                <c:pt idx="1239">
                  <c:v>34</c:v>
                </c:pt>
                <c:pt idx="1240">
                  <c:v>29</c:v>
                </c:pt>
                <c:pt idx="1241">
                  <c:v>32</c:v>
                </c:pt>
                <c:pt idx="1242">
                  <c:v>26</c:v>
                </c:pt>
                <c:pt idx="1243">
                  <c:v>35</c:v>
                </c:pt>
                <c:pt idx="1244">
                  <c:v>43</c:v>
                </c:pt>
                <c:pt idx="1245">
                  <c:v>33</c:v>
                </c:pt>
                <c:pt idx="1246">
                  <c:v>36</c:v>
                </c:pt>
                <c:pt idx="1247">
                  <c:v>32</c:v>
                </c:pt>
                <c:pt idx="1248">
                  <c:v>37</c:v>
                </c:pt>
                <c:pt idx="1249">
                  <c:v>36</c:v>
                </c:pt>
                <c:pt idx="1250">
                  <c:v>39</c:v>
                </c:pt>
                <c:pt idx="1251">
                  <c:v>24</c:v>
                </c:pt>
                <c:pt idx="1252">
                  <c:v>42</c:v>
                </c:pt>
                <c:pt idx="1253">
                  <c:v>42</c:v>
                </c:pt>
                <c:pt idx="1254">
                  <c:v>38</c:v>
                </c:pt>
                <c:pt idx="1255">
                  <c:v>32</c:v>
                </c:pt>
                <c:pt idx="1256">
                  <c:v>36</c:v>
                </c:pt>
                <c:pt idx="1257">
                  <c:v>28</c:v>
                </c:pt>
                <c:pt idx="1258">
                  <c:v>28.8</c:v>
                </c:pt>
                <c:pt idx="1259">
                  <c:v>38.299999999999997</c:v>
                </c:pt>
                <c:pt idx="1260">
                  <c:v>29</c:v>
                </c:pt>
                <c:pt idx="1261">
                  <c:v>34.299999999999997</c:v>
                </c:pt>
                <c:pt idx="1262">
                  <c:v>37</c:v>
                </c:pt>
                <c:pt idx="1263">
                  <c:v>24</c:v>
                </c:pt>
                <c:pt idx="1264">
                  <c:v>36</c:v>
                </c:pt>
                <c:pt idx="1265">
                  <c:v>31</c:v>
                </c:pt>
                <c:pt idx="1266">
                  <c:v>18</c:v>
                </c:pt>
                <c:pt idx="1267">
                  <c:v>31</c:v>
                </c:pt>
                <c:pt idx="1268">
                  <c:v>36</c:v>
                </c:pt>
                <c:pt idx="1269">
                  <c:v>38</c:v>
                </c:pt>
                <c:pt idx="1270">
                  <c:v>28</c:v>
                </c:pt>
                <c:pt idx="1271">
                  <c:v>28</c:v>
                </c:pt>
                <c:pt idx="1272">
                  <c:v>21</c:v>
                </c:pt>
                <c:pt idx="1273">
                  <c:v>34</c:v>
                </c:pt>
                <c:pt idx="1274">
                  <c:v>21</c:v>
                </c:pt>
                <c:pt idx="1275">
                  <c:v>34</c:v>
                </c:pt>
                <c:pt idx="1276">
                  <c:v>23</c:v>
                </c:pt>
                <c:pt idx="1277">
                  <c:v>42</c:v>
                </c:pt>
                <c:pt idx="1278">
                  <c:v>30</c:v>
                </c:pt>
                <c:pt idx="1279">
                  <c:v>36</c:v>
                </c:pt>
                <c:pt idx="1280">
                  <c:v>26</c:v>
                </c:pt>
                <c:pt idx="1281">
                  <c:v>28</c:v>
                </c:pt>
                <c:pt idx="1282">
                  <c:v>31</c:v>
                </c:pt>
                <c:pt idx="1283">
                  <c:v>36</c:v>
                </c:pt>
                <c:pt idx="1284">
                  <c:v>27</c:v>
                </c:pt>
                <c:pt idx="1285">
                  <c:v>29</c:v>
                </c:pt>
                <c:pt idx="1286">
                  <c:v>32</c:v>
                </c:pt>
                <c:pt idx="1287">
                  <c:v>34</c:v>
                </c:pt>
                <c:pt idx="1288">
                  <c:v>25</c:v>
                </c:pt>
                <c:pt idx="1289">
                  <c:v>25</c:v>
                </c:pt>
                <c:pt idx="1290">
                  <c:v>35</c:v>
                </c:pt>
                <c:pt idx="1291">
                  <c:v>37</c:v>
                </c:pt>
                <c:pt idx="1292">
                  <c:v>25</c:v>
                </c:pt>
                <c:pt idx="1293">
                  <c:v>25</c:v>
                </c:pt>
                <c:pt idx="1294">
                  <c:v>26</c:v>
                </c:pt>
                <c:pt idx="1295">
                  <c:v>38</c:v>
                </c:pt>
                <c:pt idx="1296">
                  <c:v>27</c:v>
                </c:pt>
                <c:pt idx="1297">
                  <c:v>25</c:v>
                </c:pt>
                <c:pt idx="1298">
                  <c:v>22</c:v>
                </c:pt>
                <c:pt idx="1299">
                  <c:v>38</c:v>
                </c:pt>
                <c:pt idx="1300">
                  <c:v>37</c:v>
                </c:pt>
                <c:pt idx="1301">
                  <c:v>26</c:v>
                </c:pt>
                <c:pt idx="1302">
                  <c:v>30</c:v>
                </c:pt>
                <c:pt idx="1303">
                  <c:v>39</c:v>
                </c:pt>
                <c:pt idx="1304">
                  <c:v>35</c:v>
                </c:pt>
                <c:pt idx="1305">
                  <c:v>37</c:v>
                </c:pt>
                <c:pt idx="1306">
                  <c:v>35</c:v>
                </c:pt>
                <c:pt idx="1307">
                  <c:v>35</c:v>
                </c:pt>
                <c:pt idx="1308">
                  <c:v>32</c:v>
                </c:pt>
                <c:pt idx="1309">
                  <c:v>41</c:v>
                </c:pt>
                <c:pt idx="1310">
                  <c:v>44</c:v>
                </c:pt>
                <c:pt idx="1311">
                  <c:v>36</c:v>
                </c:pt>
                <c:pt idx="1312">
                  <c:v>30</c:v>
                </c:pt>
                <c:pt idx="1313">
                  <c:v>29</c:v>
                </c:pt>
                <c:pt idx="1314">
                  <c:v>35</c:v>
                </c:pt>
                <c:pt idx="1315">
                  <c:v>23</c:v>
                </c:pt>
                <c:pt idx="1316">
                  <c:v>43</c:v>
                </c:pt>
                <c:pt idx="1317">
                  <c:v>38</c:v>
                </c:pt>
                <c:pt idx="1318">
                  <c:v>34</c:v>
                </c:pt>
                <c:pt idx="1319">
                  <c:v>36</c:v>
                </c:pt>
                <c:pt idx="1320">
                  <c:v>32</c:v>
                </c:pt>
                <c:pt idx="1321">
                  <c:v>23</c:v>
                </c:pt>
                <c:pt idx="1322">
                  <c:v>43</c:v>
                </c:pt>
                <c:pt idx="1323">
                  <c:v>32</c:v>
                </c:pt>
                <c:pt idx="1324">
                  <c:v>30</c:v>
                </c:pt>
                <c:pt idx="1325">
                  <c:v>33.6</c:v>
                </c:pt>
                <c:pt idx="1326">
                  <c:v>28</c:v>
                </c:pt>
                <c:pt idx="1327">
                  <c:v>32</c:v>
                </c:pt>
                <c:pt idx="1328">
                  <c:v>34</c:v>
                </c:pt>
                <c:pt idx="1329">
                  <c:v>37.1</c:v>
                </c:pt>
                <c:pt idx="1330">
                  <c:v>27</c:v>
                </c:pt>
                <c:pt idx="1331">
                  <c:v>34</c:v>
                </c:pt>
                <c:pt idx="1332">
                  <c:v>38</c:v>
                </c:pt>
                <c:pt idx="1333">
                  <c:v>36</c:v>
                </c:pt>
                <c:pt idx="1334">
                  <c:v>34</c:v>
                </c:pt>
                <c:pt idx="1335">
                  <c:v>33</c:v>
                </c:pt>
                <c:pt idx="1336">
                  <c:v>23</c:v>
                </c:pt>
                <c:pt idx="1337">
                  <c:v>30</c:v>
                </c:pt>
                <c:pt idx="1338">
                  <c:v>39</c:v>
                </c:pt>
                <c:pt idx="1339">
                  <c:v>32</c:v>
                </c:pt>
                <c:pt idx="1340">
                  <c:v>48</c:v>
                </c:pt>
                <c:pt idx="1341">
                  <c:v>32.1</c:v>
                </c:pt>
                <c:pt idx="1342">
                  <c:v>40</c:v>
                </c:pt>
                <c:pt idx="1343">
                  <c:v>38</c:v>
                </c:pt>
                <c:pt idx="1344">
                  <c:v>38</c:v>
                </c:pt>
                <c:pt idx="1345">
                  <c:v>43</c:v>
                </c:pt>
                <c:pt idx="1346">
                  <c:v>34.4</c:v>
                </c:pt>
                <c:pt idx="1347">
                  <c:v>36</c:v>
                </c:pt>
                <c:pt idx="1348">
                  <c:v>35</c:v>
                </c:pt>
                <c:pt idx="1349">
                  <c:v>46</c:v>
                </c:pt>
                <c:pt idx="1350">
                  <c:v>34</c:v>
                </c:pt>
                <c:pt idx="1351">
                  <c:v>29</c:v>
                </c:pt>
                <c:pt idx="1352">
                  <c:v>27</c:v>
                </c:pt>
                <c:pt idx="1353">
                  <c:v>29</c:v>
                </c:pt>
                <c:pt idx="1354">
                  <c:v>37</c:v>
                </c:pt>
                <c:pt idx="1355">
                  <c:v>30</c:v>
                </c:pt>
                <c:pt idx="1356">
                  <c:v>45</c:v>
                </c:pt>
                <c:pt idx="1357">
                  <c:v>35</c:v>
                </c:pt>
                <c:pt idx="1358">
                  <c:v>29</c:v>
                </c:pt>
                <c:pt idx="1359">
                  <c:v>31</c:v>
                </c:pt>
                <c:pt idx="1360">
                  <c:v>34</c:v>
                </c:pt>
                <c:pt idx="1361">
                  <c:v>27</c:v>
                </c:pt>
                <c:pt idx="1362">
                  <c:v>25</c:v>
                </c:pt>
                <c:pt idx="1363">
                  <c:v>27</c:v>
                </c:pt>
                <c:pt idx="1364">
                  <c:v>25</c:v>
                </c:pt>
                <c:pt idx="1365">
                  <c:v>33</c:v>
                </c:pt>
                <c:pt idx="1366">
                  <c:v>32</c:v>
                </c:pt>
                <c:pt idx="1367">
                  <c:v>29</c:v>
                </c:pt>
                <c:pt idx="1368">
                  <c:v>25</c:v>
                </c:pt>
                <c:pt idx="1369">
                  <c:v>26</c:v>
                </c:pt>
                <c:pt idx="1370">
                  <c:v>26</c:v>
                </c:pt>
              </c:numCache>
            </c:numRef>
          </c:val>
          <c:smooth val="0"/>
          <c:extLst>
            <c:ext xmlns:c16="http://schemas.microsoft.com/office/drawing/2014/chart" uri="{C3380CC4-5D6E-409C-BE32-E72D297353CC}">
              <c16:uniqueId val="{00000001-3938-4307-813A-EC161F63A579}"/>
            </c:ext>
          </c:extLst>
        </c:ser>
        <c:dLbls>
          <c:showLegendKey val="0"/>
          <c:showVal val="0"/>
          <c:showCatName val="0"/>
          <c:showSerName val="0"/>
          <c:showPercent val="0"/>
          <c:showBubbleSize val="0"/>
        </c:dLbls>
        <c:marker val="1"/>
        <c:smooth val="0"/>
        <c:axId val="405157472"/>
        <c:axId val="405158560"/>
      </c:lineChart>
      <c:catAx>
        <c:axId val="405165088"/>
        <c:scaling>
          <c:orientation val="minMax"/>
        </c:scaling>
        <c:delete val="0"/>
        <c:axPos val="b"/>
        <c:numFmt formatCode="General" sourceLinked="0"/>
        <c:majorTickMark val="none"/>
        <c:minorTickMark val="none"/>
        <c:tickLblPos val="nextTo"/>
        <c:txPr>
          <a:bodyPr/>
          <a:lstStyle/>
          <a:p>
            <a:pPr>
              <a:defRPr lang="ja-JP" sz="1000" b="0"/>
            </a:pPr>
            <a:endParaRPr lang="en-US"/>
          </a:p>
        </c:txPr>
        <c:crossAx val="405163456"/>
        <c:crosses val="autoZero"/>
        <c:auto val="1"/>
        <c:lblAlgn val="ctr"/>
        <c:lblOffset val="100"/>
        <c:tickMarkSkip val="1"/>
        <c:noMultiLvlLbl val="0"/>
      </c:catAx>
      <c:valAx>
        <c:axId val="405163456"/>
        <c:scaling>
          <c:orientation val="minMax"/>
          <c:max val="25"/>
          <c:min val="4"/>
        </c:scaling>
        <c:delete val="0"/>
        <c:axPos val="l"/>
        <c:majorGridlines/>
        <c:title>
          <c:tx>
            <c:rich>
              <a:bodyPr/>
              <a:lstStyle/>
              <a:p>
                <a:pPr>
                  <a:defRPr lang="ja-JP" sz="2800"/>
                </a:pPr>
                <a:r>
                  <a:rPr lang="en-US" sz="2800"/>
                  <a:t>Coke Moisture %</a:t>
                </a:r>
              </a:p>
            </c:rich>
          </c:tx>
          <c:overlay val="0"/>
        </c:title>
        <c:numFmt formatCode="0.0" sourceLinked="1"/>
        <c:majorTickMark val="none"/>
        <c:minorTickMark val="none"/>
        <c:tickLblPos val="nextTo"/>
        <c:txPr>
          <a:bodyPr/>
          <a:lstStyle/>
          <a:p>
            <a:pPr>
              <a:defRPr lang="ja-JP" sz="2000"/>
            </a:pPr>
            <a:endParaRPr lang="en-US"/>
          </a:p>
        </c:txPr>
        <c:crossAx val="405165088"/>
        <c:crosses val="autoZero"/>
        <c:crossBetween val="between"/>
        <c:majorUnit val="1"/>
      </c:valAx>
      <c:valAx>
        <c:axId val="405158560"/>
        <c:scaling>
          <c:orientation val="minMax"/>
          <c:max val="85"/>
          <c:min val="15"/>
        </c:scaling>
        <c:delete val="0"/>
        <c:axPos val="r"/>
        <c:numFmt formatCode="General" sourceLinked="1"/>
        <c:majorTickMark val="out"/>
        <c:minorTickMark val="none"/>
        <c:tickLblPos val="nextTo"/>
        <c:txPr>
          <a:bodyPr/>
          <a:lstStyle/>
          <a:p>
            <a:pPr>
              <a:defRPr lang="ja-JP" sz="1800"/>
            </a:pPr>
            <a:endParaRPr lang="en-US"/>
          </a:p>
        </c:txPr>
        <c:crossAx val="405157472"/>
        <c:crosses val="max"/>
        <c:crossBetween val="between"/>
        <c:majorUnit val="5"/>
      </c:valAx>
      <c:catAx>
        <c:axId val="405157472"/>
        <c:scaling>
          <c:orientation val="minMax"/>
        </c:scaling>
        <c:delete val="1"/>
        <c:axPos val="b"/>
        <c:numFmt formatCode="General" sourceLinked="1"/>
        <c:majorTickMark val="out"/>
        <c:minorTickMark val="none"/>
        <c:tickLblPos val="nextTo"/>
        <c:crossAx val="405158560"/>
        <c:crosses val="autoZero"/>
        <c:auto val="1"/>
        <c:lblAlgn val="ctr"/>
        <c:lblOffset val="100"/>
        <c:noMultiLvlLbl val="0"/>
      </c:catAx>
    </c:plotArea>
    <c:legend>
      <c:legendPos val="t"/>
      <c:overlay val="0"/>
      <c:txPr>
        <a:bodyPr/>
        <a:lstStyle/>
        <a:p>
          <a:pPr>
            <a:defRPr lang="ja-JP" sz="2000"/>
          </a:pPr>
          <a:endParaRPr lang="en-US"/>
        </a:p>
      </c:txPr>
    </c:legend>
    <c:plotVisOnly val="1"/>
    <c:dispBlanksAs val="zero"/>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ja-JP" sz="2400"/>
            </a:pPr>
            <a:r>
              <a:rPr lang="en-US" sz="2400"/>
              <a:t>Min</a:t>
            </a:r>
            <a:r>
              <a:rPr lang="en-US" sz="2400" baseline="0"/>
              <a:t> </a:t>
            </a:r>
            <a:r>
              <a:rPr lang="en-US" sz="2400"/>
              <a:t>Coke Moisture</a:t>
            </a:r>
            <a:r>
              <a:rPr lang="en-US" sz="2400" baseline="0"/>
              <a:t> &amp; AV Temperature</a:t>
            </a:r>
            <a:endParaRPr lang="en-US" sz="2400"/>
          </a:p>
        </c:rich>
      </c:tx>
      <c:overlay val="0"/>
    </c:title>
    <c:autoTitleDeleted val="0"/>
    <c:plotArea>
      <c:layout/>
      <c:lineChart>
        <c:grouping val="stacked"/>
        <c:varyColors val="0"/>
        <c:ser>
          <c:idx val="0"/>
          <c:order val="0"/>
          <c:tx>
            <c:v>Min Coke Moisture</c:v>
          </c:tx>
          <c:spPr>
            <a:ln w="57150"/>
          </c:spPr>
          <c:marker>
            <c:symbol val="none"/>
          </c:marker>
          <c:cat>
            <c:multiLvlStrRef>
              <c:f>'Coke Moisture'!$C$17:$D$200</c:f>
              <c:multiLvlStrCache>
                <c:ptCount val="184"/>
                <c:lvl>
                  <c:pt idx="0">
                    <c:v>8:10</c:v>
                  </c:pt>
                  <c:pt idx="1">
                    <c:v>13:30</c:v>
                  </c:pt>
                  <c:pt idx="2">
                    <c:v>17:00</c:v>
                  </c:pt>
                  <c:pt idx="3">
                    <c:v>20:45</c:v>
                  </c:pt>
                  <c:pt idx="4">
                    <c:v>23:10</c:v>
                  </c:pt>
                  <c:pt idx="5">
                    <c:v>3:40</c:v>
                  </c:pt>
                  <c:pt idx="6">
                    <c:v>11:25</c:v>
                  </c:pt>
                  <c:pt idx="7">
                    <c:v>15:00</c:v>
                  </c:pt>
                  <c:pt idx="8">
                    <c:v>18:15</c:v>
                  </c:pt>
                  <c:pt idx="9">
                    <c:v>22:50</c:v>
                  </c:pt>
                  <c:pt idx="10">
                    <c:v>2:05</c:v>
                  </c:pt>
                  <c:pt idx="11">
                    <c:v>11:00</c:v>
                  </c:pt>
                  <c:pt idx="12">
                    <c:v>15:30</c:v>
                  </c:pt>
                  <c:pt idx="13">
                    <c:v>18:10</c:v>
                  </c:pt>
                  <c:pt idx="14">
                    <c:v>22:50</c:v>
                  </c:pt>
                  <c:pt idx="15">
                    <c:v>2:05</c:v>
                  </c:pt>
                  <c:pt idx="16">
                    <c:v>8:30</c:v>
                  </c:pt>
                  <c:pt idx="17">
                    <c:v>12:00</c:v>
                  </c:pt>
                  <c:pt idx="18">
                    <c:v>15:40</c:v>
                  </c:pt>
                  <c:pt idx="19">
                    <c:v>18:10</c:v>
                  </c:pt>
                  <c:pt idx="20">
                    <c:v>22:00</c:v>
                  </c:pt>
                  <c:pt idx="21">
                    <c:v>2:10</c:v>
                  </c:pt>
                  <c:pt idx="22">
                    <c:v>12:10</c:v>
                  </c:pt>
                  <c:pt idx="23">
                    <c:v>15:45</c:v>
                  </c:pt>
                  <c:pt idx="24">
                    <c:v>19:10</c:v>
                  </c:pt>
                  <c:pt idx="25">
                    <c:v>23:10</c:v>
                  </c:pt>
                  <c:pt idx="26">
                    <c:v>2:30</c:v>
                  </c:pt>
                  <c:pt idx="27">
                    <c:v>3:25</c:v>
                  </c:pt>
                  <c:pt idx="28">
                    <c:v>12:50</c:v>
                  </c:pt>
                  <c:pt idx="29">
                    <c:v>14:35</c:v>
                  </c:pt>
                  <c:pt idx="30">
                    <c:v>18:10</c:v>
                  </c:pt>
                  <c:pt idx="31">
                    <c:v>22:30</c:v>
                  </c:pt>
                  <c:pt idx="32">
                    <c:v>2:45</c:v>
                  </c:pt>
                  <c:pt idx="33">
                    <c:v>9:35</c:v>
                  </c:pt>
                  <c:pt idx="34">
                    <c:v>13:05</c:v>
                  </c:pt>
                  <c:pt idx="35">
                    <c:v>20:10</c:v>
                  </c:pt>
                  <c:pt idx="36">
                    <c:v>2:10</c:v>
                  </c:pt>
                  <c:pt idx="37">
                    <c:v>9:00</c:v>
                  </c:pt>
                  <c:pt idx="38">
                    <c:v>14:15</c:v>
                  </c:pt>
                  <c:pt idx="39">
                    <c:v>23:10</c:v>
                  </c:pt>
                  <c:pt idx="40">
                    <c:v>0:15</c:v>
                  </c:pt>
                  <c:pt idx="41">
                    <c:v>3:40</c:v>
                  </c:pt>
                  <c:pt idx="42">
                    <c:v>16:45</c:v>
                  </c:pt>
                  <c:pt idx="43">
                    <c:v>15:35</c:v>
                  </c:pt>
                  <c:pt idx="44">
                    <c:v>19:45</c:v>
                  </c:pt>
                  <c:pt idx="45">
                    <c:v>11:45</c:v>
                  </c:pt>
                  <c:pt idx="46">
                    <c:v>4:40</c:v>
                  </c:pt>
                  <c:pt idx="47">
                    <c:v>14:35</c:v>
                  </c:pt>
                  <c:pt idx="48">
                    <c:v>18:05</c:v>
                  </c:pt>
                  <c:pt idx="49">
                    <c:v>22:00</c:v>
                  </c:pt>
                  <c:pt idx="50">
                    <c:v>2:10</c:v>
                  </c:pt>
                  <c:pt idx="51">
                    <c:v>11:15</c:v>
                  </c:pt>
                  <c:pt idx="52">
                    <c:v>11:15</c:v>
                  </c:pt>
                  <c:pt idx="53">
                    <c:v>14:15</c:v>
                  </c:pt>
                  <c:pt idx="54">
                    <c:v>12:45</c:v>
                  </c:pt>
                  <c:pt idx="55">
                    <c:v>14:35</c:v>
                  </c:pt>
                  <c:pt idx="56">
                    <c:v>12:10</c:v>
                  </c:pt>
                  <c:pt idx="57">
                    <c:v>15:35</c:v>
                  </c:pt>
                  <c:pt idx="58">
                    <c:v>18:25</c:v>
                  </c:pt>
                  <c:pt idx="59">
                    <c:v>0:10</c:v>
                  </c:pt>
                  <c:pt idx="60">
                    <c:v>3:45</c:v>
                  </c:pt>
                  <c:pt idx="61">
                    <c:v>11:10</c:v>
                  </c:pt>
                  <c:pt idx="62">
                    <c:v>15:15</c:v>
                  </c:pt>
                  <c:pt idx="63">
                    <c:v>18:20</c:v>
                  </c:pt>
                  <c:pt idx="64">
                    <c:v>22:50</c:v>
                  </c:pt>
                  <c:pt idx="65">
                    <c:v>2:14</c:v>
                  </c:pt>
                  <c:pt idx="66">
                    <c:v>11:10</c:v>
                  </c:pt>
                  <c:pt idx="67">
                    <c:v>14:40</c:v>
                  </c:pt>
                  <c:pt idx="68">
                    <c:v>18:20</c:v>
                  </c:pt>
                  <c:pt idx="69">
                    <c:v>22:40</c:v>
                  </c:pt>
                  <c:pt idx="70">
                    <c:v>2:25</c:v>
                  </c:pt>
                  <c:pt idx="71">
                    <c:v>12:30</c:v>
                  </c:pt>
                  <c:pt idx="72">
                    <c:v>14:40</c:v>
                  </c:pt>
                  <c:pt idx="73">
                    <c:v>18:20</c:v>
                  </c:pt>
                  <c:pt idx="74">
                    <c:v>22:50</c:v>
                  </c:pt>
                  <c:pt idx="75">
                    <c:v>2:20</c:v>
                  </c:pt>
                  <c:pt idx="76">
                    <c:v>12:15</c:v>
                  </c:pt>
                  <c:pt idx="77">
                    <c:v>14:45</c:v>
                  </c:pt>
                  <c:pt idx="78">
                    <c:v>18:30</c:v>
                  </c:pt>
                  <c:pt idx="79">
                    <c:v>22:40</c:v>
                  </c:pt>
                  <c:pt idx="80">
                    <c:v>2:10</c:v>
                  </c:pt>
                  <c:pt idx="81">
                    <c:v>12:45</c:v>
                  </c:pt>
                  <c:pt idx="82">
                    <c:v>15:15</c:v>
                  </c:pt>
                  <c:pt idx="83">
                    <c:v>2:05</c:v>
                  </c:pt>
                  <c:pt idx="84">
                    <c:v>12:00</c:v>
                  </c:pt>
                  <c:pt idx="85">
                    <c:v>15:30</c:v>
                  </c:pt>
                  <c:pt idx="86">
                    <c:v>2:15</c:v>
                  </c:pt>
                  <c:pt idx="87">
                    <c:v>5:30</c:v>
                  </c:pt>
                  <c:pt idx="88">
                    <c:v>22:50</c:v>
                  </c:pt>
                  <c:pt idx="89">
                    <c:v>2:15</c:v>
                  </c:pt>
                  <c:pt idx="90">
                    <c:v>11:05</c:v>
                  </c:pt>
                  <c:pt idx="91">
                    <c:v>14:45</c:v>
                  </c:pt>
                  <c:pt idx="92">
                    <c:v>18:50</c:v>
                  </c:pt>
                  <c:pt idx="93">
                    <c:v>22:45</c:v>
                  </c:pt>
                  <c:pt idx="94">
                    <c:v>11:00</c:v>
                  </c:pt>
                  <c:pt idx="95">
                    <c:v>14:45</c:v>
                  </c:pt>
                  <c:pt idx="96">
                    <c:v>18:50</c:v>
                  </c:pt>
                  <c:pt idx="97">
                    <c:v>22:45</c:v>
                  </c:pt>
                  <c:pt idx="98">
                    <c:v>2:15</c:v>
                  </c:pt>
                  <c:pt idx="99">
                    <c:v>11:45</c:v>
                  </c:pt>
                  <c:pt idx="100">
                    <c:v>16:40</c:v>
                  </c:pt>
                  <c:pt idx="101">
                    <c:v>20:15</c:v>
                  </c:pt>
                  <c:pt idx="102">
                    <c:v>12:30</c:v>
                  </c:pt>
                  <c:pt idx="103">
                    <c:v>16:20</c:v>
                  </c:pt>
                  <c:pt idx="104">
                    <c:v>23:40</c:v>
                  </c:pt>
                  <c:pt idx="105">
                    <c:v>3:15</c:v>
                  </c:pt>
                  <c:pt idx="106">
                    <c:v>14:15</c:v>
                  </c:pt>
                  <c:pt idx="107">
                    <c:v>16:10</c:v>
                  </c:pt>
                  <c:pt idx="108">
                    <c:v>20:15</c:v>
                  </c:pt>
                  <c:pt idx="109">
                    <c:v>23:20</c:v>
                  </c:pt>
                  <c:pt idx="110">
                    <c:v>2:50</c:v>
                  </c:pt>
                  <c:pt idx="111">
                    <c:v>14:15</c:v>
                  </c:pt>
                  <c:pt idx="112">
                    <c:v>16:10</c:v>
                  </c:pt>
                  <c:pt idx="113">
                    <c:v>20:15</c:v>
                  </c:pt>
                  <c:pt idx="114">
                    <c:v>1:40</c:v>
                  </c:pt>
                  <c:pt idx="115">
                    <c:v>5:45</c:v>
                  </c:pt>
                  <c:pt idx="116">
                    <c:v>12:30</c:v>
                  </c:pt>
                  <c:pt idx="117">
                    <c:v>14:48</c:v>
                  </c:pt>
                  <c:pt idx="118">
                    <c:v>20:15</c:v>
                  </c:pt>
                  <c:pt idx="119">
                    <c:v>23:20</c:v>
                  </c:pt>
                  <c:pt idx="120">
                    <c:v>2:20</c:v>
                  </c:pt>
                  <c:pt idx="121">
                    <c:v>11:00</c:v>
                  </c:pt>
                  <c:pt idx="122">
                    <c:v>14:40</c:v>
                  </c:pt>
                  <c:pt idx="123">
                    <c:v>18:15</c:v>
                  </c:pt>
                  <c:pt idx="124">
                    <c:v>23:20</c:v>
                  </c:pt>
                  <c:pt idx="125">
                    <c:v>2:15</c:v>
                  </c:pt>
                  <c:pt idx="126">
                    <c:v>10:45</c:v>
                  </c:pt>
                  <c:pt idx="127">
                    <c:v>14:45</c:v>
                  </c:pt>
                  <c:pt idx="128">
                    <c:v>21:06</c:v>
                  </c:pt>
                  <c:pt idx="129">
                    <c:v>1:25</c:v>
                  </c:pt>
                  <c:pt idx="130">
                    <c:v>14:45</c:v>
                  </c:pt>
                  <c:pt idx="131">
                    <c:v>1:30</c:v>
                  </c:pt>
                  <c:pt idx="132">
                    <c:v>3:00</c:v>
                  </c:pt>
                  <c:pt idx="133">
                    <c:v>15:15</c:v>
                  </c:pt>
                  <c:pt idx="134">
                    <c:v>11:40</c:v>
                  </c:pt>
                  <c:pt idx="135">
                    <c:v>19:10</c:v>
                  </c:pt>
                  <c:pt idx="136">
                    <c:v>23:05</c:v>
                  </c:pt>
                  <c:pt idx="137">
                    <c:v>2:05</c:v>
                  </c:pt>
                  <c:pt idx="138">
                    <c:v>11:55</c:v>
                  </c:pt>
                  <c:pt idx="139">
                    <c:v>15:40</c:v>
                  </c:pt>
                  <c:pt idx="140">
                    <c:v>19:10</c:v>
                  </c:pt>
                  <c:pt idx="141">
                    <c:v>2:45</c:v>
                  </c:pt>
                  <c:pt idx="142">
                    <c:v>12:15</c:v>
                  </c:pt>
                  <c:pt idx="143">
                    <c:v>15:45</c:v>
                  </c:pt>
                  <c:pt idx="144">
                    <c:v>19:30</c:v>
                  </c:pt>
                  <c:pt idx="145">
                    <c:v>23:30</c:v>
                  </c:pt>
                  <c:pt idx="146">
                    <c:v>2:45</c:v>
                  </c:pt>
                  <c:pt idx="147">
                    <c:v>11:45</c:v>
                  </c:pt>
                  <c:pt idx="148">
                    <c:v>15:45</c:v>
                  </c:pt>
                  <c:pt idx="149">
                    <c:v>19:30</c:v>
                  </c:pt>
                  <c:pt idx="150">
                    <c:v>0:20</c:v>
                  </c:pt>
                  <c:pt idx="151">
                    <c:v>3:55</c:v>
                  </c:pt>
                  <c:pt idx="152">
                    <c:v>11:55</c:v>
                  </c:pt>
                  <c:pt idx="153">
                    <c:v>15:45</c:v>
                  </c:pt>
                  <c:pt idx="154">
                    <c:v>20:30</c:v>
                  </c:pt>
                  <c:pt idx="155">
                    <c:v>0:25</c:v>
                  </c:pt>
                  <c:pt idx="156">
                    <c:v>3:45</c:v>
                  </c:pt>
                  <c:pt idx="157">
                    <c:v>11:45</c:v>
                  </c:pt>
                  <c:pt idx="158">
                    <c:v>15:45</c:v>
                  </c:pt>
                  <c:pt idx="159">
                    <c:v>20:38</c:v>
                  </c:pt>
                  <c:pt idx="160">
                    <c:v>0:00</c:v>
                  </c:pt>
                  <c:pt idx="161">
                    <c:v>3:50</c:v>
                  </c:pt>
                  <c:pt idx="162">
                    <c:v>14:15</c:v>
                  </c:pt>
                  <c:pt idx="163">
                    <c:v>17:45</c:v>
                  </c:pt>
                  <c:pt idx="164">
                    <c:v>19:45</c:v>
                  </c:pt>
                  <c:pt idx="165">
                    <c:v>0:15</c:v>
                  </c:pt>
                  <c:pt idx="166">
                    <c:v>11:45</c:v>
                  </c:pt>
                  <c:pt idx="167">
                    <c:v>15:45</c:v>
                  </c:pt>
                  <c:pt idx="168">
                    <c:v>21:15</c:v>
                  </c:pt>
                  <c:pt idx="169">
                    <c:v>1:18</c:v>
                  </c:pt>
                  <c:pt idx="170">
                    <c:v>4:50</c:v>
                  </c:pt>
                  <c:pt idx="171">
                    <c:v>11:45</c:v>
                  </c:pt>
                  <c:pt idx="172">
                    <c:v>15:45</c:v>
                  </c:pt>
                  <c:pt idx="173">
                    <c:v>21:15</c:v>
                  </c:pt>
                  <c:pt idx="174">
                    <c:v>0:15</c:v>
                  </c:pt>
                  <c:pt idx="175">
                    <c:v>3:50</c:v>
                  </c:pt>
                  <c:pt idx="176">
                    <c:v>11:40</c:v>
                  </c:pt>
                  <c:pt idx="177">
                    <c:v>15:40</c:v>
                  </c:pt>
                  <c:pt idx="178">
                    <c:v>21:15</c:v>
                  </c:pt>
                  <c:pt idx="179">
                    <c:v>0:15</c:v>
                  </c:pt>
                  <c:pt idx="180">
                    <c:v>3:40</c:v>
                  </c:pt>
                  <c:pt idx="181">
                    <c:v>11:35</c:v>
                  </c:pt>
                  <c:pt idx="182">
                    <c:v>15:45</c:v>
                  </c:pt>
                  <c:pt idx="183">
                    <c:v>21:00</c:v>
                  </c:pt>
                </c:lvl>
                <c:lvl>
                  <c:pt idx="0">
                    <c:v>1-Jan-16</c:v>
                  </c:pt>
                  <c:pt idx="1">
                    <c:v>1-Jan-16</c:v>
                  </c:pt>
                  <c:pt idx="2">
                    <c:v>1-Jan-16</c:v>
                  </c:pt>
                  <c:pt idx="3">
                    <c:v>1-Jan-16</c:v>
                  </c:pt>
                  <c:pt idx="4">
                    <c:v>1-Jan-16</c:v>
                  </c:pt>
                  <c:pt idx="5">
                    <c:v>2-Jan-16</c:v>
                  </c:pt>
                  <c:pt idx="6">
                    <c:v>2-Jan-16</c:v>
                  </c:pt>
                  <c:pt idx="7">
                    <c:v>2-Jan-16</c:v>
                  </c:pt>
                  <c:pt idx="8">
                    <c:v>2-Jan-16</c:v>
                  </c:pt>
                  <c:pt idx="9">
                    <c:v>2-Jan-16</c:v>
                  </c:pt>
                  <c:pt idx="10">
                    <c:v>3-Jan-16</c:v>
                  </c:pt>
                  <c:pt idx="11">
                    <c:v>3-Jan-16</c:v>
                  </c:pt>
                  <c:pt idx="12">
                    <c:v>3-Jan-16</c:v>
                  </c:pt>
                  <c:pt idx="13">
                    <c:v>3-Jan-16</c:v>
                  </c:pt>
                  <c:pt idx="14">
                    <c:v>3-Jan-16</c:v>
                  </c:pt>
                  <c:pt idx="15">
                    <c:v>4-Jan-16</c:v>
                  </c:pt>
                  <c:pt idx="16">
                    <c:v>4-Jan-16</c:v>
                  </c:pt>
                  <c:pt idx="17">
                    <c:v>4-Jan-16</c:v>
                  </c:pt>
                  <c:pt idx="18">
                    <c:v>4-Jan-16</c:v>
                  </c:pt>
                  <c:pt idx="19">
                    <c:v>4-Jan-16</c:v>
                  </c:pt>
                  <c:pt idx="20">
                    <c:v>4-Jan-16</c:v>
                  </c:pt>
                  <c:pt idx="21">
                    <c:v>5-Jan-16</c:v>
                  </c:pt>
                  <c:pt idx="22">
                    <c:v>5-Jan-16</c:v>
                  </c:pt>
                  <c:pt idx="23">
                    <c:v>5-Jan-16</c:v>
                  </c:pt>
                  <c:pt idx="24">
                    <c:v>5-Jan-16</c:v>
                  </c:pt>
                  <c:pt idx="25">
                    <c:v>5-Jan-16</c:v>
                  </c:pt>
                  <c:pt idx="26">
                    <c:v>6-Jan-16</c:v>
                  </c:pt>
                  <c:pt idx="27">
                    <c:v>6-Jan-16</c:v>
                  </c:pt>
                  <c:pt idx="28">
                    <c:v>6-Jan-16</c:v>
                  </c:pt>
                  <c:pt idx="29">
                    <c:v>6-Jan-16</c:v>
                  </c:pt>
                  <c:pt idx="30">
                    <c:v>6-Jan-16</c:v>
                  </c:pt>
                  <c:pt idx="31">
                    <c:v>6-Jan-16</c:v>
                  </c:pt>
                  <c:pt idx="32">
                    <c:v>7-Jan-16</c:v>
                  </c:pt>
                  <c:pt idx="33">
                    <c:v>7-Jan-16</c:v>
                  </c:pt>
                  <c:pt idx="34">
                    <c:v>7-Jan-16</c:v>
                  </c:pt>
                  <c:pt idx="35">
                    <c:v>7-Jan-16</c:v>
                  </c:pt>
                  <c:pt idx="36">
                    <c:v>8-Jan-16</c:v>
                  </c:pt>
                  <c:pt idx="37">
                    <c:v>8-Jan-16</c:v>
                  </c:pt>
                  <c:pt idx="38">
                    <c:v>8-Jan-16</c:v>
                  </c:pt>
                  <c:pt idx="39">
                    <c:v>8-Jan-16</c:v>
                  </c:pt>
                  <c:pt idx="40">
                    <c:v>9-Jan-16</c:v>
                  </c:pt>
                  <c:pt idx="41">
                    <c:v>9-Jan-16</c:v>
                  </c:pt>
                  <c:pt idx="42">
                    <c:v>9-Jan-16</c:v>
                  </c:pt>
                  <c:pt idx="43">
                    <c:v>10-Jan-16</c:v>
                  </c:pt>
                  <c:pt idx="44">
                    <c:v>10-Jan-16</c:v>
                  </c:pt>
                  <c:pt idx="45">
                    <c:v>10-Jan-16</c:v>
                  </c:pt>
                  <c:pt idx="46">
                    <c:v>11-Jan-16</c:v>
                  </c:pt>
                  <c:pt idx="47">
                    <c:v>11-Jan-16</c:v>
                  </c:pt>
                  <c:pt idx="48">
                    <c:v>11-Jan-16</c:v>
                  </c:pt>
                  <c:pt idx="49">
                    <c:v>11-Jan-16</c:v>
                  </c:pt>
                  <c:pt idx="50">
                    <c:v>12-Jan-16</c:v>
                  </c:pt>
                  <c:pt idx="51">
                    <c:v>13-Jan-16</c:v>
                  </c:pt>
                  <c:pt idx="52">
                    <c:v>14-Jan-16</c:v>
                  </c:pt>
                  <c:pt idx="53">
                    <c:v>15-Jan-16</c:v>
                  </c:pt>
                  <c:pt idx="54">
                    <c:v>16-Jan-16</c:v>
                  </c:pt>
                  <c:pt idx="55">
                    <c:v>16-Jan-16</c:v>
                  </c:pt>
                  <c:pt idx="56">
                    <c:v>17-Jan-16</c:v>
                  </c:pt>
                  <c:pt idx="57">
                    <c:v>17-Jan-16</c:v>
                  </c:pt>
                  <c:pt idx="58">
                    <c:v>17-Jan-16</c:v>
                  </c:pt>
                  <c:pt idx="59">
                    <c:v>18-Jan-16</c:v>
                  </c:pt>
                  <c:pt idx="60">
                    <c:v>18-Jan-16</c:v>
                  </c:pt>
                  <c:pt idx="61">
                    <c:v>18-Jan-16</c:v>
                  </c:pt>
                  <c:pt idx="62">
                    <c:v>18-Jan-16</c:v>
                  </c:pt>
                  <c:pt idx="63">
                    <c:v>18-Jan-16</c:v>
                  </c:pt>
                  <c:pt idx="64">
                    <c:v>18-Jan-16</c:v>
                  </c:pt>
                  <c:pt idx="65">
                    <c:v>19-Jan-16</c:v>
                  </c:pt>
                  <c:pt idx="66">
                    <c:v>19-Jan-16</c:v>
                  </c:pt>
                  <c:pt idx="67">
                    <c:v>19-Jan-16</c:v>
                  </c:pt>
                  <c:pt idx="68">
                    <c:v>19-Jan-16</c:v>
                  </c:pt>
                  <c:pt idx="69">
                    <c:v>19-Jan-16</c:v>
                  </c:pt>
                  <c:pt idx="70">
                    <c:v>20-Jan-16</c:v>
                  </c:pt>
                  <c:pt idx="71">
                    <c:v>20-Jan-16</c:v>
                  </c:pt>
                  <c:pt idx="72">
                    <c:v>20-Jan-16</c:v>
                  </c:pt>
                  <c:pt idx="73">
                    <c:v>20-Jan-16</c:v>
                  </c:pt>
                  <c:pt idx="74">
                    <c:v>20-Jan-16</c:v>
                  </c:pt>
                  <c:pt idx="75">
                    <c:v>21-Jan-16</c:v>
                  </c:pt>
                  <c:pt idx="76">
                    <c:v>21-Jan-16</c:v>
                  </c:pt>
                  <c:pt idx="77">
                    <c:v>21-Jan-16</c:v>
                  </c:pt>
                  <c:pt idx="78">
                    <c:v>21-Jan-16</c:v>
                  </c:pt>
                  <c:pt idx="79">
                    <c:v>21-Jan-16</c:v>
                  </c:pt>
                  <c:pt idx="80">
                    <c:v>22-Jan-16</c:v>
                  </c:pt>
                  <c:pt idx="81">
                    <c:v>22-Jan-16</c:v>
                  </c:pt>
                  <c:pt idx="82">
                    <c:v>22-Jan-16</c:v>
                  </c:pt>
                  <c:pt idx="83">
                    <c:v>23-Jan-16</c:v>
                  </c:pt>
                  <c:pt idx="84">
                    <c:v>23-Jan-16</c:v>
                  </c:pt>
                  <c:pt idx="85">
                    <c:v>23-Jan-16</c:v>
                  </c:pt>
                  <c:pt idx="86">
                    <c:v>24-Jan-16</c:v>
                  </c:pt>
                  <c:pt idx="87">
                    <c:v>24-Jan-16</c:v>
                  </c:pt>
                  <c:pt idx="88">
                    <c:v>24-Jan-16</c:v>
                  </c:pt>
                  <c:pt idx="89">
                    <c:v>25-Jan-16</c:v>
                  </c:pt>
                  <c:pt idx="90">
                    <c:v>25-Jan-16</c:v>
                  </c:pt>
                  <c:pt idx="91">
                    <c:v>25-Jan-16</c:v>
                  </c:pt>
                  <c:pt idx="92">
                    <c:v>25-Jan-16</c:v>
                  </c:pt>
                  <c:pt idx="93">
                    <c:v>26-Jan-16</c:v>
                  </c:pt>
                  <c:pt idx="94">
                    <c:v>26-Jan-16</c:v>
                  </c:pt>
                  <c:pt idx="95">
                    <c:v>26-Jan-16</c:v>
                  </c:pt>
                  <c:pt idx="96">
                    <c:v>26-Jan-16</c:v>
                  </c:pt>
                  <c:pt idx="97">
                    <c:v>26-Jan-16</c:v>
                  </c:pt>
                  <c:pt idx="98">
                    <c:v>27-Jan-16</c:v>
                  </c:pt>
                  <c:pt idx="99">
                    <c:v>27-Jan-16</c:v>
                  </c:pt>
                  <c:pt idx="100">
                    <c:v>27-Jan-16</c:v>
                  </c:pt>
                  <c:pt idx="101">
                    <c:v>27-Jan-16</c:v>
                  </c:pt>
                  <c:pt idx="102">
                    <c:v>28-Jan-16</c:v>
                  </c:pt>
                  <c:pt idx="103">
                    <c:v>28-Jan-16</c:v>
                  </c:pt>
                  <c:pt idx="104">
                    <c:v>28-Jan-16</c:v>
                  </c:pt>
                  <c:pt idx="105">
                    <c:v>29-Jan-16</c:v>
                  </c:pt>
                  <c:pt idx="106">
                    <c:v>29-Jan-16</c:v>
                  </c:pt>
                  <c:pt idx="107">
                    <c:v>29-Jan-16</c:v>
                  </c:pt>
                  <c:pt idx="108">
                    <c:v>29-Jan-16</c:v>
                  </c:pt>
                  <c:pt idx="109">
                    <c:v>29-Jan-16</c:v>
                  </c:pt>
                  <c:pt idx="110">
                    <c:v>30-Jan-16</c:v>
                  </c:pt>
                  <c:pt idx="111">
                    <c:v>30-Jan-16</c:v>
                  </c:pt>
                  <c:pt idx="112">
                    <c:v>30-Jan-16</c:v>
                  </c:pt>
                  <c:pt idx="113">
                    <c:v>30-Jan-16</c:v>
                  </c:pt>
                  <c:pt idx="114">
                    <c:v>31-Jan-16</c:v>
                  </c:pt>
                  <c:pt idx="115">
                    <c:v>31-Jan-16</c:v>
                  </c:pt>
                  <c:pt idx="116">
                    <c:v>1-Feb-16</c:v>
                  </c:pt>
                  <c:pt idx="117">
                    <c:v>1-Feb-16</c:v>
                  </c:pt>
                  <c:pt idx="118">
                    <c:v>1-Feb-16</c:v>
                  </c:pt>
                  <c:pt idx="119">
                    <c:v>1-Feb-16</c:v>
                  </c:pt>
                  <c:pt idx="120">
                    <c:v>2-Feb-16</c:v>
                  </c:pt>
                  <c:pt idx="121">
                    <c:v>2-Feb-16</c:v>
                  </c:pt>
                  <c:pt idx="122">
                    <c:v>2-Feb-16</c:v>
                  </c:pt>
                  <c:pt idx="123">
                    <c:v>2-Feb-16</c:v>
                  </c:pt>
                  <c:pt idx="124">
                    <c:v>2-Feb-16</c:v>
                  </c:pt>
                  <c:pt idx="125">
                    <c:v>3-Feb-16</c:v>
                  </c:pt>
                  <c:pt idx="126">
                    <c:v>3-Feb-16</c:v>
                  </c:pt>
                  <c:pt idx="127">
                    <c:v>3-Feb-16</c:v>
                  </c:pt>
                  <c:pt idx="128">
                    <c:v>3-Feb-16</c:v>
                  </c:pt>
                  <c:pt idx="129">
                    <c:v>4-Feb-16</c:v>
                  </c:pt>
                  <c:pt idx="130">
                    <c:v>4-Feb-16</c:v>
                  </c:pt>
                  <c:pt idx="131">
                    <c:v>4-Feb-16</c:v>
                  </c:pt>
                  <c:pt idx="132">
                    <c:v>5-Feb-16</c:v>
                  </c:pt>
                  <c:pt idx="133">
                    <c:v>5-Feb-16</c:v>
                  </c:pt>
                  <c:pt idx="134">
                    <c:v>6-Feb-16</c:v>
                  </c:pt>
                  <c:pt idx="135">
                    <c:v>6-Feb-16</c:v>
                  </c:pt>
                  <c:pt idx="136">
                    <c:v>6-Feb-16</c:v>
                  </c:pt>
                  <c:pt idx="137">
                    <c:v>7-Feb-16</c:v>
                  </c:pt>
                  <c:pt idx="138">
                    <c:v>7-Feb-16</c:v>
                  </c:pt>
                  <c:pt idx="139">
                    <c:v>7-Feb-16</c:v>
                  </c:pt>
                  <c:pt idx="140">
                    <c:v>7-Feb-16</c:v>
                  </c:pt>
                  <c:pt idx="141">
                    <c:v>8-Feb-16</c:v>
                  </c:pt>
                  <c:pt idx="142">
                    <c:v>8-Feb-16</c:v>
                  </c:pt>
                  <c:pt idx="143">
                    <c:v>8-Feb-16</c:v>
                  </c:pt>
                  <c:pt idx="144">
                    <c:v>8-Feb-16</c:v>
                  </c:pt>
                  <c:pt idx="145">
                    <c:v>8-Feb-16</c:v>
                  </c:pt>
                  <c:pt idx="146">
                    <c:v>9-Feb-16</c:v>
                  </c:pt>
                  <c:pt idx="147">
                    <c:v>9-Feb-16</c:v>
                  </c:pt>
                  <c:pt idx="148">
                    <c:v>9-Feb-16</c:v>
                  </c:pt>
                  <c:pt idx="149">
                    <c:v>9-Feb-16</c:v>
                  </c:pt>
                  <c:pt idx="150">
                    <c:v>10-Feb-16</c:v>
                  </c:pt>
                  <c:pt idx="151">
                    <c:v>10-Feb-16</c:v>
                  </c:pt>
                  <c:pt idx="152">
                    <c:v>10-Feb-16</c:v>
                  </c:pt>
                  <c:pt idx="153">
                    <c:v>10-Feb-16</c:v>
                  </c:pt>
                  <c:pt idx="154">
                    <c:v>10-Feb-16</c:v>
                  </c:pt>
                  <c:pt idx="155">
                    <c:v>11-Feb-16</c:v>
                  </c:pt>
                  <c:pt idx="156">
                    <c:v>11-Feb-16</c:v>
                  </c:pt>
                  <c:pt idx="157">
                    <c:v>11-Feb-16</c:v>
                  </c:pt>
                  <c:pt idx="158">
                    <c:v>11-Feb-16</c:v>
                  </c:pt>
                  <c:pt idx="159">
                    <c:v>11-Feb-16</c:v>
                  </c:pt>
                  <c:pt idx="160">
                    <c:v>12-Feb-16</c:v>
                  </c:pt>
                  <c:pt idx="161">
                    <c:v>12-Feb-16</c:v>
                  </c:pt>
                  <c:pt idx="162">
                    <c:v>12-Feb-16</c:v>
                  </c:pt>
                  <c:pt idx="163">
                    <c:v>12-Feb-16</c:v>
                  </c:pt>
                  <c:pt idx="164">
                    <c:v>12-Feb-16</c:v>
                  </c:pt>
                  <c:pt idx="165">
                    <c:v>13-Feb-16</c:v>
                  </c:pt>
                  <c:pt idx="166">
                    <c:v>13-Feb-16</c:v>
                  </c:pt>
                  <c:pt idx="167">
                    <c:v>13-Feb-16</c:v>
                  </c:pt>
                  <c:pt idx="168">
                    <c:v>13-Feb-16</c:v>
                  </c:pt>
                  <c:pt idx="169">
                    <c:v>14-Feb-16</c:v>
                  </c:pt>
                  <c:pt idx="170">
                    <c:v>14-Feb-16</c:v>
                  </c:pt>
                  <c:pt idx="171">
                    <c:v>14-Feb-16</c:v>
                  </c:pt>
                  <c:pt idx="172">
                    <c:v>14-Feb-16</c:v>
                  </c:pt>
                  <c:pt idx="173">
                    <c:v>14-Feb-16</c:v>
                  </c:pt>
                  <c:pt idx="174">
                    <c:v>15-Feb-16</c:v>
                  </c:pt>
                  <c:pt idx="175">
                    <c:v>15-Feb-16</c:v>
                  </c:pt>
                  <c:pt idx="176">
                    <c:v>15-Feb-16</c:v>
                  </c:pt>
                  <c:pt idx="177">
                    <c:v>15-Feb-16</c:v>
                  </c:pt>
                  <c:pt idx="178">
                    <c:v>15-Feb-16</c:v>
                  </c:pt>
                  <c:pt idx="179">
                    <c:v>16-Feb-16</c:v>
                  </c:pt>
                  <c:pt idx="180">
                    <c:v>16-Feb-16</c:v>
                  </c:pt>
                  <c:pt idx="181">
                    <c:v>16-Feb-16</c:v>
                  </c:pt>
                  <c:pt idx="182">
                    <c:v>16-Feb-16</c:v>
                  </c:pt>
                  <c:pt idx="183">
                    <c:v>16-Feb-16</c:v>
                  </c:pt>
                </c:lvl>
              </c:multiLvlStrCache>
            </c:multiLvlStrRef>
          </c:cat>
          <c:val>
            <c:numRef>
              <c:f>'Coke Moisture'!$E$17:$E$1501</c:f>
              <c:numCache>
                <c:formatCode>General</c:formatCode>
                <c:ptCount val="1485"/>
                <c:pt idx="0">
                  <c:v>15.8</c:v>
                </c:pt>
                <c:pt idx="1">
                  <c:v>14.1</c:v>
                </c:pt>
                <c:pt idx="2">
                  <c:v>18.100000000000001</c:v>
                </c:pt>
                <c:pt idx="3">
                  <c:v>15.6</c:v>
                </c:pt>
                <c:pt idx="4">
                  <c:v>15</c:v>
                </c:pt>
                <c:pt idx="5">
                  <c:v>15.7</c:v>
                </c:pt>
                <c:pt idx="6">
                  <c:v>11.2</c:v>
                </c:pt>
                <c:pt idx="7">
                  <c:v>15.2</c:v>
                </c:pt>
                <c:pt idx="8">
                  <c:v>11.5</c:v>
                </c:pt>
                <c:pt idx="9">
                  <c:v>12.2</c:v>
                </c:pt>
                <c:pt idx="10">
                  <c:v>14.2</c:v>
                </c:pt>
                <c:pt idx="11">
                  <c:v>14.4</c:v>
                </c:pt>
                <c:pt idx="12">
                  <c:v>18.5</c:v>
                </c:pt>
                <c:pt idx="13">
                  <c:v>15.7</c:v>
                </c:pt>
                <c:pt idx="14">
                  <c:v>17.3</c:v>
                </c:pt>
                <c:pt idx="15">
                  <c:v>18.2</c:v>
                </c:pt>
                <c:pt idx="16">
                  <c:v>17</c:v>
                </c:pt>
                <c:pt idx="17">
                  <c:v>13.1</c:v>
                </c:pt>
                <c:pt idx="18">
                  <c:v>19</c:v>
                </c:pt>
                <c:pt idx="19">
                  <c:v>18.399999999999999</c:v>
                </c:pt>
                <c:pt idx="20">
                  <c:v>14.4</c:v>
                </c:pt>
                <c:pt idx="21">
                  <c:v>15.5</c:v>
                </c:pt>
                <c:pt idx="22">
                  <c:v>19.3</c:v>
                </c:pt>
                <c:pt idx="23">
                  <c:v>17.2</c:v>
                </c:pt>
                <c:pt idx="24">
                  <c:v>18</c:v>
                </c:pt>
                <c:pt idx="25">
                  <c:v>17.5</c:v>
                </c:pt>
                <c:pt idx="26">
                  <c:v>20.6</c:v>
                </c:pt>
                <c:pt idx="27">
                  <c:v>16.2</c:v>
                </c:pt>
                <c:pt idx="28">
                  <c:v>14.1</c:v>
                </c:pt>
                <c:pt idx="29">
                  <c:v>17.8</c:v>
                </c:pt>
                <c:pt idx="30">
                  <c:v>12.2</c:v>
                </c:pt>
                <c:pt idx="31">
                  <c:v>16.2</c:v>
                </c:pt>
                <c:pt idx="32">
                  <c:v>15.1</c:v>
                </c:pt>
                <c:pt idx="33">
                  <c:v>15.1</c:v>
                </c:pt>
                <c:pt idx="34">
                  <c:v>21.5</c:v>
                </c:pt>
                <c:pt idx="35">
                  <c:v>16.7</c:v>
                </c:pt>
                <c:pt idx="36">
                  <c:v>14.8</c:v>
                </c:pt>
                <c:pt idx="37">
                  <c:v>14</c:v>
                </c:pt>
                <c:pt idx="38">
                  <c:v>16.5</c:v>
                </c:pt>
                <c:pt idx="39">
                  <c:v>13.4</c:v>
                </c:pt>
                <c:pt idx="40">
                  <c:v>14</c:v>
                </c:pt>
                <c:pt idx="41">
                  <c:v>15.6</c:v>
                </c:pt>
                <c:pt idx="42">
                  <c:v>15</c:v>
                </c:pt>
                <c:pt idx="43">
                  <c:v>15.3</c:v>
                </c:pt>
                <c:pt idx="44">
                  <c:v>14.9</c:v>
                </c:pt>
                <c:pt idx="45">
                  <c:v>14.8</c:v>
                </c:pt>
                <c:pt idx="46">
                  <c:v>15.4</c:v>
                </c:pt>
                <c:pt idx="47">
                  <c:v>16</c:v>
                </c:pt>
                <c:pt idx="48">
                  <c:v>14.5</c:v>
                </c:pt>
                <c:pt idx="49">
                  <c:v>13.9</c:v>
                </c:pt>
                <c:pt idx="50">
                  <c:v>16</c:v>
                </c:pt>
                <c:pt idx="51">
                  <c:v>14.5</c:v>
                </c:pt>
                <c:pt idx="52">
                  <c:v>13</c:v>
                </c:pt>
                <c:pt idx="53">
                  <c:v>15.8</c:v>
                </c:pt>
                <c:pt idx="54">
                  <c:v>18.5</c:v>
                </c:pt>
                <c:pt idx="55">
                  <c:v>18.8</c:v>
                </c:pt>
                <c:pt idx="56">
                  <c:v>15.2</c:v>
                </c:pt>
                <c:pt idx="57">
                  <c:v>15.5</c:v>
                </c:pt>
                <c:pt idx="58">
                  <c:v>15.5</c:v>
                </c:pt>
                <c:pt idx="59">
                  <c:v>14.5</c:v>
                </c:pt>
                <c:pt idx="60">
                  <c:v>14.8</c:v>
                </c:pt>
                <c:pt idx="61">
                  <c:v>17</c:v>
                </c:pt>
                <c:pt idx="62">
                  <c:v>14</c:v>
                </c:pt>
                <c:pt idx="63">
                  <c:v>17.2</c:v>
                </c:pt>
                <c:pt idx="64">
                  <c:v>14.8</c:v>
                </c:pt>
                <c:pt idx="65">
                  <c:v>14.5</c:v>
                </c:pt>
                <c:pt idx="66">
                  <c:v>17.5</c:v>
                </c:pt>
                <c:pt idx="67">
                  <c:v>16.100000000000001</c:v>
                </c:pt>
                <c:pt idx="68">
                  <c:v>15.1</c:v>
                </c:pt>
                <c:pt idx="69">
                  <c:v>12.4</c:v>
                </c:pt>
                <c:pt idx="70">
                  <c:v>15.9</c:v>
                </c:pt>
                <c:pt idx="71">
                  <c:v>15.6</c:v>
                </c:pt>
                <c:pt idx="72">
                  <c:v>15.1</c:v>
                </c:pt>
                <c:pt idx="73">
                  <c:v>16.899999999999999</c:v>
                </c:pt>
                <c:pt idx="74">
                  <c:v>18.5</c:v>
                </c:pt>
                <c:pt idx="75">
                  <c:v>15.9</c:v>
                </c:pt>
                <c:pt idx="76">
                  <c:v>16.399999999999999</c:v>
                </c:pt>
                <c:pt idx="77">
                  <c:v>17.7</c:v>
                </c:pt>
                <c:pt idx="78">
                  <c:v>17.2</c:v>
                </c:pt>
                <c:pt idx="79">
                  <c:v>13.4</c:v>
                </c:pt>
                <c:pt idx="80">
                  <c:v>14.4</c:v>
                </c:pt>
                <c:pt idx="81">
                  <c:v>15.4</c:v>
                </c:pt>
                <c:pt idx="82">
                  <c:v>14.3</c:v>
                </c:pt>
                <c:pt idx="83">
                  <c:v>15.6</c:v>
                </c:pt>
                <c:pt idx="84">
                  <c:v>15.7</c:v>
                </c:pt>
                <c:pt idx="85">
                  <c:v>18.2</c:v>
                </c:pt>
                <c:pt idx="86">
                  <c:v>15.1</c:v>
                </c:pt>
                <c:pt idx="87">
                  <c:v>14.5</c:v>
                </c:pt>
                <c:pt idx="88">
                  <c:v>13.5</c:v>
                </c:pt>
                <c:pt idx="89">
                  <c:v>17.3</c:v>
                </c:pt>
                <c:pt idx="90">
                  <c:v>17.600000000000001</c:v>
                </c:pt>
                <c:pt idx="91">
                  <c:v>16.7</c:v>
                </c:pt>
                <c:pt idx="92">
                  <c:v>13.5</c:v>
                </c:pt>
                <c:pt idx="93">
                  <c:v>15.8</c:v>
                </c:pt>
                <c:pt idx="94">
                  <c:v>17.8</c:v>
                </c:pt>
                <c:pt idx="95">
                  <c:v>18.2</c:v>
                </c:pt>
                <c:pt idx="96">
                  <c:v>17.600000000000001</c:v>
                </c:pt>
                <c:pt idx="97">
                  <c:v>14.9</c:v>
                </c:pt>
                <c:pt idx="98">
                  <c:v>16.899999999999999</c:v>
                </c:pt>
                <c:pt idx="99">
                  <c:v>14.8</c:v>
                </c:pt>
                <c:pt idx="100">
                  <c:v>18.100000000000001</c:v>
                </c:pt>
                <c:pt idx="101">
                  <c:v>14.5</c:v>
                </c:pt>
                <c:pt idx="102">
                  <c:v>18.2</c:v>
                </c:pt>
                <c:pt idx="103">
                  <c:v>14.2</c:v>
                </c:pt>
                <c:pt idx="104">
                  <c:v>17.100000000000001</c:v>
                </c:pt>
                <c:pt idx="105">
                  <c:v>15.4</c:v>
                </c:pt>
                <c:pt idx="106">
                  <c:v>16</c:v>
                </c:pt>
                <c:pt idx="107">
                  <c:v>16.7</c:v>
                </c:pt>
                <c:pt idx="108">
                  <c:v>15.5</c:v>
                </c:pt>
                <c:pt idx="109">
                  <c:v>17.100000000000001</c:v>
                </c:pt>
                <c:pt idx="110">
                  <c:v>16.5</c:v>
                </c:pt>
                <c:pt idx="111">
                  <c:v>19</c:v>
                </c:pt>
                <c:pt idx="112">
                  <c:v>14.3</c:v>
                </c:pt>
                <c:pt idx="113">
                  <c:v>14.8</c:v>
                </c:pt>
                <c:pt idx="114">
                  <c:v>12.5</c:v>
                </c:pt>
                <c:pt idx="115">
                  <c:v>16</c:v>
                </c:pt>
                <c:pt idx="116">
                  <c:v>15.2</c:v>
                </c:pt>
                <c:pt idx="117">
                  <c:v>17.7</c:v>
                </c:pt>
                <c:pt idx="118">
                  <c:v>12.9</c:v>
                </c:pt>
                <c:pt idx="119">
                  <c:v>15.2</c:v>
                </c:pt>
                <c:pt idx="120">
                  <c:v>16.7</c:v>
                </c:pt>
                <c:pt idx="121">
                  <c:v>12.6</c:v>
                </c:pt>
                <c:pt idx="122">
                  <c:v>12.3</c:v>
                </c:pt>
                <c:pt idx="123">
                  <c:v>14.7</c:v>
                </c:pt>
                <c:pt idx="124">
                  <c:v>10.5</c:v>
                </c:pt>
                <c:pt idx="125">
                  <c:v>14</c:v>
                </c:pt>
                <c:pt idx="126">
                  <c:v>12</c:v>
                </c:pt>
                <c:pt idx="127">
                  <c:v>14.3</c:v>
                </c:pt>
                <c:pt idx="128">
                  <c:v>12.4</c:v>
                </c:pt>
                <c:pt idx="129">
                  <c:v>13.1</c:v>
                </c:pt>
                <c:pt idx="130">
                  <c:v>13.9</c:v>
                </c:pt>
                <c:pt idx="131">
                  <c:v>13.1</c:v>
                </c:pt>
                <c:pt idx="132">
                  <c:v>13.9</c:v>
                </c:pt>
                <c:pt idx="133">
                  <c:v>14.2</c:v>
                </c:pt>
                <c:pt idx="134">
                  <c:v>13.7</c:v>
                </c:pt>
                <c:pt idx="135">
                  <c:v>9.5</c:v>
                </c:pt>
                <c:pt idx="136">
                  <c:v>12.3</c:v>
                </c:pt>
                <c:pt idx="137">
                  <c:v>12.8</c:v>
                </c:pt>
                <c:pt idx="138">
                  <c:v>13.6</c:v>
                </c:pt>
                <c:pt idx="139">
                  <c:v>15.5</c:v>
                </c:pt>
                <c:pt idx="140">
                  <c:v>13.3</c:v>
                </c:pt>
                <c:pt idx="141">
                  <c:v>16.3</c:v>
                </c:pt>
                <c:pt idx="142">
                  <c:v>17.3</c:v>
                </c:pt>
                <c:pt idx="143">
                  <c:v>16.899999999999999</c:v>
                </c:pt>
                <c:pt idx="144">
                  <c:v>12.2</c:v>
                </c:pt>
                <c:pt idx="145">
                  <c:v>16.600000000000001</c:v>
                </c:pt>
                <c:pt idx="146">
                  <c:v>14.9</c:v>
                </c:pt>
                <c:pt idx="147">
                  <c:v>13</c:v>
                </c:pt>
                <c:pt idx="148">
                  <c:v>16.899999999999999</c:v>
                </c:pt>
                <c:pt idx="149">
                  <c:v>10.6</c:v>
                </c:pt>
                <c:pt idx="150">
                  <c:v>14.6</c:v>
                </c:pt>
                <c:pt idx="151">
                  <c:v>12.3</c:v>
                </c:pt>
                <c:pt idx="152">
                  <c:v>10.199999999999999</c:v>
                </c:pt>
                <c:pt idx="153">
                  <c:v>12.3</c:v>
                </c:pt>
                <c:pt idx="154">
                  <c:v>10.5</c:v>
                </c:pt>
                <c:pt idx="155">
                  <c:v>12.1</c:v>
                </c:pt>
                <c:pt idx="156">
                  <c:v>13.3</c:v>
                </c:pt>
                <c:pt idx="157">
                  <c:v>12.1</c:v>
                </c:pt>
                <c:pt idx="158">
                  <c:v>15.2</c:v>
                </c:pt>
                <c:pt idx="159">
                  <c:v>17.100000000000001</c:v>
                </c:pt>
                <c:pt idx="160">
                  <c:v>13.5</c:v>
                </c:pt>
                <c:pt idx="161">
                  <c:v>12.8</c:v>
                </c:pt>
                <c:pt idx="162">
                  <c:v>15.3</c:v>
                </c:pt>
                <c:pt idx="163">
                  <c:v>12.6</c:v>
                </c:pt>
                <c:pt idx="164">
                  <c:v>15.5</c:v>
                </c:pt>
                <c:pt idx="165">
                  <c:v>16.5</c:v>
                </c:pt>
                <c:pt idx="166">
                  <c:v>11.9</c:v>
                </c:pt>
                <c:pt idx="167">
                  <c:v>13.8</c:v>
                </c:pt>
                <c:pt idx="168">
                  <c:v>13.8</c:v>
                </c:pt>
                <c:pt idx="169">
                  <c:v>17.600000000000001</c:v>
                </c:pt>
                <c:pt idx="170">
                  <c:v>17.3</c:v>
                </c:pt>
                <c:pt idx="171">
                  <c:v>12.2</c:v>
                </c:pt>
                <c:pt idx="172">
                  <c:v>12</c:v>
                </c:pt>
                <c:pt idx="173">
                  <c:v>15.2</c:v>
                </c:pt>
                <c:pt idx="174">
                  <c:v>17.899999999999999</c:v>
                </c:pt>
                <c:pt idx="175">
                  <c:v>16.2</c:v>
                </c:pt>
                <c:pt idx="176">
                  <c:v>12.5</c:v>
                </c:pt>
                <c:pt idx="177">
                  <c:v>11.2</c:v>
                </c:pt>
                <c:pt idx="178">
                  <c:v>17.8</c:v>
                </c:pt>
                <c:pt idx="179">
                  <c:v>17.600000000000001</c:v>
                </c:pt>
                <c:pt idx="180">
                  <c:v>16.5</c:v>
                </c:pt>
                <c:pt idx="181">
                  <c:v>10.8</c:v>
                </c:pt>
                <c:pt idx="182">
                  <c:v>12</c:v>
                </c:pt>
                <c:pt idx="183">
                  <c:v>15.5</c:v>
                </c:pt>
                <c:pt idx="184">
                  <c:v>15.7</c:v>
                </c:pt>
                <c:pt idx="185">
                  <c:v>15.9</c:v>
                </c:pt>
                <c:pt idx="186">
                  <c:v>12.7</c:v>
                </c:pt>
                <c:pt idx="187">
                  <c:v>13.4</c:v>
                </c:pt>
                <c:pt idx="188">
                  <c:v>15.9</c:v>
                </c:pt>
                <c:pt idx="189">
                  <c:v>17.3</c:v>
                </c:pt>
                <c:pt idx="190">
                  <c:v>17.5</c:v>
                </c:pt>
                <c:pt idx="191">
                  <c:v>14.7</c:v>
                </c:pt>
                <c:pt idx="192">
                  <c:v>12.7</c:v>
                </c:pt>
                <c:pt idx="193">
                  <c:v>16</c:v>
                </c:pt>
                <c:pt idx="194">
                  <c:v>17.100000000000001</c:v>
                </c:pt>
                <c:pt idx="195">
                  <c:v>18.399999999999999</c:v>
                </c:pt>
                <c:pt idx="196">
                  <c:v>11.2</c:v>
                </c:pt>
                <c:pt idx="197">
                  <c:v>11.6</c:v>
                </c:pt>
                <c:pt idx="198">
                  <c:v>14</c:v>
                </c:pt>
                <c:pt idx="199">
                  <c:v>14.2</c:v>
                </c:pt>
                <c:pt idx="200">
                  <c:v>15.1</c:v>
                </c:pt>
                <c:pt idx="201">
                  <c:v>10.4</c:v>
                </c:pt>
                <c:pt idx="202">
                  <c:v>13.8</c:v>
                </c:pt>
                <c:pt idx="203">
                  <c:v>15.9</c:v>
                </c:pt>
                <c:pt idx="204">
                  <c:v>11.3</c:v>
                </c:pt>
                <c:pt idx="205">
                  <c:v>14.7</c:v>
                </c:pt>
                <c:pt idx="206">
                  <c:v>10.5</c:v>
                </c:pt>
                <c:pt idx="207">
                  <c:v>14.9</c:v>
                </c:pt>
                <c:pt idx="208">
                  <c:v>14.2</c:v>
                </c:pt>
                <c:pt idx="209">
                  <c:v>13.9</c:v>
                </c:pt>
                <c:pt idx="210">
                  <c:v>9.3000000000000007</c:v>
                </c:pt>
                <c:pt idx="211">
                  <c:v>13.4</c:v>
                </c:pt>
                <c:pt idx="212">
                  <c:v>14.1</c:v>
                </c:pt>
                <c:pt idx="213">
                  <c:v>15.1</c:v>
                </c:pt>
                <c:pt idx="214">
                  <c:v>16.8</c:v>
                </c:pt>
                <c:pt idx="215">
                  <c:v>13.2</c:v>
                </c:pt>
                <c:pt idx="216">
                  <c:v>10.1</c:v>
                </c:pt>
                <c:pt idx="217">
                  <c:v>15.1</c:v>
                </c:pt>
                <c:pt idx="218">
                  <c:v>15.9</c:v>
                </c:pt>
                <c:pt idx="219">
                  <c:v>16</c:v>
                </c:pt>
                <c:pt idx="220">
                  <c:v>11.6</c:v>
                </c:pt>
                <c:pt idx="221">
                  <c:v>11.6</c:v>
                </c:pt>
                <c:pt idx="222">
                  <c:v>10.199999999999999</c:v>
                </c:pt>
                <c:pt idx="223">
                  <c:v>10.4</c:v>
                </c:pt>
                <c:pt idx="224">
                  <c:v>12.9</c:v>
                </c:pt>
                <c:pt idx="225">
                  <c:v>13.7</c:v>
                </c:pt>
                <c:pt idx="226">
                  <c:v>12.8</c:v>
                </c:pt>
                <c:pt idx="227">
                  <c:v>12.1</c:v>
                </c:pt>
                <c:pt idx="228">
                  <c:v>7.4</c:v>
                </c:pt>
                <c:pt idx="229">
                  <c:v>11.1</c:v>
                </c:pt>
                <c:pt idx="230">
                  <c:v>8.9</c:v>
                </c:pt>
                <c:pt idx="231">
                  <c:v>11.6</c:v>
                </c:pt>
                <c:pt idx="232">
                  <c:v>12</c:v>
                </c:pt>
                <c:pt idx="233">
                  <c:v>11.9</c:v>
                </c:pt>
                <c:pt idx="234">
                  <c:v>10.199999999999999</c:v>
                </c:pt>
                <c:pt idx="235">
                  <c:v>11.2</c:v>
                </c:pt>
                <c:pt idx="236">
                  <c:v>15.7</c:v>
                </c:pt>
                <c:pt idx="237">
                  <c:v>11.8</c:v>
                </c:pt>
                <c:pt idx="238">
                  <c:v>9.6</c:v>
                </c:pt>
                <c:pt idx="239">
                  <c:v>15.8</c:v>
                </c:pt>
                <c:pt idx="240">
                  <c:v>14.8</c:v>
                </c:pt>
                <c:pt idx="241">
                  <c:v>15.8</c:v>
                </c:pt>
                <c:pt idx="242">
                  <c:v>13.6</c:v>
                </c:pt>
                <c:pt idx="243">
                  <c:v>12.7</c:v>
                </c:pt>
                <c:pt idx="244">
                  <c:v>15.4</c:v>
                </c:pt>
                <c:pt idx="245">
                  <c:v>13.5</c:v>
                </c:pt>
                <c:pt idx="246">
                  <c:v>15.6</c:v>
                </c:pt>
                <c:pt idx="247">
                  <c:v>16.7</c:v>
                </c:pt>
                <c:pt idx="248">
                  <c:v>17.7</c:v>
                </c:pt>
                <c:pt idx="249">
                  <c:v>12.7</c:v>
                </c:pt>
                <c:pt idx="250">
                  <c:v>15.3</c:v>
                </c:pt>
                <c:pt idx="251">
                  <c:v>14.4</c:v>
                </c:pt>
                <c:pt idx="252">
                  <c:v>12.8</c:v>
                </c:pt>
                <c:pt idx="253">
                  <c:v>16.899999999999999</c:v>
                </c:pt>
                <c:pt idx="254">
                  <c:v>10.5</c:v>
                </c:pt>
                <c:pt idx="255">
                  <c:v>10.5</c:v>
                </c:pt>
                <c:pt idx="256">
                  <c:v>13.3</c:v>
                </c:pt>
                <c:pt idx="257">
                  <c:v>14.2</c:v>
                </c:pt>
                <c:pt idx="258">
                  <c:v>15.3</c:v>
                </c:pt>
                <c:pt idx="259">
                  <c:v>13.5</c:v>
                </c:pt>
                <c:pt idx="260">
                  <c:v>10.4</c:v>
                </c:pt>
                <c:pt idx="261">
                  <c:v>12.4</c:v>
                </c:pt>
                <c:pt idx="262">
                  <c:v>13.7</c:v>
                </c:pt>
                <c:pt idx="263">
                  <c:v>13</c:v>
                </c:pt>
                <c:pt idx="264">
                  <c:v>14.3</c:v>
                </c:pt>
                <c:pt idx="265">
                  <c:v>17.100000000000001</c:v>
                </c:pt>
                <c:pt idx="266">
                  <c:v>17.2</c:v>
                </c:pt>
                <c:pt idx="267">
                  <c:v>16.600000000000001</c:v>
                </c:pt>
                <c:pt idx="268">
                  <c:v>12.7</c:v>
                </c:pt>
                <c:pt idx="269">
                  <c:v>16.5</c:v>
                </c:pt>
                <c:pt idx="270">
                  <c:v>15.6</c:v>
                </c:pt>
                <c:pt idx="271">
                  <c:v>10.7</c:v>
                </c:pt>
                <c:pt idx="272">
                  <c:v>12.4</c:v>
                </c:pt>
                <c:pt idx="273">
                  <c:v>9.5</c:v>
                </c:pt>
                <c:pt idx="274">
                  <c:v>13</c:v>
                </c:pt>
                <c:pt idx="275">
                  <c:v>12.8</c:v>
                </c:pt>
                <c:pt idx="276">
                  <c:v>12.9</c:v>
                </c:pt>
                <c:pt idx="277">
                  <c:v>11.9</c:v>
                </c:pt>
                <c:pt idx="278">
                  <c:v>18.399999999999999</c:v>
                </c:pt>
                <c:pt idx="279">
                  <c:v>14.9</c:v>
                </c:pt>
                <c:pt idx="280">
                  <c:v>13.2</c:v>
                </c:pt>
                <c:pt idx="281">
                  <c:v>12.2</c:v>
                </c:pt>
                <c:pt idx="282">
                  <c:v>9.8000000000000007</c:v>
                </c:pt>
                <c:pt idx="283">
                  <c:v>12.7</c:v>
                </c:pt>
                <c:pt idx="284">
                  <c:v>11.5</c:v>
                </c:pt>
                <c:pt idx="285">
                  <c:v>11.2</c:v>
                </c:pt>
                <c:pt idx="286">
                  <c:v>15.7</c:v>
                </c:pt>
                <c:pt idx="287">
                  <c:v>12.4</c:v>
                </c:pt>
                <c:pt idx="288">
                  <c:v>12.4</c:v>
                </c:pt>
                <c:pt idx="289">
                  <c:v>12.6</c:v>
                </c:pt>
                <c:pt idx="290">
                  <c:v>11</c:v>
                </c:pt>
                <c:pt idx="291">
                  <c:v>11.7</c:v>
                </c:pt>
                <c:pt idx="292">
                  <c:v>10</c:v>
                </c:pt>
                <c:pt idx="293">
                  <c:v>17.7</c:v>
                </c:pt>
                <c:pt idx="294">
                  <c:v>8.4</c:v>
                </c:pt>
                <c:pt idx="295">
                  <c:v>13.8</c:v>
                </c:pt>
                <c:pt idx="296">
                  <c:v>12.8</c:v>
                </c:pt>
                <c:pt idx="297">
                  <c:v>16.5</c:v>
                </c:pt>
                <c:pt idx="298">
                  <c:v>13.8</c:v>
                </c:pt>
                <c:pt idx="299">
                  <c:v>13.8</c:v>
                </c:pt>
                <c:pt idx="300">
                  <c:v>13.9</c:v>
                </c:pt>
                <c:pt idx="301">
                  <c:v>16.899999999999999</c:v>
                </c:pt>
                <c:pt idx="302">
                  <c:v>16.899999999999999</c:v>
                </c:pt>
                <c:pt idx="303">
                  <c:v>14.6</c:v>
                </c:pt>
                <c:pt idx="304">
                  <c:v>13.1</c:v>
                </c:pt>
                <c:pt idx="305">
                  <c:v>14</c:v>
                </c:pt>
                <c:pt idx="306">
                  <c:v>14.7</c:v>
                </c:pt>
                <c:pt idx="307">
                  <c:v>13.8</c:v>
                </c:pt>
                <c:pt idx="308">
                  <c:v>10.1</c:v>
                </c:pt>
                <c:pt idx="309">
                  <c:v>17.100000000000001</c:v>
                </c:pt>
                <c:pt idx="310">
                  <c:v>10.7</c:v>
                </c:pt>
                <c:pt idx="311">
                  <c:v>13.4</c:v>
                </c:pt>
                <c:pt idx="312">
                  <c:v>11.8</c:v>
                </c:pt>
                <c:pt idx="313">
                  <c:v>12.3</c:v>
                </c:pt>
                <c:pt idx="314">
                  <c:v>13.1</c:v>
                </c:pt>
                <c:pt idx="315">
                  <c:v>11.8</c:v>
                </c:pt>
                <c:pt idx="316">
                  <c:v>10.7</c:v>
                </c:pt>
                <c:pt idx="317">
                  <c:v>12.9</c:v>
                </c:pt>
                <c:pt idx="318">
                  <c:v>14.4</c:v>
                </c:pt>
                <c:pt idx="319">
                  <c:v>12.6</c:v>
                </c:pt>
                <c:pt idx="320">
                  <c:v>10.4</c:v>
                </c:pt>
                <c:pt idx="321">
                  <c:v>17.2</c:v>
                </c:pt>
                <c:pt idx="322">
                  <c:v>13.6</c:v>
                </c:pt>
                <c:pt idx="323">
                  <c:v>16.399999999999999</c:v>
                </c:pt>
                <c:pt idx="324">
                  <c:v>16.899999999999999</c:v>
                </c:pt>
                <c:pt idx="325">
                  <c:v>10.9</c:v>
                </c:pt>
                <c:pt idx="326">
                  <c:v>10.9</c:v>
                </c:pt>
                <c:pt idx="327">
                  <c:v>10.3</c:v>
                </c:pt>
                <c:pt idx="328">
                  <c:v>15.2</c:v>
                </c:pt>
                <c:pt idx="329">
                  <c:v>14.7</c:v>
                </c:pt>
                <c:pt idx="330">
                  <c:v>10.199999999999999</c:v>
                </c:pt>
                <c:pt idx="331">
                  <c:v>11.5</c:v>
                </c:pt>
                <c:pt idx="332">
                  <c:v>16.399999999999999</c:v>
                </c:pt>
                <c:pt idx="333">
                  <c:v>17.600000000000001</c:v>
                </c:pt>
                <c:pt idx="334">
                  <c:v>14.4</c:v>
                </c:pt>
                <c:pt idx="335">
                  <c:v>11.8</c:v>
                </c:pt>
                <c:pt idx="336">
                  <c:v>12</c:v>
                </c:pt>
                <c:pt idx="337">
                  <c:v>17.2</c:v>
                </c:pt>
                <c:pt idx="338">
                  <c:v>16.5</c:v>
                </c:pt>
                <c:pt idx="339">
                  <c:v>18.7</c:v>
                </c:pt>
                <c:pt idx="340">
                  <c:v>14.3</c:v>
                </c:pt>
                <c:pt idx="341">
                  <c:v>18.899999999999999</c:v>
                </c:pt>
                <c:pt idx="342">
                  <c:v>18.7</c:v>
                </c:pt>
                <c:pt idx="343">
                  <c:v>16.100000000000001</c:v>
                </c:pt>
                <c:pt idx="344">
                  <c:v>12.9</c:v>
                </c:pt>
                <c:pt idx="345">
                  <c:v>11.3</c:v>
                </c:pt>
                <c:pt idx="346">
                  <c:v>13.9</c:v>
                </c:pt>
                <c:pt idx="347">
                  <c:v>15.5</c:v>
                </c:pt>
                <c:pt idx="348">
                  <c:v>17.399999999999999</c:v>
                </c:pt>
                <c:pt idx="349">
                  <c:v>13.3</c:v>
                </c:pt>
                <c:pt idx="350">
                  <c:v>9.9</c:v>
                </c:pt>
                <c:pt idx="351">
                  <c:v>16.2</c:v>
                </c:pt>
                <c:pt idx="352">
                  <c:v>15</c:v>
                </c:pt>
                <c:pt idx="353">
                  <c:v>15.5</c:v>
                </c:pt>
                <c:pt idx="354">
                  <c:v>15.2</c:v>
                </c:pt>
                <c:pt idx="355">
                  <c:v>13.2</c:v>
                </c:pt>
                <c:pt idx="356">
                  <c:v>12.5</c:v>
                </c:pt>
                <c:pt idx="357">
                  <c:v>14.6</c:v>
                </c:pt>
                <c:pt idx="358">
                  <c:v>11.2</c:v>
                </c:pt>
                <c:pt idx="359">
                  <c:v>14.1</c:v>
                </c:pt>
                <c:pt idx="360">
                  <c:v>13.9</c:v>
                </c:pt>
                <c:pt idx="361">
                  <c:v>12.1</c:v>
                </c:pt>
                <c:pt idx="362">
                  <c:v>10.6</c:v>
                </c:pt>
                <c:pt idx="363">
                  <c:v>11.3</c:v>
                </c:pt>
                <c:pt idx="364">
                  <c:v>15.9</c:v>
                </c:pt>
                <c:pt idx="365">
                  <c:v>14.1</c:v>
                </c:pt>
                <c:pt idx="366">
                  <c:v>14.1</c:v>
                </c:pt>
                <c:pt idx="367">
                  <c:v>12.5</c:v>
                </c:pt>
                <c:pt idx="368">
                  <c:v>11.2</c:v>
                </c:pt>
                <c:pt idx="369">
                  <c:v>14.9</c:v>
                </c:pt>
                <c:pt idx="370">
                  <c:v>15.3</c:v>
                </c:pt>
                <c:pt idx="371">
                  <c:v>14.8</c:v>
                </c:pt>
                <c:pt idx="372">
                  <c:v>12.2</c:v>
                </c:pt>
                <c:pt idx="373">
                  <c:v>10.1</c:v>
                </c:pt>
                <c:pt idx="374">
                  <c:v>15.9</c:v>
                </c:pt>
                <c:pt idx="375">
                  <c:v>14.8</c:v>
                </c:pt>
                <c:pt idx="376">
                  <c:v>14.5</c:v>
                </c:pt>
                <c:pt idx="377">
                  <c:v>10.199999999999999</c:v>
                </c:pt>
                <c:pt idx="378">
                  <c:v>14.9</c:v>
                </c:pt>
                <c:pt idx="379">
                  <c:v>10.199999999999999</c:v>
                </c:pt>
                <c:pt idx="380">
                  <c:v>14.3</c:v>
                </c:pt>
                <c:pt idx="381">
                  <c:v>14.2</c:v>
                </c:pt>
                <c:pt idx="382">
                  <c:v>15.2</c:v>
                </c:pt>
                <c:pt idx="383">
                  <c:v>18.7</c:v>
                </c:pt>
                <c:pt idx="384">
                  <c:v>16.2</c:v>
                </c:pt>
                <c:pt idx="385">
                  <c:v>15.6</c:v>
                </c:pt>
                <c:pt idx="386">
                  <c:v>15.6</c:v>
                </c:pt>
                <c:pt idx="387">
                  <c:v>18.399999999999999</c:v>
                </c:pt>
                <c:pt idx="388">
                  <c:v>15.9</c:v>
                </c:pt>
                <c:pt idx="389">
                  <c:v>19.3</c:v>
                </c:pt>
                <c:pt idx="390">
                  <c:v>17</c:v>
                </c:pt>
                <c:pt idx="391">
                  <c:v>11.2</c:v>
                </c:pt>
                <c:pt idx="392">
                  <c:v>15.6</c:v>
                </c:pt>
                <c:pt idx="393">
                  <c:v>19.399999999999999</c:v>
                </c:pt>
                <c:pt idx="394">
                  <c:v>16</c:v>
                </c:pt>
                <c:pt idx="395">
                  <c:v>17.5</c:v>
                </c:pt>
                <c:pt idx="396">
                  <c:v>16.2</c:v>
                </c:pt>
                <c:pt idx="397">
                  <c:v>19.3</c:v>
                </c:pt>
                <c:pt idx="398">
                  <c:v>15.6</c:v>
                </c:pt>
                <c:pt idx="399">
                  <c:v>14</c:v>
                </c:pt>
                <c:pt idx="400">
                  <c:v>17.600000000000001</c:v>
                </c:pt>
                <c:pt idx="401">
                  <c:v>17.8</c:v>
                </c:pt>
                <c:pt idx="402">
                  <c:v>17.399999999999999</c:v>
                </c:pt>
                <c:pt idx="403">
                  <c:v>18.2</c:v>
                </c:pt>
                <c:pt idx="404">
                  <c:v>17.8</c:v>
                </c:pt>
                <c:pt idx="405">
                  <c:v>18.2</c:v>
                </c:pt>
                <c:pt idx="406">
                  <c:v>17.8</c:v>
                </c:pt>
                <c:pt idx="407">
                  <c:v>18.5</c:v>
                </c:pt>
                <c:pt idx="408">
                  <c:v>19.399999999999999</c:v>
                </c:pt>
                <c:pt idx="409">
                  <c:v>18.600000000000001</c:v>
                </c:pt>
                <c:pt idx="410">
                  <c:v>16.8</c:v>
                </c:pt>
                <c:pt idx="411">
                  <c:v>19.100000000000001</c:v>
                </c:pt>
                <c:pt idx="412">
                  <c:v>18.3</c:v>
                </c:pt>
                <c:pt idx="413">
                  <c:v>17.8</c:v>
                </c:pt>
                <c:pt idx="414">
                  <c:v>17</c:v>
                </c:pt>
                <c:pt idx="415">
                  <c:v>14.8</c:v>
                </c:pt>
                <c:pt idx="416">
                  <c:v>18.899999999999999</c:v>
                </c:pt>
                <c:pt idx="417">
                  <c:v>19.3</c:v>
                </c:pt>
                <c:pt idx="418">
                  <c:v>17.8</c:v>
                </c:pt>
                <c:pt idx="419">
                  <c:v>17.5</c:v>
                </c:pt>
                <c:pt idx="420">
                  <c:v>16.8</c:v>
                </c:pt>
                <c:pt idx="421">
                  <c:v>16.2</c:v>
                </c:pt>
                <c:pt idx="422">
                  <c:v>14.3</c:v>
                </c:pt>
                <c:pt idx="423">
                  <c:v>10.3</c:v>
                </c:pt>
                <c:pt idx="424">
                  <c:v>17.600000000000001</c:v>
                </c:pt>
                <c:pt idx="425">
                  <c:v>18.2</c:v>
                </c:pt>
                <c:pt idx="426">
                  <c:v>18.3</c:v>
                </c:pt>
                <c:pt idx="427">
                  <c:v>17.8</c:v>
                </c:pt>
                <c:pt idx="428">
                  <c:v>16.399999999999999</c:v>
                </c:pt>
                <c:pt idx="429">
                  <c:v>14.9</c:v>
                </c:pt>
                <c:pt idx="430">
                  <c:v>18.3</c:v>
                </c:pt>
                <c:pt idx="431">
                  <c:v>22.4</c:v>
                </c:pt>
                <c:pt idx="432">
                  <c:v>19.600000000000001</c:v>
                </c:pt>
                <c:pt idx="433">
                  <c:v>17.5</c:v>
                </c:pt>
                <c:pt idx="434">
                  <c:v>16.600000000000001</c:v>
                </c:pt>
                <c:pt idx="435">
                  <c:v>18.7</c:v>
                </c:pt>
                <c:pt idx="436">
                  <c:v>18.899999999999999</c:v>
                </c:pt>
                <c:pt idx="437">
                  <c:v>20.100000000000001</c:v>
                </c:pt>
                <c:pt idx="438">
                  <c:v>15.6</c:v>
                </c:pt>
                <c:pt idx="439">
                  <c:v>15.6</c:v>
                </c:pt>
                <c:pt idx="440">
                  <c:v>16.7</c:v>
                </c:pt>
                <c:pt idx="441">
                  <c:v>20.100000000000001</c:v>
                </c:pt>
                <c:pt idx="442">
                  <c:v>19.8</c:v>
                </c:pt>
                <c:pt idx="443">
                  <c:v>18.8</c:v>
                </c:pt>
                <c:pt idx="444">
                  <c:v>17.3</c:v>
                </c:pt>
                <c:pt idx="445">
                  <c:v>17.5</c:v>
                </c:pt>
                <c:pt idx="446">
                  <c:v>20.2</c:v>
                </c:pt>
                <c:pt idx="447">
                  <c:v>18.3</c:v>
                </c:pt>
                <c:pt idx="448">
                  <c:v>17.899999999999999</c:v>
                </c:pt>
                <c:pt idx="449">
                  <c:v>17.399999999999999</c:v>
                </c:pt>
                <c:pt idx="450">
                  <c:v>18</c:v>
                </c:pt>
                <c:pt idx="451">
                  <c:v>18.8</c:v>
                </c:pt>
                <c:pt idx="452">
                  <c:v>17.3</c:v>
                </c:pt>
                <c:pt idx="453">
                  <c:v>17.899999999999999</c:v>
                </c:pt>
                <c:pt idx="454">
                  <c:v>18.3</c:v>
                </c:pt>
                <c:pt idx="455">
                  <c:v>18</c:v>
                </c:pt>
                <c:pt idx="456">
                  <c:v>21.9</c:v>
                </c:pt>
                <c:pt idx="457">
                  <c:v>20.100000000000001</c:v>
                </c:pt>
                <c:pt idx="458">
                  <c:v>17.8</c:v>
                </c:pt>
                <c:pt idx="459">
                  <c:v>19.2</c:v>
                </c:pt>
                <c:pt idx="460">
                  <c:v>17.100000000000001</c:v>
                </c:pt>
                <c:pt idx="461">
                  <c:v>17.8</c:v>
                </c:pt>
                <c:pt idx="462">
                  <c:v>18.100000000000001</c:v>
                </c:pt>
                <c:pt idx="463">
                  <c:v>18.600000000000001</c:v>
                </c:pt>
                <c:pt idx="464">
                  <c:v>18.5</c:v>
                </c:pt>
                <c:pt idx="465">
                  <c:v>18</c:v>
                </c:pt>
                <c:pt idx="466">
                  <c:v>17.5</c:v>
                </c:pt>
                <c:pt idx="467">
                  <c:v>14</c:v>
                </c:pt>
                <c:pt idx="468">
                  <c:v>19.5</c:v>
                </c:pt>
                <c:pt idx="469">
                  <c:v>20.100000000000001</c:v>
                </c:pt>
                <c:pt idx="470">
                  <c:v>22.3</c:v>
                </c:pt>
                <c:pt idx="471">
                  <c:v>15.8</c:v>
                </c:pt>
                <c:pt idx="472">
                  <c:v>23.1</c:v>
                </c:pt>
                <c:pt idx="473">
                  <c:v>20.3</c:v>
                </c:pt>
                <c:pt idx="474">
                  <c:v>18.7</c:v>
                </c:pt>
                <c:pt idx="475">
                  <c:v>19.2</c:v>
                </c:pt>
                <c:pt idx="476">
                  <c:v>19.600000000000001</c:v>
                </c:pt>
                <c:pt idx="477">
                  <c:v>16.5</c:v>
                </c:pt>
                <c:pt idx="478">
                  <c:v>19.3</c:v>
                </c:pt>
                <c:pt idx="479">
                  <c:v>21.1</c:v>
                </c:pt>
                <c:pt idx="480">
                  <c:v>12.1</c:v>
                </c:pt>
                <c:pt idx="481">
                  <c:v>18</c:v>
                </c:pt>
                <c:pt idx="482">
                  <c:v>18.899999999999999</c:v>
                </c:pt>
                <c:pt idx="483">
                  <c:v>20.100000000000001</c:v>
                </c:pt>
                <c:pt idx="484">
                  <c:v>19.5</c:v>
                </c:pt>
                <c:pt idx="485">
                  <c:v>14.9</c:v>
                </c:pt>
                <c:pt idx="486">
                  <c:v>19.5</c:v>
                </c:pt>
                <c:pt idx="487">
                  <c:v>13.6</c:v>
                </c:pt>
                <c:pt idx="488">
                  <c:v>20.5</c:v>
                </c:pt>
                <c:pt idx="489">
                  <c:v>20.3</c:v>
                </c:pt>
                <c:pt idx="490">
                  <c:v>18.5</c:v>
                </c:pt>
                <c:pt idx="491">
                  <c:v>17.8</c:v>
                </c:pt>
                <c:pt idx="492">
                  <c:v>17.8</c:v>
                </c:pt>
                <c:pt idx="493">
                  <c:v>13</c:v>
                </c:pt>
                <c:pt idx="494">
                  <c:v>21.3</c:v>
                </c:pt>
                <c:pt idx="495">
                  <c:v>19.2</c:v>
                </c:pt>
                <c:pt idx="496">
                  <c:v>17.7</c:v>
                </c:pt>
                <c:pt idx="497">
                  <c:v>13</c:v>
                </c:pt>
                <c:pt idx="498">
                  <c:v>19</c:v>
                </c:pt>
                <c:pt idx="499">
                  <c:v>19.100000000000001</c:v>
                </c:pt>
                <c:pt idx="500">
                  <c:v>15.4</c:v>
                </c:pt>
                <c:pt idx="501">
                  <c:v>18.600000000000001</c:v>
                </c:pt>
                <c:pt idx="502">
                  <c:v>17.399999999999999</c:v>
                </c:pt>
                <c:pt idx="503">
                  <c:v>17.5</c:v>
                </c:pt>
                <c:pt idx="504">
                  <c:v>20.100000000000001</c:v>
                </c:pt>
                <c:pt idx="505">
                  <c:v>16.2</c:v>
                </c:pt>
                <c:pt idx="506">
                  <c:v>21.6</c:v>
                </c:pt>
                <c:pt idx="507">
                  <c:v>17.899999999999999</c:v>
                </c:pt>
                <c:pt idx="508">
                  <c:v>18.3</c:v>
                </c:pt>
                <c:pt idx="509">
                  <c:v>20.7</c:v>
                </c:pt>
                <c:pt idx="510">
                  <c:v>15.3</c:v>
                </c:pt>
                <c:pt idx="511">
                  <c:v>18.600000000000001</c:v>
                </c:pt>
                <c:pt idx="512">
                  <c:v>17.5</c:v>
                </c:pt>
                <c:pt idx="513">
                  <c:v>20.399999999999999</c:v>
                </c:pt>
                <c:pt idx="514">
                  <c:v>19.2</c:v>
                </c:pt>
                <c:pt idx="515">
                  <c:v>14.7</c:v>
                </c:pt>
                <c:pt idx="516">
                  <c:v>18.600000000000001</c:v>
                </c:pt>
                <c:pt idx="517">
                  <c:v>18.600000000000001</c:v>
                </c:pt>
                <c:pt idx="518">
                  <c:v>16.899999999999999</c:v>
                </c:pt>
                <c:pt idx="519">
                  <c:v>18.2</c:v>
                </c:pt>
                <c:pt idx="520">
                  <c:v>17.5</c:v>
                </c:pt>
                <c:pt idx="521">
                  <c:v>18.600000000000001</c:v>
                </c:pt>
                <c:pt idx="522">
                  <c:v>18.600000000000001</c:v>
                </c:pt>
                <c:pt idx="523">
                  <c:v>16.899999999999999</c:v>
                </c:pt>
                <c:pt idx="524">
                  <c:v>15.4</c:v>
                </c:pt>
                <c:pt idx="525">
                  <c:v>18.899999999999999</c:v>
                </c:pt>
                <c:pt idx="526">
                  <c:v>16.3</c:v>
                </c:pt>
                <c:pt idx="527">
                  <c:v>15.4</c:v>
                </c:pt>
                <c:pt idx="528">
                  <c:v>15.5</c:v>
                </c:pt>
                <c:pt idx="529">
                  <c:v>17</c:v>
                </c:pt>
                <c:pt idx="530">
                  <c:v>19</c:v>
                </c:pt>
                <c:pt idx="531">
                  <c:v>20.6</c:v>
                </c:pt>
                <c:pt idx="532">
                  <c:v>17.7</c:v>
                </c:pt>
                <c:pt idx="533">
                  <c:v>18.399999999999999</c:v>
                </c:pt>
                <c:pt idx="534">
                  <c:v>18.3</c:v>
                </c:pt>
                <c:pt idx="535">
                  <c:v>18.2</c:v>
                </c:pt>
                <c:pt idx="536">
                  <c:v>13.6</c:v>
                </c:pt>
                <c:pt idx="537">
                  <c:v>17.2</c:v>
                </c:pt>
                <c:pt idx="538">
                  <c:v>18.100000000000001</c:v>
                </c:pt>
                <c:pt idx="539">
                  <c:v>17.399999999999999</c:v>
                </c:pt>
                <c:pt idx="540">
                  <c:v>14.2</c:v>
                </c:pt>
                <c:pt idx="541">
                  <c:v>17.5</c:v>
                </c:pt>
                <c:pt idx="542">
                  <c:v>17.5</c:v>
                </c:pt>
                <c:pt idx="543">
                  <c:v>17.5</c:v>
                </c:pt>
                <c:pt idx="544">
                  <c:v>17.600000000000001</c:v>
                </c:pt>
                <c:pt idx="545">
                  <c:v>17.600000000000001</c:v>
                </c:pt>
                <c:pt idx="546">
                  <c:v>17.600000000000001</c:v>
                </c:pt>
                <c:pt idx="547">
                  <c:v>17.600000000000001</c:v>
                </c:pt>
                <c:pt idx="548">
                  <c:v>17.600000000000001</c:v>
                </c:pt>
                <c:pt idx="549">
                  <c:v>17.600000000000001</c:v>
                </c:pt>
                <c:pt idx="550">
                  <c:v>17.600000000000001</c:v>
                </c:pt>
                <c:pt idx="551">
                  <c:v>17.600000000000001</c:v>
                </c:pt>
                <c:pt idx="552">
                  <c:v>17.600000000000001</c:v>
                </c:pt>
                <c:pt idx="553">
                  <c:v>18</c:v>
                </c:pt>
                <c:pt idx="554">
                  <c:v>15.1</c:v>
                </c:pt>
                <c:pt idx="555">
                  <c:v>16.8</c:v>
                </c:pt>
                <c:pt idx="556">
                  <c:v>16.600000000000001</c:v>
                </c:pt>
                <c:pt idx="557">
                  <c:v>17.7</c:v>
                </c:pt>
                <c:pt idx="558">
                  <c:v>16.600000000000001</c:v>
                </c:pt>
                <c:pt idx="559">
                  <c:v>11.4</c:v>
                </c:pt>
                <c:pt idx="560">
                  <c:v>17.600000000000001</c:v>
                </c:pt>
                <c:pt idx="561">
                  <c:v>15.9</c:v>
                </c:pt>
                <c:pt idx="562">
                  <c:v>14.1</c:v>
                </c:pt>
                <c:pt idx="563">
                  <c:v>15.1</c:v>
                </c:pt>
                <c:pt idx="564">
                  <c:v>15.8</c:v>
                </c:pt>
                <c:pt idx="565">
                  <c:v>18.3</c:v>
                </c:pt>
                <c:pt idx="566">
                  <c:v>19.2</c:v>
                </c:pt>
                <c:pt idx="567">
                  <c:v>16.2</c:v>
                </c:pt>
                <c:pt idx="568">
                  <c:v>17.600000000000001</c:v>
                </c:pt>
                <c:pt idx="569">
                  <c:v>16.899999999999999</c:v>
                </c:pt>
                <c:pt idx="570">
                  <c:v>17.3</c:v>
                </c:pt>
                <c:pt idx="571">
                  <c:v>17</c:v>
                </c:pt>
                <c:pt idx="572">
                  <c:v>17.8</c:v>
                </c:pt>
                <c:pt idx="573">
                  <c:v>17.2</c:v>
                </c:pt>
                <c:pt idx="574">
                  <c:v>15</c:v>
                </c:pt>
                <c:pt idx="575">
                  <c:v>17.399999999999999</c:v>
                </c:pt>
                <c:pt idx="576">
                  <c:v>14.3</c:v>
                </c:pt>
                <c:pt idx="577">
                  <c:v>21.5</c:v>
                </c:pt>
                <c:pt idx="578">
                  <c:v>18</c:v>
                </c:pt>
                <c:pt idx="579">
                  <c:v>10.8</c:v>
                </c:pt>
                <c:pt idx="580">
                  <c:v>20.7</c:v>
                </c:pt>
                <c:pt idx="581">
                  <c:v>12.6</c:v>
                </c:pt>
                <c:pt idx="582">
                  <c:v>17.5</c:v>
                </c:pt>
                <c:pt idx="583">
                  <c:v>18.8</c:v>
                </c:pt>
                <c:pt idx="584">
                  <c:v>20.8</c:v>
                </c:pt>
                <c:pt idx="585">
                  <c:v>14.5</c:v>
                </c:pt>
                <c:pt idx="586">
                  <c:v>23.5</c:v>
                </c:pt>
                <c:pt idx="587">
                  <c:v>18.8</c:v>
                </c:pt>
                <c:pt idx="588">
                  <c:v>17.3</c:v>
                </c:pt>
                <c:pt idx="589">
                  <c:v>19.600000000000001</c:v>
                </c:pt>
                <c:pt idx="590">
                  <c:v>13.6</c:v>
                </c:pt>
                <c:pt idx="591">
                  <c:v>16.3</c:v>
                </c:pt>
                <c:pt idx="592">
                  <c:v>15.4</c:v>
                </c:pt>
                <c:pt idx="593">
                  <c:v>14.2</c:v>
                </c:pt>
                <c:pt idx="594">
                  <c:v>18.399999999999999</c:v>
                </c:pt>
                <c:pt idx="595">
                  <c:v>12.3</c:v>
                </c:pt>
                <c:pt idx="596">
                  <c:v>8.9</c:v>
                </c:pt>
                <c:pt idx="597">
                  <c:v>14.6</c:v>
                </c:pt>
                <c:pt idx="598">
                  <c:v>18.600000000000001</c:v>
                </c:pt>
                <c:pt idx="599">
                  <c:v>19.7</c:v>
                </c:pt>
                <c:pt idx="600">
                  <c:v>18.7</c:v>
                </c:pt>
                <c:pt idx="601">
                  <c:v>14.9</c:v>
                </c:pt>
                <c:pt idx="602">
                  <c:v>13</c:v>
                </c:pt>
                <c:pt idx="603">
                  <c:v>17.8</c:v>
                </c:pt>
                <c:pt idx="604">
                  <c:v>13.5</c:v>
                </c:pt>
                <c:pt idx="605">
                  <c:v>10.4</c:v>
                </c:pt>
                <c:pt idx="606">
                  <c:v>15.5</c:v>
                </c:pt>
                <c:pt idx="607">
                  <c:v>18.600000000000001</c:v>
                </c:pt>
                <c:pt idx="608">
                  <c:v>18.7</c:v>
                </c:pt>
                <c:pt idx="609">
                  <c:v>16.3</c:v>
                </c:pt>
                <c:pt idx="610">
                  <c:v>16.3</c:v>
                </c:pt>
                <c:pt idx="611">
                  <c:v>14.4</c:v>
                </c:pt>
                <c:pt idx="612">
                  <c:v>17.899999999999999</c:v>
                </c:pt>
                <c:pt idx="613">
                  <c:v>8.8000000000000007</c:v>
                </c:pt>
                <c:pt idx="614">
                  <c:v>8.4</c:v>
                </c:pt>
                <c:pt idx="615">
                  <c:v>11.6</c:v>
                </c:pt>
                <c:pt idx="616">
                  <c:v>14.8</c:v>
                </c:pt>
                <c:pt idx="617">
                  <c:v>15.8</c:v>
                </c:pt>
                <c:pt idx="618">
                  <c:v>16.3</c:v>
                </c:pt>
                <c:pt idx="619">
                  <c:v>13.4</c:v>
                </c:pt>
                <c:pt idx="620">
                  <c:v>9.4</c:v>
                </c:pt>
                <c:pt idx="621">
                  <c:v>16</c:v>
                </c:pt>
                <c:pt idx="622">
                  <c:v>14.6</c:v>
                </c:pt>
                <c:pt idx="623">
                  <c:v>12.4</c:v>
                </c:pt>
                <c:pt idx="624">
                  <c:v>7.8</c:v>
                </c:pt>
                <c:pt idx="625">
                  <c:v>19.899999999999999</c:v>
                </c:pt>
                <c:pt idx="626">
                  <c:v>16.8</c:v>
                </c:pt>
                <c:pt idx="627">
                  <c:v>17.5</c:v>
                </c:pt>
                <c:pt idx="628">
                  <c:v>11.3</c:v>
                </c:pt>
                <c:pt idx="629">
                  <c:v>12.7</c:v>
                </c:pt>
                <c:pt idx="630">
                  <c:v>18.3</c:v>
                </c:pt>
                <c:pt idx="631">
                  <c:v>14.3</c:v>
                </c:pt>
                <c:pt idx="632">
                  <c:v>14.3</c:v>
                </c:pt>
                <c:pt idx="633">
                  <c:v>15.3</c:v>
                </c:pt>
                <c:pt idx="634">
                  <c:v>16.5</c:v>
                </c:pt>
                <c:pt idx="635">
                  <c:v>14.2</c:v>
                </c:pt>
                <c:pt idx="636">
                  <c:v>18.7</c:v>
                </c:pt>
                <c:pt idx="637">
                  <c:v>14.5</c:v>
                </c:pt>
                <c:pt idx="638">
                  <c:v>14.9</c:v>
                </c:pt>
                <c:pt idx="639">
                  <c:v>12.6</c:v>
                </c:pt>
                <c:pt idx="640">
                  <c:v>17.5</c:v>
                </c:pt>
                <c:pt idx="641">
                  <c:v>19.3</c:v>
                </c:pt>
                <c:pt idx="642">
                  <c:v>16.5</c:v>
                </c:pt>
                <c:pt idx="643">
                  <c:v>13.4</c:v>
                </c:pt>
                <c:pt idx="644">
                  <c:v>13.2</c:v>
                </c:pt>
                <c:pt idx="645">
                  <c:v>19.7</c:v>
                </c:pt>
                <c:pt idx="646">
                  <c:v>14.6</c:v>
                </c:pt>
                <c:pt idx="647">
                  <c:v>15.7</c:v>
                </c:pt>
                <c:pt idx="648">
                  <c:v>21.2</c:v>
                </c:pt>
                <c:pt idx="649">
                  <c:v>17.3</c:v>
                </c:pt>
                <c:pt idx="650">
                  <c:v>11.3</c:v>
                </c:pt>
                <c:pt idx="651">
                  <c:v>17.399999999999999</c:v>
                </c:pt>
                <c:pt idx="652">
                  <c:v>13.5</c:v>
                </c:pt>
                <c:pt idx="653">
                  <c:v>13.2</c:v>
                </c:pt>
                <c:pt idx="654">
                  <c:v>17.5</c:v>
                </c:pt>
                <c:pt idx="655">
                  <c:v>15.4</c:v>
                </c:pt>
                <c:pt idx="656">
                  <c:v>15.7</c:v>
                </c:pt>
                <c:pt idx="657">
                  <c:v>17.399999999999999</c:v>
                </c:pt>
                <c:pt idx="658">
                  <c:v>12.6</c:v>
                </c:pt>
                <c:pt idx="659">
                  <c:v>19.5</c:v>
                </c:pt>
                <c:pt idx="660">
                  <c:v>20.6</c:v>
                </c:pt>
                <c:pt idx="661">
                  <c:v>14.6</c:v>
                </c:pt>
                <c:pt idx="662">
                  <c:v>14.4</c:v>
                </c:pt>
                <c:pt idx="663">
                  <c:v>13.6</c:v>
                </c:pt>
                <c:pt idx="664">
                  <c:v>21.7</c:v>
                </c:pt>
                <c:pt idx="665">
                  <c:v>24.2</c:v>
                </c:pt>
                <c:pt idx="666">
                  <c:v>15.4</c:v>
                </c:pt>
                <c:pt idx="667">
                  <c:v>16.8</c:v>
                </c:pt>
                <c:pt idx="668">
                  <c:v>15.3</c:v>
                </c:pt>
                <c:pt idx="669">
                  <c:v>21.1</c:v>
                </c:pt>
                <c:pt idx="670">
                  <c:v>25.1</c:v>
                </c:pt>
                <c:pt idx="671">
                  <c:v>18.600000000000001</c:v>
                </c:pt>
                <c:pt idx="672">
                  <c:v>15.3</c:v>
                </c:pt>
                <c:pt idx="673">
                  <c:v>18</c:v>
                </c:pt>
                <c:pt idx="674">
                  <c:v>17</c:v>
                </c:pt>
                <c:pt idx="675">
                  <c:v>15.3</c:v>
                </c:pt>
                <c:pt idx="676">
                  <c:v>15</c:v>
                </c:pt>
                <c:pt idx="677">
                  <c:v>17</c:v>
                </c:pt>
                <c:pt idx="678">
                  <c:v>15.9</c:v>
                </c:pt>
                <c:pt idx="679">
                  <c:v>14.3</c:v>
                </c:pt>
                <c:pt idx="680">
                  <c:v>14.1</c:v>
                </c:pt>
                <c:pt idx="681">
                  <c:v>13.6</c:v>
                </c:pt>
                <c:pt idx="682">
                  <c:v>15.3</c:v>
                </c:pt>
                <c:pt idx="683">
                  <c:v>16.7</c:v>
                </c:pt>
                <c:pt idx="684">
                  <c:v>17.600000000000001</c:v>
                </c:pt>
                <c:pt idx="685">
                  <c:v>18.100000000000001</c:v>
                </c:pt>
                <c:pt idx="686">
                  <c:v>18.7</c:v>
                </c:pt>
                <c:pt idx="687">
                  <c:v>13.6</c:v>
                </c:pt>
                <c:pt idx="688">
                  <c:v>18.7</c:v>
                </c:pt>
                <c:pt idx="689">
                  <c:v>17.600000000000001</c:v>
                </c:pt>
                <c:pt idx="690">
                  <c:v>15.4</c:v>
                </c:pt>
                <c:pt idx="691">
                  <c:v>15.9</c:v>
                </c:pt>
                <c:pt idx="692">
                  <c:v>18.2</c:v>
                </c:pt>
                <c:pt idx="693">
                  <c:v>16.899999999999999</c:v>
                </c:pt>
                <c:pt idx="694">
                  <c:v>20.6</c:v>
                </c:pt>
                <c:pt idx="695">
                  <c:v>15.9</c:v>
                </c:pt>
                <c:pt idx="696">
                  <c:v>18.899999999999999</c:v>
                </c:pt>
                <c:pt idx="697">
                  <c:v>17.100000000000001</c:v>
                </c:pt>
                <c:pt idx="698">
                  <c:v>16.399999999999999</c:v>
                </c:pt>
                <c:pt idx="699">
                  <c:v>12.6</c:v>
                </c:pt>
                <c:pt idx="700">
                  <c:v>17.2</c:v>
                </c:pt>
                <c:pt idx="701">
                  <c:v>17.600000000000001</c:v>
                </c:pt>
                <c:pt idx="702">
                  <c:v>17.8</c:v>
                </c:pt>
                <c:pt idx="703">
                  <c:v>17.7</c:v>
                </c:pt>
                <c:pt idx="704">
                  <c:v>18.899999999999999</c:v>
                </c:pt>
                <c:pt idx="705">
                  <c:v>18.2</c:v>
                </c:pt>
                <c:pt idx="706">
                  <c:v>17.2</c:v>
                </c:pt>
                <c:pt idx="707">
                  <c:v>19.600000000000001</c:v>
                </c:pt>
                <c:pt idx="708">
                  <c:v>21.5</c:v>
                </c:pt>
                <c:pt idx="709">
                  <c:v>18.7</c:v>
                </c:pt>
                <c:pt idx="710">
                  <c:v>18.3</c:v>
                </c:pt>
                <c:pt idx="711">
                  <c:v>18.5</c:v>
                </c:pt>
                <c:pt idx="712">
                  <c:v>17.899999999999999</c:v>
                </c:pt>
                <c:pt idx="713">
                  <c:v>20.89</c:v>
                </c:pt>
                <c:pt idx="714">
                  <c:v>20.3</c:v>
                </c:pt>
                <c:pt idx="715">
                  <c:v>15.1</c:v>
                </c:pt>
                <c:pt idx="716">
                  <c:v>17</c:v>
                </c:pt>
                <c:pt idx="717">
                  <c:v>12.8</c:v>
                </c:pt>
                <c:pt idx="718">
                  <c:v>17.7</c:v>
                </c:pt>
                <c:pt idx="719">
                  <c:v>13.3</c:v>
                </c:pt>
                <c:pt idx="720">
                  <c:v>18.2</c:v>
                </c:pt>
                <c:pt idx="721">
                  <c:v>15.2</c:v>
                </c:pt>
                <c:pt idx="722">
                  <c:v>11.1</c:v>
                </c:pt>
                <c:pt idx="723">
                  <c:v>12.1</c:v>
                </c:pt>
                <c:pt idx="724">
                  <c:v>15.9</c:v>
                </c:pt>
                <c:pt idx="725">
                  <c:v>18.7</c:v>
                </c:pt>
                <c:pt idx="726">
                  <c:v>14.3</c:v>
                </c:pt>
                <c:pt idx="727">
                  <c:v>11.6</c:v>
                </c:pt>
                <c:pt idx="728">
                  <c:v>13.8</c:v>
                </c:pt>
                <c:pt idx="729">
                  <c:v>11.8</c:v>
                </c:pt>
                <c:pt idx="730">
                  <c:v>12.1</c:v>
                </c:pt>
                <c:pt idx="731">
                  <c:v>15.4</c:v>
                </c:pt>
                <c:pt idx="732">
                  <c:v>9.1</c:v>
                </c:pt>
                <c:pt idx="733">
                  <c:v>12</c:v>
                </c:pt>
                <c:pt idx="734">
                  <c:v>11.4</c:v>
                </c:pt>
                <c:pt idx="735">
                  <c:v>13.2</c:v>
                </c:pt>
                <c:pt idx="736">
                  <c:v>18.2</c:v>
                </c:pt>
                <c:pt idx="737">
                  <c:v>10.7</c:v>
                </c:pt>
                <c:pt idx="738">
                  <c:v>8.6999999999999993</c:v>
                </c:pt>
                <c:pt idx="739">
                  <c:v>15.5</c:v>
                </c:pt>
                <c:pt idx="740">
                  <c:v>8.9</c:v>
                </c:pt>
                <c:pt idx="741">
                  <c:v>17.2</c:v>
                </c:pt>
                <c:pt idx="742">
                  <c:v>19.7</c:v>
                </c:pt>
                <c:pt idx="743">
                  <c:v>13.2</c:v>
                </c:pt>
                <c:pt idx="744">
                  <c:v>15.8</c:v>
                </c:pt>
                <c:pt idx="745">
                  <c:v>15.1</c:v>
                </c:pt>
                <c:pt idx="746">
                  <c:v>10.9</c:v>
                </c:pt>
                <c:pt idx="747">
                  <c:v>17.7</c:v>
                </c:pt>
                <c:pt idx="748">
                  <c:v>15.7</c:v>
                </c:pt>
                <c:pt idx="749">
                  <c:v>18.899999999999999</c:v>
                </c:pt>
                <c:pt idx="750">
                  <c:v>17.100000000000001</c:v>
                </c:pt>
                <c:pt idx="751">
                  <c:v>17.600000000000001</c:v>
                </c:pt>
                <c:pt idx="752">
                  <c:v>13.8</c:v>
                </c:pt>
                <c:pt idx="753">
                  <c:v>10.9</c:v>
                </c:pt>
                <c:pt idx="754">
                  <c:v>17.2</c:v>
                </c:pt>
                <c:pt idx="755">
                  <c:v>16.7</c:v>
                </c:pt>
                <c:pt idx="756">
                  <c:v>10.9</c:v>
                </c:pt>
                <c:pt idx="757">
                  <c:v>18.899999999999999</c:v>
                </c:pt>
                <c:pt idx="758">
                  <c:v>18.7</c:v>
                </c:pt>
                <c:pt idx="759">
                  <c:v>19.3</c:v>
                </c:pt>
                <c:pt idx="760">
                  <c:v>16.8</c:v>
                </c:pt>
                <c:pt idx="761">
                  <c:v>11.6</c:v>
                </c:pt>
                <c:pt idx="762">
                  <c:v>18.600000000000001</c:v>
                </c:pt>
                <c:pt idx="763">
                  <c:v>19.8</c:v>
                </c:pt>
                <c:pt idx="764">
                  <c:v>17.100000000000001</c:v>
                </c:pt>
                <c:pt idx="765">
                  <c:v>18.7</c:v>
                </c:pt>
                <c:pt idx="766">
                  <c:v>18.7</c:v>
                </c:pt>
                <c:pt idx="767">
                  <c:v>17.399999999999999</c:v>
                </c:pt>
                <c:pt idx="768">
                  <c:v>16.600000000000001</c:v>
                </c:pt>
                <c:pt idx="769">
                  <c:v>18.7</c:v>
                </c:pt>
                <c:pt idx="770">
                  <c:v>19.2</c:v>
                </c:pt>
                <c:pt idx="771">
                  <c:v>17.899999999999999</c:v>
                </c:pt>
                <c:pt idx="772">
                  <c:v>17.7</c:v>
                </c:pt>
                <c:pt idx="773">
                  <c:v>15.1</c:v>
                </c:pt>
                <c:pt idx="774">
                  <c:v>18.600000000000001</c:v>
                </c:pt>
                <c:pt idx="775">
                  <c:v>18.100000000000001</c:v>
                </c:pt>
                <c:pt idx="776">
                  <c:v>17.899999999999999</c:v>
                </c:pt>
                <c:pt idx="777">
                  <c:v>17.399999999999999</c:v>
                </c:pt>
                <c:pt idx="778">
                  <c:v>18.8</c:v>
                </c:pt>
                <c:pt idx="779">
                  <c:v>17.600000000000001</c:v>
                </c:pt>
                <c:pt idx="780">
                  <c:v>15.6</c:v>
                </c:pt>
                <c:pt idx="781">
                  <c:v>18.100000000000001</c:v>
                </c:pt>
                <c:pt idx="782">
                  <c:v>18.399999999999999</c:v>
                </c:pt>
                <c:pt idx="783">
                  <c:v>15.6</c:v>
                </c:pt>
                <c:pt idx="784">
                  <c:v>16.2</c:v>
                </c:pt>
                <c:pt idx="785">
                  <c:v>18.2</c:v>
                </c:pt>
                <c:pt idx="786">
                  <c:v>15.9</c:v>
                </c:pt>
                <c:pt idx="787">
                  <c:v>14.6</c:v>
                </c:pt>
                <c:pt idx="788">
                  <c:v>11.7</c:v>
                </c:pt>
                <c:pt idx="789">
                  <c:v>18.899999999999999</c:v>
                </c:pt>
                <c:pt idx="790">
                  <c:v>18.600000000000001</c:v>
                </c:pt>
                <c:pt idx="791">
                  <c:v>15.7</c:v>
                </c:pt>
                <c:pt idx="792">
                  <c:v>22.2</c:v>
                </c:pt>
                <c:pt idx="793">
                  <c:v>15.4</c:v>
                </c:pt>
                <c:pt idx="794">
                  <c:v>18.8</c:v>
                </c:pt>
                <c:pt idx="795">
                  <c:v>17.100000000000001</c:v>
                </c:pt>
                <c:pt idx="796">
                  <c:v>18.2</c:v>
                </c:pt>
                <c:pt idx="797">
                  <c:v>19.2</c:v>
                </c:pt>
                <c:pt idx="798">
                  <c:v>17.399999999999999</c:v>
                </c:pt>
                <c:pt idx="799">
                  <c:v>13.6</c:v>
                </c:pt>
                <c:pt idx="800">
                  <c:v>17.100000000000001</c:v>
                </c:pt>
                <c:pt idx="801">
                  <c:v>15.8</c:v>
                </c:pt>
                <c:pt idx="802">
                  <c:v>20.3</c:v>
                </c:pt>
                <c:pt idx="803">
                  <c:v>15.9</c:v>
                </c:pt>
                <c:pt idx="804">
                  <c:v>15.9</c:v>
                </c:pt>
                <c:pt idx="805">
                  <c:v>15.9</c:v>
                </c:pt>
                <c:pt idx="806">
                  <c:v>15.9</c:v>
                </c:pt>
                <c:pt idx="807">
                  <c:v>21</c:v>
                </c:pt>
                <c:pt idx="808">
                  <c:v>13.2</c:v>
                </c:pt>
                <c:pt idx="809">
                  <c:v>18.3</c:v>
                </c:pt>
                <c:pt idx="810">
                  <c:v>12.4</c:v>
                </c:pt>
                <c:pt idx="811">
                  <c:v>14.5</c:v>
                </c:pt>
                <c:pt idx="812">
                  <c:v>18.600000000000001</c:v>
                </c:pt>
                <c:pt idx="813">
                  <c:v>18.2</c:v>
                </c:pt>
                <c:pt idx="814">
                  <c:v>14.7</c:v>
                </c:pt>
                <c:pt idx="815">
                  <c:v>14.7</c:v>
                </c:pt>
                <c:pt idx="816">
                  <c:v>10.7</c:v>
                </c:pt>
                <c:pt idx="817">
                  <c:v>18.600000000000001</c:v>
                </c:pt>
                <c:pt idx="818">
                  <c:v>18.600000000000001</c:v>
                </c:pt>
                <c:pt idx="819">
                  <c:v>15.8</c:v>
                </c:pt>
                <c:pt idx="820">
                  <c:v>18.3</c:v>
                </c:pt>
                <c:pt idx="821">
                  <c:v>14.4</c:v>
                </c:pt>
                <c:pt idx="822">
                  <c:v>13.8</c:v>
                </c:pt>
                <c:pt idx="823">
                  <c:v>18.100000000000001</c:v>
                </c:pt>
                <c:pt idx="824">
                  <c:v>22.2</c:v>
                </c:pt>
                <c:pt idx="825">
                  <c:v>14.6</c:v>
                </c:pt>
                <c:pt idx="826">
                  <c:v>11.9</c:v>
                </c:pt>
                <c:pt idx="827">
                  <c:v>18.2</c:v>
                </c:pt>
                <c:pt idx="828">
                  <c:v>17.600000000000001</c:v>
                </c:pt>
                <c:pt idx="829">
                  <c:v>17.3</c:v>
                </c:pt>
                <c:pt idx="830">
                  <c:v>18.399999999999999</c:v>
                </c:pt>
                <c:pt idx="831">
                  <c:v>10.5</c:v>
                </c:pt>
                <c:pt idx="832">
                  <c:v>18.2</c:v>
                </c:pt>
                <c:pt idx="833">
                  <c:v>15.3</c:v>
                </c:pt>
                <c:pt idx="834">
                  <c:v>15.7</c:v>
                </c:pt>
                <c:pt idx="835">
                  <c:v>11.9</c:v>
                </c:pt>
                <c:pt idx="836">
                  <c:v>15.8</c:v>
                </c:pt>
                <c:pt idx="837">
                  <c:v>16.8</c:v>
                </c:pt>
                <c:pt idx="838">
                  <c:v>18.7</c:v>
                </c:pt>
                <c:pt idx="839">
                  <c:v>15.6</c:v>
                </c:pt>
                <c:pt idx="840">
                  <c:v>18.2</c:v>
                </c:pt>
                <c:pt idx="841">
                  <c:v>17.899999999999999</c:v>
                </c:pt>
                <c:pt idx="842">
                  <c:v>17.8</c:v>
                </c:pt>
                <c:pt idx="843">
                  <c:v>15.6</c:v>
                </c:pt>
                <c:pt idx="844">
                  <c:v>17.8</c:v>
                </c:pt>
                <c:pt idx="845">
                  <c:v>18.8</c:v>
                </c:pt>
                <c:pt idx="846">
                  <c:v>17.600000000000001</c:v>
                </c:pt>
                <c:pt idx="847">
                  <c:v>15.1</c:v>
                </c:pt>
                <c:pt idx="848">
                  <c:v>17.899999999999999</c:v>
                </c:pt>
                <c:pt idx="849">
                  <c:v>16.3</c:v>
                </c:pt>
                <c:pt idx="850">
                  <c:v>20.399999999999999</c:v>
                </c:pt>
                <c:pt idx="851">
                  <c:v>17.5</c:v>
                </c:pt>
                <c:pt idx="852">
                  <c:v>13.7</c:v>
                </c:pt>
                <c:pt idx="853">
                  <c:v>18.100000000000001</c:v>
                </c:pt>
                <c:pt idx="854">
                  <c:v>17.899999999999999</c:v>
                </c:pt>
                <c:pt idx="855">
                  <c:v>18.100000000000001</c:v>
                </c:pt>
                <c:pt idx="856">
                  <c:v>16.3</c:v>
                </c:pt>
                <c:pt idx="857">
                  <c:v>18.100000000000001</c:v>
                </c:pt>
                <c:pt idx="858">
                  <c:v>17.5</c:v>
                </c:pt>
                <c:pt idx="859">
                  <c:v>16.899999999999999</c:v>
                </c:pt>
                <c:pt idx="860">
                  <c:v>11.8</c:v>
                </c:pt>
                <c:pt idx="861">
                  <c:v>11.2</c:v>
                </c:pt>
                <c:pt idx="862">
                  <c:v>18.100000000000001</c:v>
                </c:pt>
                <c:pt idx="863">
                  <c:v>17.5</c:v>
                </c:pt>
                <c:pt idx="864">
                  <c:v>16.899999999999999</c:v>
                </c:pt>
                <c:pt idx="865">
                  <c:v>13.9</c:v>
                </c:pt>
                <c:pt idx="866">
                  <c:v>13.7</c:v>
                </c:pt>
                <c:pt idx="867">
                  <c:v>19.399999999999999</c:v>
                </c:pt>
                <c:pt idx="868">
                  <c:v>17.2</c:v>
                </c:pt>
                <c:pt idx="869">
                  <c:v>18.100000000000001</c:v>
                </c:pt>
                <c:pt idx="870">
                  <c:v>20.7</c:v>
                </c:pt>
                <c:pt idx="871">
                  <c:v>10.199999999999999</c:v>
                </c:pt>
                <c:pt idx="872">
                  <c:v>14.5</c:v>
                </c:pt>
                <c:pt idx="873">
                  <c:v>13.7</c:v>
                </c:pt>
                <c:pt idx="874">
                  <c:v>20.100000000000001</c:v>
                </c:pt>
                <c:pt idx="875">
                  <c:v>20.399999999999999</c:v>
                </c:pt>
                <c:pt idx="876">
                  <c:v>19</c:v>
                </c:pt>
                <c:pt idx="877">
                  <c:v>15.8</c:v>
                </c:pt>
                <c:pt idx="878">
                  <c:v>18.3</c:v>
                </c:pt>
                <c:pt idx="879">
                  <c:v>19.7</c:v>
                </c:pt>
                <c:pt idx="880">
                  <c:v>20.7</c:v>
                </c:pt>
                <c:pt idx="881">
                  <c:v>18.7</c:v>
                </c:pt>
                <c:pt idx="882">
                  <c:v>20.7</c:v>
                </c:pt>
                <c:pt idx="883">
                  <c:v>20.3</c:v>
                </c:pt>
                <c:pt idx="884">
                  <c:v>11.6</c:v>
                </c:pt>
                <c:pt idx="885">
                  <c:v>11.4</c:v>
                </c:pt>
                <c:pt idx="886">
                  <c:v>15.2</c:v>
                </c:pt>
                <c:pt idx="887">
                  <c:v>16.2</c:v>
                </c:pt>
                <c:pt idx="888">
                  <c:v>18.899999999999999</c:v>
                </c:pt>
                <c:pt idx="889">
                  <c:v>19.8</c:v>
                </c:pt>
                <c:pt idx="890">
                  <c:v>17.899999999999999</c:v>
                </c:pt>
                <c:pt idx="891">
                  <c:v>19</c:v>
                </c:pt>
                <c:pt idx="892">
                  <c:v>17.899999999999999</c:v>
                </c:pt>
                <c:pt idx="893">
                  <c:v>18.7</c:v>
                </c:pt>
                <c:pt idx="894">
                  <c:v>12.9</c:v>
                </c:pt>
                <c:pt idx="895">
                  <c:v>20.7</c:v>
                </c:pt>
                <c:pt idx="896">
                  <c:v>19.600000000000001</c:v>
                </c:pt>
                <c:pt idx="897">
                  <c:v>16.899999999999999</c:v>
                </c:pt>
                <c:pt idx="898">
                  <c:v>17.3</c:v>
                </c:pt>
                <c:pt idx="899">
                  <c:v>11.9</c:v>
                </c:pt>
                <c:pt idx="900">
                  <c:v>10.7</c:v>
                </c:pt>
                <c:pt idx="901">
                  <c:v>15.4</c:v>
                </c:pt>
                <c:pt idx="902">
                  <c:v>18.2</c:v>
                </c:pt>
                <c:pt idx="903">
                  <c:v>18.3</c:v>
                </c:pt>
                <c:pt idx="904">
                  <c:v>15.8</c:v>
                </c:pt>
                <c:pt idx="905">
                  <c:v>13</c:v>
                </c:pt>
                <c:pt idx="906">
                  <c:v>15.8</c:v>
                </c:pt>
                <c:pt idx="907">
                  <c:v>18.899999999999999</c:v>
                </c:pt>
                <c:pt idx="908">
                  <c:v>16.399999999999999</c:v>
                </c:pt>
                <c:pt idx="909">
                  <c:v>14.2</c:v>
                </c:pt>
                <c:pt idx="910">
                  <c:v>14.6</c:v>
                </c:pt>
                <c:pt idx="911">
                  <c:v>17.5</c:v>
                </c:pt>
                <c:pt idx="912">
                  <c:v>17.8</c:v>
                </c:pt>
                <c:pt idx="913">
                  <c:v>15.9</c:v>
                </c:pt>
                <c:pt idx="914">
                  <c:v>17</c:v>
                </c:pt>
                <c:pt idx="915">
                  <c:v>20</c:v>
                </c:pt>
                <c:pt idx="916">
                  <c:v>17.5</c:v>
                </c:pt>
                <c:pt idx="917">
                  <c:v>16.3</c:v>
                </c:pt>
                <c:pt idx="918">
                  <c:v>14.9</c:v>
                </c:pt>
                <c:pt idx="919">
                  <c:v>18.399999999999999</c:v>
                </c:pt>
                <c:pt idx="920">
                  <c:v>14.1</c:v>
                </c:pt>
                <c:pt idx="921">
                  <c:v>17.899999999999999</c:v>
                </c:pt>
                <c:pt idx="922">
                  <c:v>18.899999999999999</c:v>
                </c:pt>
                <c:pt idx="923">
                  <c:v>16.2</c:v>
                </c:pt>
                <c:pt idx="924">
                  <c:v>16.899999999999999</c:v>
                </c:pt>
                <c:pt idx="925">
                  <c:v>19.100000000000001</c:v>
                </c:pt>
                <c:pt idx="926">
                  <c:v>16.100000000000001</c:v>
                </c:pt>
                <c:pt idx="927">
                  <c:v>16.8</c:v>
                </c:pt>
                <c:pt idx="928">
                  <c:v>11.5</c:v>
                </c:pt>
                <c:pt idx="929">
                  <c:v>17.600000000000001</c:v>
                </c:pt>
                <c:pt idx="930">
                  <c:v>24.1</c:v>
                </c:pt>
                <c:pt idx="931">
                  <c:v>16.899999999999999</c:v>
                </c:pt>
                <c:pt idx="932">
                  <c:v>16.3</c:v>
                </c:pt>
                <c:pt idx="933">
                  <c:v>18.5</c:v>
                </c:pt>
                <c:pt idx="934">
                  <c:v>17.5</c:v>
                </c:pt>
                <c:pt idx="935">
                  <c:v>11.8</c:v>
                </c:pt>
                <c:pt idx="936">
                  <c:v>12.3</c:v>
                </c:pt>
                <c:pt idx="937">
                  <c:v>19.5</c:v>
                </c:pt>
                <c:pt idx="938">
                  <c:v>11.8</c:v>
                </c:pt>
                <c:pt idx="939">
                  <c:v>17.2</c:v>
                </c:pt>
                <c:pt idx="940">
                  <c:v>19</c:v>
                </c:pt>
                <c:pt idx="941">
                  <c:v>20.5</c:v>
                </c:pt>
                <c:pt idx="942">
                  <c:v>18.7</c:v>
                </c:pt>
                <c:pt idx="943">
                  <c:v>19.899999999999999</c:v>
                </c:pt>
                <c:pt idx="944">
                  <c:v>18.399999999999999</c:v>
                </c:pt>
                <c:pt idx="945">
                  <c:v>14.8</c:v>
                </c:pt>
                <c:pt idx="946">
                  <c:v>12.2</c:v>
                </c:pt>
                <c:pt idx="947">
                  <c:v>19.2</c:v>
                </c:pt>
                <c:pt idx="948">
                  <c:v>13.6</c:v>
                </c:pt>
                <c:pt idx="949">
                  <c:v>19.8</c:v>
                </c:pt>
                <c:pt idx="950">
                  <c:v>12.6</c:v>
                </c:pt>
                <c:pt idx="951">
                  <c:v>13.2</c:v>
                </c:pt>
                <c:pt idx="952">
                  <c:v>11.4</c:v>
                </c:pt>
                <c:pt idx="953">
                  <c:v>14.4</c:v>
                </c:pt>
                <c:pt idx="954">
                  <c:v>17.5</c:v>
                </c:pt>
                <c:pt idx="955">
                  <c:v>16.399999999999999</c:v>
                </c:pt>
                <c:pt idx="956">
                  <c:v>14.2</c:v>
                </c:pt>
                <c:pt idx="957">
                  <c:v>13.2</c:v>
                </c:pt>
                <c:pt idx="958">
                  <c:v>19.600000000000001</c:v>
                </c:pt>
                <c:pt idx="959">
                  <c:v>14.8</c:v>
                </c:pt>
                <c:pt idx="960">
                  <c:v>16.7</c:v>
                </c:pt>
                <c:pt idx="961">
                  <c:v>20.5</c:v>
                </c:pt>
                <c:pt idx="962">
                  <c:v>15.3</c:v>
                </c:pt>
                <c:pt idx="963">
                  <c:v>14.8</c:v>
                </c:pt>
                <c:pt idx="964">
                  <c:v>17.399999999999999</c:v>
                </c:pt>
                <c:pt idx="965">
                  <c:v>17.3</c:v>
                </c:pt>
                <c:pt idx="966">
                  <c:v>20.2</c:v>
                </c:pt>
                <c:pt idx="967">
                  <c:v>16.899999999999999</c:v>
                </c:pt>
                <c:pt idx="968">
                  <c:v>11.9</c:v>
                </c:pt>
                <c:pt idx="969">
                  <c:v>17.600000000000001</c:v>
                </c:pt>
                <c:pt idx="970">
                  <c:v>17.8</c:v>
                </c:pt>
                <c:pt idx="971">
                  <c:v>14.2</c:v>
                </c:pt>
                <c:pt idx="972">
                  <c:v>10.7</c:v>
                </c:pt>
                <c:pt idx="973">
                  <c:v>13.6</c:v>
                </c:pt>
                <c:pt idx="974">
                  <c:v>12.3</c:v>
                </c:pt>
                <c:pt idx="975">
                  <c:v>19.7</c:v>
                </c:pt>
                <c:pt idx="976">
                  <c:v>13.8</c:v>
                </c:pt>
                <c:pt idx="977">
                  <c:v>10.7</c:v>
                </c:pt>
                <c:pt idx="978">
                  <c:v>14.1</c:v>
                </c:pt>
                <c:pt idx="979">
                  <c:v>14.1</c:v>
                </c:pt>
                <c:pt idx="980">
                  <c:v>19.2</c:v>
                </c:pt>
                <c:pt idx="981">
                  <c:v>17.8</c:v>
                </c:pt>
                <c:pt idx="982">
                  <c:v>18.899999999999999</c:v>
                </c:pt>
                <c:pt idx="983">
                  <c:v>14.4</c:v>
                </c:pt>
                <c:pt idx="984">
                  <c:v>17.2</c:v>
                </c:pt>
                <c:pt idx="985">
                  <c:v>14.4</c:v>
                </c:pt>
                <c:pt idx="986">
                  <c:v>14.3</c:v>
                </c:pt>
                <c:pt idx="987">
                  <c:v>19.399999999999999</c:v>
                </c:pt>
                <c:pt idx="988">
                  <c:v>13.6</c:v>
                </c:pt>
                <c:pt idx="989">
                  <c:v>18.100000000000001</c:v>
                </c:pt>
                <c:pt idx="990">
                  <c:v>16.5</c:v>
                </c:pt>
                <c:pt idx="991">
                  <c:v>18.100000000000001</c:v>
                </c:pt>
                <c:pt idx="992">
                  <c:v>16.600000000000001</c:v>
                </c:pt>
                <c:pt idx="993">
                  <c:v>11.1</c:v>
                </c:pt>
                <c:pt idx="994">
                  <c:v>11.1</c:v>
                </c:pt>
                <c:pt idx="995">
                  <c:v>11.1</c:v>
                </c:pt>
                <c:pt idx="996">
                  <c:v>11.1</c:v>
                </c:pt>
                <c:pt idx="997">
                  <c:v>17.8</c:v>
                </c:pt>
                <c:pt idx="998">
                  <c:v>18.3</c:v>
                </c:pt>
                <c:pt idx="999">
                  <c:v>15.8</c:v>
                </c:pt>
                <c:pt idx="1000">
                  <c:v>12.3</c:v>
                </c:pt>
                <c:pt idx="1001">
                  <c:v>12.4</c:v>
                </c:pt>
                <c:pt idx="1002">
                  <c:v>15.7</c:v>
                </c:pt>
                <c:pt idx="1003">
                  <c:v>19.899999999999999</c:v>
                </c:pt>
                <c:pt idx="1004">
                  <c:v>17.8</c:v>
                </c:pt>
                <c:pt idx="1005">
                  <c:v>17.7</c:v>
                </c:pt>
                <c:pt idx="1006">
                  <c:v>18.399999999999999</c:v>
                </c:pt>
                <c:pt idx="1007">
                  <c:v>14.6</c:v>
                </c:pt>
                <c:pt idx="1008">
                  <c:v>17.399999999999999</c:v>
                </c:pt>
                <c:pt idx="1009">
                  <c:v>18.2</c:v>
                </c:pt>
                <c:pt idx="1010">
                  <c:v>19.5</c:v>
                </c:pt>
                <c:pt idx="1011">
                  <c:v>18.399999999999999</c:v>
                </c:pt>
                <c:pt idx="1012">
                  <c:v>18.899999999999999</c:v>
                </c:pt>
                <c:pt idx="1013">
                  <c:v>18.5</c:v>
                </c:pt>
                <c:pt idx="1014">
                  <c:v>13.8</c:v>
                </c:pt>
                <c:pt idx="1015">
                  <c:v>17.5</c:v>
                </c:pt>
                <c:pt idx="1016">
                  <c:v>16.600000000000001</c:v>
                </c:pt>
                <c:pt idx="1017">
                  <c:v>18.3</c:v>
                </c:pt>
                <c:pt idx="1018">
                  <c:v>15.3</c:v>
                </c:pt>
                <c:pt idx="1019">
                  <c:v>17.5</c:v>
                </c:pt>
                <c:pt idx="1020">
                  <c:v>14.1</c:v>
                </c:pt>
                <c:pt idx="1021">
                  <c:v>18.2</c:v>
                </c:pt>
                <c:pt idx="1022">
                  <c:v>16.8</c:v>
                </c:pt>
                <c:pt idx="1023">
                  <c:v>16.8</c:v>
                </c:pt>
                <c:pt idx="1024">
                  <c:v>14.6</c:v>
                </c:pt>
                <c:pt idx="1025">
                  <c:v>16.8</c:v>
                </c:pt>
                <c:pt idx="1026">
                  <c:v>19</c:v>
                </c:pt>
                <c:pt idx="1027">
                  <c:v>17.5</c:v>
                </c:pt>
                <c:pt idx="1028">
                  <c:v>13.7</c:v>
                </c:pt>
                <c:pt idx="1029">
                  <c:v>13.4</c:v>
                </c:pt>
                <c:pt idx="1030">
                  <c:v>14.3</c:v>
                </c:pt>
                <c:pt idx="1031">
                  <c:v>11.8</c:v>
                </c:pt>
                <c:pt idx="1032">
                  <c:v>14.3</c:v>
                </c:pt>
                <c:pt idx="1033">
                  <c:v>15.2</c:v>
                </c:pt>
                <c:pt idx="1034">
                  <c:v>13.4</c:v>
                </c:pt>
                <c:pt idx="1035">
                  <c:v>13.4</c:v>
                </c:pt>
                <c:pt idx="1036">
                  <c:v>16.3</c:v>
                </c:pt>
                <c:pt idx="1037">
                  <c:v>14.2</c:v>
                </c:pt>
                <c:pt idx="1038">
                  <c:v>18.899999999999999</c:v>
                </c:pt>
                <c:pt idx="1039">
                  <c:v>11.6</c:v>
                </c:pt>
                <c:pt idx="1040">
                  <c:v>13.5</c:v>
                </c:pt>
                <c:pt idx="1041">
                  <c:v>18.600000000000001</c:v>
                </c:pt>
                <c:pt idx="1042">
                  <c:v>16.3</c:v>
                </c:pt>
                <c:pt idx="1043">
                  <c:v>14.2</c:v>
                </c:pt>
                <c:pt idx="1044">
                  <c:v>13.4</c:v>
                </c:pt>
                <c:pt idx="1045">
                  <c:v>13.4</c:v>
                </c:pt>
                <c:pt idx="1046">
                  <c:v>15.8</c:v>
                </c:pt>
                <c:pt idx="1047">
                  <c:v>17.8</c:v>
                </c:pt>
                <c:pt idx="1048">
                  <c:v>18.7</c:v>
                </c:pt>
                <c:pt idx="1049">
                  <c:v>14.3</c:v>
                </c:pt>
                <c:pt idx="1050">
                  <c:v>11.6</c:v>
                </c:pt>
                <c:pt idx="1051">
                  <c:v>17.2</c:v>
                </c:pt>
                <c:pt idx="1052">
                  <c:v>15.4</c:v>
                </c:pt>
                <c:pt idx="1053">
                  <c:v>14.4</c:v>
                </c:pt>
                <c:pt idx="1054">
                  <c:v>11.8</c:v>
                </c:pt>
                <c:pt idx="1055">
                  <c:v>19.7</c:v>
                </c:pt>
                <c:pt idx="1056">
                  <c:v>18.399999999999999</c:v>
                </c:pt>
                <c:pt idx="1057">
                  <c:v>19.8</c:v>
                </c:pt>
                <c:pt idx="1058">
                  <c:v>17.899999999999999</c:v>
                </c:pt>
                <c:pt idx="1059">
                  <c:v>17.2</c:v>
                </c:pt>
                <c:pt idx="1060">
                  <c:v>18.899999999999999</c:v>
                </c:pt>
                <c:pt idx="1061">
                  <c:v>12.4</c:v>
                </c:pt>
                <c:pt idx="1062">
                  <c:v>17.7</c:v>
                </c:pt>
                <c:pt idx="1063">
                  <c:v>19.399999999999999</c:v>
                </c:pt>
                <c:pt idx="1064">
                  <c:v>16.8</c:v>
                </c:pt>
                <c:pt idx="1065">
                  <c:v>17.2</c:v>
                </c:pt>
                <c:pt idx="1066">
                  <c:v>18.899999999999999</c:v>
                </c:pt>
                <c:pt idx="1067">
                  <c:v>14.7</c:v>
                </c:pt>
                <c:pt idx="1068">
                  <c:v>16.100000000000001</c:v>
                </c:pt>
                <c:pt idx="1069">
                  <c:v>10.199999999999999</c:v>
                </c:pt>
                <c:pt idx="1070">
                  <c:v>16.899999999999999</c:v>
                </c:pt>
                <c:pt idx="1071">
                  <c:v>15.4</c:v>
                </c:pt>
                <c:pt idx="1072">
                  <c:v>13.2</c:v>
                </c:pt>
                <c:pt idx="1073">
                  <c:v>20.3</c:v>
                </c:pt>
                <c:pt idx="1074">
                  <c:v>17.600000000000001</c:v>
                </c:pt>
                <c:pt idx="1075">
                  <c:v>12.8</c:v>
                </c:pt>
                <c:pt idx="1076">
                  <c:v>12.5</c:v>
                </c:pt>
                <c:pt idx="1077">
                  <c:v>15.8</c:v>
                </c:pt>
                <c:pt idx="1078">
                  <c:v>16.7</c:v>
                </c:pt>
                <c:pt idx="1079">
                  <c:v>20.100000000000001</c:v>
                </c:pt>
                <c:pt idx="1080">
                  <c:v>19.3</c:v>
                </c:pt>
                <c:pt idx="1081">
                  <c:v>14.2</c:v>
                </c:pt>
                <c:pt idx="1082">
                  <c:v>16.2</c:v>
                </c:pt>
                <c:pt idx="1083">
                  <c:v>20.5</c:v>
                </c:pt>
                <c:pt idx="1084">
                  <c:v>19.600000000000001</c:v>
                </c:pt>
                <c:pt idx="1085">
                  <c:v>17.399999999999999</c:v>
                </c:pt>
                <c:pt idx="1086">
                  <c:v>14.2</c:v>
                </c:pt>
                <c:pt idx="1087">
                  <c:v>18.3</c:v>
                </c:pt>
                <c:pt idx="1088">
                  <c:v>17.8</c:v>
                </c:pt>
                <c:pt idx="1089">
                  <c:v>17.600000000000001</c:v>
                </c:pt>
                <c:pt idx="1090">
                  <c:v>17.399999999999999</c:v>
                </c:pt>
                <c:pt idx="1091">
                  <c:v>20.2</c:v>
                </c:pt>
                <c:pt idx="1092">
                  <c:v>13.6</c:v>
                </c:pt>
                <c:pt idx="1093">
                  <c:v>17.5</c:v>
                </c:pt>
                <c:pt idx="1094">
                  <c:v>17.100000000000001</c:v>
                </c:pt>
                <c:pt idx="1095">
                  <c:v>18.899999999999999</c:v>
                </c:pt>
                <c:pt idx="1096">
                  <c:v>12.5</c:v>
                </c:pt>
                <c:pt idx="1097">
                  <c:v>18.7</c:v>
                </c:pt>
                <c:pt idx="1098">
                  <c:v>13.5</c:v>
                </c:pt>
                <c:pt idx="1099">
                  <c:v>11.3</c:v>
                </c:pt>
                <c:pt idx="1100">
                  <c:v>15.6</c:v>
                </c:pt>
                <c:pt idx="1101">
                  <c:v>17.600000000000001</c:v>
                </c:pt>
                <c:pt idx="1102">
                  <c:v>17.2</c:v>
                </c:pt>
                <c:pt idx="1103">
                  <c:v>11.8</c:v>
                </c:pt>
                <c:pt idx="1104">
                  <c:v>17.7</c:v>
                </c:pt>
                <c:pt idx="1105">
                  <c:v>19.7</c:v>
                </c:pt>
                <c:pt idx="1106">
                  <c:v>13.5</c:v>
                </c:pt>
                <c:pt idx="1107">
                  <c:v>15.3</c:v>
                </c:pt>
                <c:pt idx="1108">
                  <c:v>15.9</c:v>
                </c:pt>
                <c:pt idx="1109">
                  <c:v>17.899999999999999</c:v>
                </c:pt>
                <c:pt idx="1110">
                  <c:v>14.8</c:v>
                </c:pt>
                <c:pt idx="1111">
                  <c:v>11.3</c:v>
                </c:pt>
                <c:pt idx="1112">
                  <c:v>23.2</c:v>
                </c:pt>
                <c:pt idx="1113">
                  <c:v>16.899999999999999</c:v>
                </c:pt>
                <c:pt idx="1114">
                  <c:v>13.6</c:v>
                </c:pt>
                <c:pt idx="1115">
                  <c:v>17.8</c:v>
                </c:pt>
                <c:pt idx="1116">
                  <c:v>18.399999999999999</c:v>
                </c:pt>
                <c:pt idx="1117">
                  <c:v>16.3</c:v>
                </c:pt>
                <c:pt idx="1118">
                  <c:v>10.9</c:v>
                </c:pt>
                <c:pt idx="1119">
                  <c:v>19.7</c:v>
                </c:pt>
                <c:pt idx="1120">
                  <c:v>18.600000000000001</c:v>
                </c:pt>
                <c:pt idx="1121">
                  <c:v>20.2</c:v>
                </c:pt>
                <c:pt idx="1122">
                  <c:v>19</c:v>
                </c:pt>
                <c:pt idx="1123">
                  <c:v>16.399999999999999</c:v>
                </c:pt>
                <c:pt idx="1124">
                  <c:v>19.2</c:v>
                </c:pt>
                <c:pt idx="1125">
                  <c:v>19.399999999999999</c:v>
                </c:pt>
                <c:pt idx="1126">
                  <c:v>18.8</c:v>
                </c:pt>
                <c:pt idx="1127">
                  <c:v>18.600000000000001</c:v>
                </c:pt>
                <c:pt idx="1128">
                  <c:v>16.600000000000001</c:v>
                </c:pt>
                <c:pt idx="1129">
                  <c:v>14.1</c:v>
                </c:pt>
                <c:pt idx="1130">
                  <c:v>13.8</c:v>
                </c:pt>
                <c:pt idx="1131">
                  <c:v>15.4</c:v>
                </c:pt>
                <c:pt idx="1132">
                  <c:v>19.5</c:v>
                </c:pt>
                <c:pt idx="1133">
                  <c:v>13.4</c:v>
                </c:pt>
                <c:pt idx="1134">
                  <c:v>20.399999999999999</c:v>
                </c:pt>
                <c:pt idx="1135">
                  <c:v>14.7</c:v>
                </c:pt>
                <c:pt idx="1136">
                  <c:v>12.7</c:v>
                </c:pt>
                <c:pt idx="1137">
                  <c:v>14.7</c:v>
                </c:pt>
                <c:pt idx="1138">
                  <c:v>17.899999999999999</c:v>
                </c:pt>
                <c:pt idx="1139">
                  <c:v>11.8</c:v>
                </c:pt>
                <c:pt idx="1140">
                  <c:v>17.899999999999999</c:v>
                </c:pt>
                <c:pt idx="1141">
                  <c:v>13.7</c:v>
                </c:pt>
                <c:pt idx="1142">
                  <c:v>16.3</c:v>
                </c:pt>
                <c:pt idx="1143">
                  <c:v>10.199999999999999</c:v>
                </c:pt>
                <c:pt idx="1144">
                  <c:v>17.3</c:v>
                </c:pt>
                <c:pt idx="1145">
                  <c:v>14.2</c:v>
                </c:pt>
                <c:pt idx="1146">
                  <c:v>15.4</c:v>
                </c:pt>
                <c:pt idx="1147">
                  <c:v>12.3</c:v>
                </c:pt>
                <c:pt idx="1148">
                  <c:v>19.8</c:v>
                </c:pt>
                <c:pt idx="1149">
                  <c:v>13.8</c:v>
                </c:pt>
                <c:pt idx="1150">
                  <c:v>16.5</c:v>
                </c:pt>
                <c:pt idx="1151">
                  <c:v>18.8</c:v>
                </c:pt>
                <c:pt idx="1152">
                  <c:v>17.5</c:v>
                </c:pt>
                <c:pt idx="1153">
                  <c:v>18.8</c:v>
                </c:pt>
                <c:pt idx="1154">
                  <c:v>16.7</c:v>
                </c:pt>
                <c:pt idx="1155">
                  <c:v>18.2</c:v>
                </c:pt>
                <c:pt idx="1156">
                  <c:v>16.3</c:v>
                </c:pt>
                <c:pt idx="1157">
                  <c:v>15.9</c:v>
                </c:pt>
                <c:pt idx="1158">
                  <c:v>17.8</c:v>
                </c:pt>
                <c:pt idx="1159">
                  <c:v>18.7</c:v>
                </c:pt>
                <c:pt idx="1160">
                  <c:v>20.9</c:v>
                </c:pt>
                <c:pt idx="1161">
                  <c:v>16</c:v>
                </c:pt>
                <c:pt idx="1162">
                  <c:v>17.3</c:v>
                </c:pt>
                <c:pt idx="1163">
                  <c:v>16.399999999999999</c:v>
                </c:pt>
                <c:pt idx="1164">
                  <c:v>17.100000000000001</c:v>
                </c:pt>
                <c:pt idx="1165">
                  <c:v>16.399999999999999</c:v>
                </c:pt>
                <c:pt idx="1166">
                  <c:v>19.3</c:v>
                </c:pt>
                <c:pt idx="1167">
                  <c:v>18.2</c:v>
                </c:pt>
                <c:pt idx="1168">
                  <c:v>16.8</c:v>
                </c:pt>
                <c:pt idx="1169">
                  <c:v>15.2</c:v>
                </c:pt>
                <c:pt idx="1170">
                  <c:v>14.2</c:v>
                </c:pt>
                <c:pt idx="1171">
                  <c:v>17.7</c:v>
                </c:pt>
                <c:pt idx="1172">
                  <c:v>16.399999999999999</c:v>
                </c:pt>
                <c:pt idx="1173">
                  <c:v>16</c:v>
                </c:pt>
                <c:pt idx="1174">
                  <c:v>12.3</c:v>
                </c:pt>
                <c:pt idx="1175">
                  <c:v>12.1</c:v>
                </c:pt>
                <c:pt idx="1176">
                  <c:v>15.6</c:v>
                </c:pt>
                <c:pt idx="1177">
                  <c:v>15.5</c:v>
                </c:pt>
                <c:pt idx="1178">
                  <c:v>14.8</c:v>
                </c:pt>
                <c:pt idx="1179">
                  <c:v>14.4</c:v>
                </c:pt>
                <c:pt idx="1180">
                  <c:v>17.899999999999999</c:v>
                </c:pt>
                <c:pt idx="1181">
                  <c:v>19.5</c:v>
                </c:pt>
                <c:pt idx="1182">
                  <c:v>13.9</c:v>
                </c:pt>
                <c:pt idx="1183">
                  <c:v>18.600000000000001</c:v>
                </c:pt>
                <c:pt idx="1184">
                  <c:v>19.2</c:v>
                </c:pt>
                <c:pt idx="1185">
                  <c:v>17.600000000000001</c:v>
                </c:pt>
                <c:pt idx="1186">
                  <c:v>14.7</c:v>
                </c:pt>
                <c:pt idx="1187">
                  <c:v>13.7</c:v>
                </c:pt>
                <c:pt idx="1188">
                  <c:v>10.7</c:v>
                </c:pt>
                <c:pt idx="1189">
                  <c:v>14.5</c:v>
                </c:pt>
                <c:pt idx="1190">
                  <c:v>15.8</c:v>
                </c:pt>
                <c:pt idx="1191">
                  <c:v>11</c:v>
                </c:pt>
                <c:pt idx="1192">
                  <c:v>21.9</c:v>
                </c:pt>
                <c:pt idx="1193">
                  <c:v>19.5</c:v>
                </c:pt>
                <c:pt idx="1194">
                  <c:v>12.2</c:v>
                </c:pt>
                <c:pt idx="1195">
                  <c:v>14.1</c:v>
                </c:pt>
                <c:pt idx="1196">
                  <c:v>17.2</c:v>
                </c:pt>
                <c:pt idx="1197">
                  <c:v>16.8</c:v>
                </c:pt>
                <c:pt idx="1198">
                  <c:v>15</c:v>
                </c:pt>
                <c:pt idx="1199">
                  <c:v>12.6</c:v>
                </c:pt>
                <c:pt idx="1200">
                  <c:v>18.100000000000001</c:v>
                </c:pt>
                <c:pt idx="1201">
                  <c:v>14.5</c:v>
                </c:pt>
                <c:pt idx="1202">
                  <c:v>14.7</c:v>
                </c:pt>
                <c:pt idx="1203">
                  <c:v>21.9</c:v>
                </c:pt>
                <c:pt idx="1204">
                  <c:v>21.8</c:v>
                </c:pt>
                <c:pt idx="1205">
                  <c:v>23.7</c:v>
                </c:pt>
                <c:pt idx="1206">
                  <c:v>20.8</c:v>
                </c:pt>
                <c:pt idx="1207">
                  <c:v>24.1</c:v>
                </c:pt>
                <c:pt idx="1208">
                  <c:v>21.4</c:v>
                </c:pt>
                <c:pt idx="1209">
                  <c:v>23.6</c:v>
                </c:pt>
                <c:pt idx="1210">
                  <c:v>17.2</c:v>
                </c:pt>
                <c:pt idx="1211">
                  <c:v>17.8</c:v>
                </c:pt>
                <c:pt idx="1212">
                  <c:v>16.899999999999999</c:v>
                </c:pt>
                <c:pt idx="1213">
                  <c:v>18.5</c:v>
                </c:pt>
                <c:pt idx="1214">
                  <c:v>24.3</c:v>
                </c:pt>
                <c:pt idx="1215">
                  <c:v>21.3</c:v>
                </c:pt>
                <c:pt idx="1216">
                  <c:v>19.399999999999999</c:v>
                </c:pt>
                <c:pt idx="1217">
                  <c:v>21.3</c:v>
                </c:pt>
                <c:pt idx="1218">
                  <c:v>21.4</c:v>
                </c:pt>
                <c:pt idx="1219">
                  <c:v>19.899999999999999</c:v>
                </c:pt>
                <c:pt idx="1220">
                  <c:v>19.8</c:v>
                </c:pt>
                <c:pt idx="1221">
                  <c:v>17.399999999999999</c:v>
                </c:pt>
                <c:pt idx="1222">
                  <c:v>13.2</c:v>
                </c:pt>
                <c:pt idx="1223">
                  <c:v>19.5</c:v>
                </c:pt>
                <c:pt idx="1224">
                  <c:v>18</c:v>
                </c:pt>
                <c:pt idx="1225">
                  <c:v>17.2</c:v>
                </c:pt>
                <c:pt idx="1226">
                  <c:v>28</c:v>
                </c:pt>
                <c:pt idx="1227">
                  <c:v>17.5</c:v>
                </c:pt>
                <c:pt idx="1228">
                  <c:v>20.100000000000001</c:v>
                </c:pt>
                <c:pt idx="1229">
                  <c:v>18.7</c:v>
                </c:pt>
                <c:pt idx="1230">
                  <c:v>18</c:v>
                </c:pt>
                <c:pt idx="1231">
                  <c:v>19.399999999999999</c:v>
                </c:pt>
                <c:pt idx="1232">
                  <c:v>17.2</c:v>
                </c:pt>
                <c:pt idx="1233">
                  <c:v>22.2</c:v>
                </c:pt>
                <c:pt idx="1234">
                  <c:v>20.7</c:v>
                </c:pt>
                <c:pt idx="1235">
                  <c:v>19.600000000000001</c:v>
                </c:pt>
                <c:pt idx="1236">
                  <c:v>23</c:v>
                </c:pt>
                <c:pt idx="1237">
                  <c:v>16.7</c:v>
                </c:pt>
                <c:pt idx="1238">
                  <c:v>18.2</c:v>
                </c:pt>
                <c:pt idx="1239">
                  <c:v>21.1</c:v>
                </c:pt>
                <c:pt idx="1240">
                  <c:v>9.6999999999999993</c:v>
                </c:pt>
                <c:pt idx="1241">
                  <c:v>20.8</c:v>
                </c:pt>
                <c:pt idx="1242">
                  <c:v>20.2</c:v>
                </c:pt>
                <c:pt idx="1243">
                  <c:v>17.3</c:v>
                </c:pt>
                <c:pt idx="1244">
                  <c:v>20</c:v>
                </c:pt>
                <c:pt idx="1245">
                  <c:v>19.8</c:v>
                </c:pt>
                <c:pt idx="1246">
                  <c:v>12.4</c:v>
                </c:pt>
                <c:pt idx="1247">
                  <c:v>14.2</c:v>
                </c:pt>
                <c:pt idx="1248">
                  <c:v>19.5</c:v>
                </c:pt>
                <c:pt idx="1249">
                  <c:v>18.8</c:v>
                </c:pt>
                <c:pt idx="1250">
                  <c:v>19.399999999999999</c:v>
                </c:pt>
                <c:pt idx="1251">
                  <c:v>19.100000000000001</c:v>
                </c:pt>
                <c:pt idx="1252">
                  <c:v>17.3</c:v>
                </c:pt>
                <c:pt idx="1253">
                  <c:v>11.1</c:v>
                </c:pt>
                <c:pt idx="1254">
                  <c:v>20.3</c:v>
                </c:pt>
                <c:pt idx="1255">
                  <c:v>22.1</c:v>
                </c:pt>
                <c:pt idx="1256">
                  <c:v>16.8</c:v>
                </c:pt>
                <c:pt idx="1257">
                  <c:v>19.8</c:v>
                </c:pt>
                <c:pt idx="1258">
                  <c:v>17.600000000000001</c:v>
                </c:pt>
                <c:pt idx="1259">
                  <c:v>23.9</c:v>
                </c:pt>
                <c:pt idx="1260">
                  <c:v>20.6</c:v>
                </c:pt>
                <c:pt idx="1261">
                  <c:v>23.2</c:v>
                </c:pt>
                <c:pt idx="1262">
                  <c:v>18.899999999999999</c:v>
                </c:pt>
                <c:pt idx="1263">
                  <c:v>22.8</c:v>
                </c:pt>
                <c:pt idx="1264">
                  <c:v>17.3</c:v>
                </c:pt>
                <c:pt idx="1265">
                  <c:v>13.9</c:v>
                </c:pt>
                <c:pt idx="1266">
                  <c:v>20.3</c:v>
                </c:pt>
                <c:pt idx="1267">
                  <c:v>22.3</c:v>
                </c:pt>
                <c:pt idx="1268">
                  <c:v>19</c:v>
                </c:pt>
                <c:pt idx="1269">
                  <c:v>17.8</c:v>
                </c:pt>
                <c:pt idx="1270">
                  <c:v>20.6</c:v>
                </c:pt>
                <c:pt idx="1271">
                  <c:v>18.2</c:v>
                </c:pt>
                <c:pt idx="1272">
                  <c:v>21.3</c:v>
                </c:pt>
                <c:pt idx="1273">
                  <c:v>15.6</c:v>
                </c:pt>
                <c:pt idx="1274">
                  <c:v>19.600000000000001</c:v>
                </c:pt>
                <c:pt idx="1275">
                  <c:v>17.3</c:v>
                </c:pt>
                <c:pt idx="1276">
                  <c:v>20.2</c:v>
                </c:pt>
                <c:pt idx="1277">
                  <c:v>14</c:v>
                </c:pt>
                <c:pt idx="1278">
                  <c:v>19.2</c:v>
                </c:pt>
                <c:pt idx="1279">
                  <c:v>20.5</c:v>
                </c:pt>
                <c:pt idx="1280">
                  <c:v>17.3</c:v>
                </c:pt>
                <c:pt idx="1281">
                  <c:v>21.2</c:v>
                </c:pt>
                <c:pt idx="1282">
                  <c:v>17.2</c:v>
                </c:pt>
                <c:pt idx="1283">
                  <c:v>15.2</c:v>
                </c:pt>
                <c:pt idx="1284">
                  <c:v>17.2</c:v>
                </c:pt>
                <c:pt idx="1285">
                  <c:v>20</c:v>
                </c:pt>
                <c:pt idx="1286">
                  <c:v>19.5</c:v>
                </c:pt>
                <c:pt idx="1287">
                  <c:v>23.3</c:v>
                </c:pt>
                <c:pt idx="1288">
                  <c:v>21.2</c:v>
                </c:pt>
                <c:pt idx="1289">
                  <c:v>13.8</c:v>
                </c:pt>
                <c:pt idx="1290">
                  <c:v>16.5</c:v>
                </c:pt>
                <c:pt idx="1291">
                  <c:v>13.5</c:v>
                </c:pt>
                <c:pt idx="1292">
                  <c:v>22.2</c:v>
                </c:pt>
                <c:pt idx="1293">
                  <c:v>10.5</c:v>
                </c:pt>
                <c:pt idx="1294">
                  <c:v>14.3</c:v>
                </c:pt>
                <c:pt idx="1295">
                  <c:v>12.1</c:v>
                </c:pt>
                <c:pt idx="1296">
                  <c:v>13.1</c:v>
                </c:pt>
                <c:pt idx="1297">
                  <c:v>22.3</c:v>
                </c:pt>
                <c:pt idx="1298">
                  <c:v>12.5</c:v>
                </c:pt>
                <c:pt idx="1299">
                  <c:v>10.5</c:v>
                </c:pt>
                <c:pt idx="1300">
                  <c:v>10.7</c:v>
                </c:pt>
                <c:pt idx="1301">
                  <c:v>10.8</c:v>
                </c:pt>
                <c:pt idx="1302">
                  <c:v>18.600000000000001</c:v>
                </c:pt>
                <c:pt idx="1303">
                  <c:v>12.4</c:v>
                </c:pt>
                <c:pt idx="1304">
                  <c:v>14.2</c:v>
                </c:pt>
                <c:pt idx="1305">
                  <c:v>20</c:v>
                </c:pt>
                <c:pt idx="1306">
                  <c:v>18.2</c:v>
                </c:pt>
                <c:pt idx="1307">
                  <c:v>13.8</c:v>
                </c:pt>
                <c:pt idx="1308">
                  <c:v>10.1</c:v>
                </c:pt>
                <c:pt idx="1309">
                  <c:v>11.7</c:v>
                </c:pt>
                <c:pt idx="1310">
                  <c:v>17.100000000000001</c:v>
                </c:pt>
                <c:pt idx="1311">
                  <c:v>18.5</c:v>
                </c:pt>
                <c:pt idx="1312">
                  <c:v>17.5</c:v>
                </c:pt>
                <c:pt idx="1313">
                  <c:v>13.7</c:v>
                </c:pt>
                <c:pt idx="1314">
                  <c:v>13.9</c:v>
                </c:pt>
                <c:pt idx="1315">
                  <c:v>15.1</c:v>
                </c:pt>
                <c:pt idx="1316">
                  <c:v>19.5</c:v>
                </c:pt>
                <c:pt idx="1317">
                  <c:v>15.5</c:v>
                </c:pt>
                <c:pt idx="1318">
                  <c:v>11.6</c:v>
                </c:pt>
                <c:pt idx="1319">
                  <c:v>13.7</c:v>
                </c:pt>
                <c:pt idx="1320">
                  <c:v>16.600000000000001</c:v>
                </c:pt>
                <c:pt idx="1321">
                  <c:v>12.6</c:v>
                </c:pt>
                <c:pt idx="1322">
                  <c:v>21.3</c:v>
                </c:pt>
                <c:pt idx="1323">
                  <c:v>17.7</c:v>
                </c:pt>
                <c:pt idx="1324">
                  <c:v>22.6</c:v>
                </c:pt>
                <c:pt idx="1325">
                  <c:v>15.5</c:v>
                </c:pt>
                <c:pt idx="1326">
                  <c:v>21.2</c:v>
                </c:pt>
                <c:pt idx="1327">
                  <c:v>17.399999999999999</c:v>
                </c:pt>
                <c:pt idx="1328">
                  <c:v>14.2</c:v>
                </c:pt>
                <c:pt idx="1329">
                  <c:v>13.3</c:v>
                </c:pt>
                <c:pt idx="1330">
                  <c:v>12</c:v>
                </c:pt>
                <c:pt idx="1331">
                  <c:v>12.1</c:v>
                </c:pt>
                <c:pt idx="1332">
                  <c:v>14.3</c:v>
                </c:pt>
                <c:pt idx="1333">
                  <c:v>14.2</c:v>
                </c:pt>
                <c:pt idx="1334">
                  <c:v>12.6</c:v>
                </c:pt>
                <c:pt idx="1335">
                  <c:v>10.3</c:v>
                </c:pt>
                <c:pt idx="1336">
                  <c:v>13.8</c:v>
                </c:pt>
                <c:pt idx="1337">
                  <c:v>12.5</c:v>
                </c:pt>
                <c:pt idx="1338">
                  <c:v>10.1</c:v>
                </c:pt>
                <c:pt idx="1339">
                  <c:v>14.3</c:v>
                </c:pt>
                <c:pt idx="1340">
                  <c:v>14.5</c:v>
                </c:pt>
                <c:pt idx="1341">
                  <c:v>14.5</c:v>
                </c:pt>
                <c:pt idx="1342">
                  <c:v>19.600000000000001</c:v>
                </c:pt>
                <c:pt idx="1343">
                  <c:v>17.600000000000001</c:v>
                </c:pt>
                <c:pt idx="1344">
                  <c:v>13.5</c:v>
                </c:pt>
                <c:pt idx="1345">
                  <c:v>17.7</c:v>
                </c:pt>
                <c:pt idx="1346">
                  <c:v>13.8</c:v>
                </c:pt>
                <c:pt idx="1347">
                  <c:v>13.3</c:v>
                </c:pt>
                <c:pt idx="1348">
                  <c:v>11.7</c:v>
                </c:pt>
                <c:pt idx="1349">
                  <c:v>11.2</c:v>
                </c:pt>
                <c:pt idx="1350">
                  <c:v>15.6</c:v>
                </c:pt>
                <c:pt idx="1351">
                  <c:v>14.8</c:v>
                </c:pt>
                <c:pt idx="1352">
                  <c:v>17.2</c:v>
                </c:pt>
                <c:pt idx="1353">
                  <c:v>13.6</c:v>
                </c:pt>
                <c:pt idx="1354">
                  <c:v>16.100000000000001</c:v>
                </c:pt>
                <c:pt idx="1355">
                  <c:v>10.9</c:v>
                </c:pt>
                <c:pt idx="1356">
                  <c:v>17.2</c:v>
                </c:pt>
                <c:pt idx="1357">
                  <c:v>14.2</c:v>
                </c:pt>
              </c:numCache>
            </c:numRef>
          </c:val>
          <c:smooth val="0"/>
          <c:extLst>
            <c:ext xmlns:c16="http://schemas.microsoft.com/office/drawing/2014/chart" uri="{C3380CC4-5D6E-409C-BE32-E72D297353CC}">
              <c16:uniqueId val="{00000000-064D-4942-90FF-9D81DB8C3BBA}"/>
            </c:ext>
          </c:extLst>
        </c:ser>
        <c:dLbls>
          <c:showLegendKey val="0"/>
          <c:showVal val="0"/>
          <c:showCatName val="0"/>
          <c:showSerName val="0"/>
          <c:showPercent val="0"/>
          <c:showBubbleSize val="0"/>
        </c:dLbls>
        <c:marker val="1"/>
        <c:smooth val="0"/>
        <c:axId val="405155840"/>
        <c:axId val="405161824"/>
      </c:lineChart>
      <c:lineChart>
        <c:grouping val="stacked"/>
        <c:varyColors val="0"/>
        <c:ser>
          <c:idx val="1"/>
          <c:order val="1"/>
          <c:tx>
            <c:v>AV Coke Temperature</c:v>
          </c:tx>
          <c:spPr>
            <a:ln w="57150">
              <a:solidFill>
                <a:srgbClr val="FF0000"/>
              </a:solidFill>
            </a:ln>
          </c:spPr>
          <c:marker>
            <c:symbol val="none"/>
          </c:marker>
          <c:cat>
            <c:multiLvlStrRef>
              <c:f>'Coke Moisture'!$C$17:$D$500</c:f>
              <c:multiLvlStrCache>
                <c:ptCount val="484"/>
                <c:lvl>
                  <c:pt idx="0">
                    <c:v>8:10</c:v>
                  </c:pt>
                  <c:pt idx="1">
                    <c:v>13:30</c:v>
                  </c:pt>
                  <c:pt idx="2">
                    <c:v>17:00</c:v>
                  </c:pt>
                  <c:pt idx="3">
                    <c:v>20:45</c:v>
                  </c:pt>
                  <c:pt idx="4">
                    <c:v>23:10</c:v>
                  </c:pt>
                  <c:pt idx="5">
                    <c:v>3:40</c:v>
                  </c:pt>
                  <c:pt idx="6">
                    <c:v>11:25</c:v>
                  </c:pt>
                  <c:pt idx="7">
                    <c:v>15:00</c:v>
                  </c:pt>
                  <c:pt idx="8">
                    <c:v>18:15</c:v>
                  </c:pt>
                  <c:pt idx="9">
                    <c:v>22:50</c:v>
                  </c:pt>
                  <c:pt idx="10">
                    <c:v>2:05</c:v>
                  </c:pt>
                  <c:pt idx="11">
                    <c:v>11:00</c:v>
                  </c:pt>
                  <c:pt idx="12">
                    <c:v>15:30</c:v>
                  </c:pt>
                  <c:pt idx="13">
                    <c:v>18:10</c:v>
                  </c:pt>
                  <c:pt idx="14">
                    <c:v>22:50</c:v>
                  </c:pt>
                  <c:pt idx="15">
                    <c:v>2:05</c:v>
                  </c:pt>
                  <c:pt idx="16">
                    <c:v>8:30</c:v>
                  </c:pt>
                  <c:pt idx="17">
                    <c:v>12:00</c:v>
                  </c:pt>
                  <c:pt idx="18">
                    <c:v>15:40</c:v>
                  </c:pt>
                  <c:pt idx="19">
                    <c:v>18:10</c:v>
                  </c:pt>
                  <c:pt idx="20">
                    <c:v>22:00</c:v>
                  </c:pt>
                  <c:pt idx="21">
                    <c:v>2:10</c:v>
                  </c:pt>
                  <c:pt idx="22">
                    <c:v>12:10</c:v>
                  </c:pt>
                  <c:pt idx="23">
                    <c:v>15:45</c:v>
                  </c:pt>
                  <c:pt idx="24">
                    <c:v>19:10</c:v>
                  </c:pt>
                  <c:pt idx="25">
                    <c:v>23:10</c:v>
                  </c:pt>
                  <c:pt idx="26">
                    <c:v>2:30</c:v>
                  </c:pt>
                  <c:pt idx="27">
                    <c:v>3:25</c:v>
                  </c:pt>
                  <c:pt idx="28">
                    <c:v>12:50</c:v>
                  </c:pt>
                  <c:pt idx="29">
                    <c:v>14:35</c:v>
                  </c:pt>
                  <c:pt idx="30">
                    <c:v>18:10</c:v>
                  </c:pt>
                  <c:pt idx="31">
                    <c:v>22:30</c:v>
                  </c:pt>
                  <c:pt idx="32">
                    <c:v>2:45</c:v>
                  </c:pt>
                  <c:pt idx="33">
                    <c:v>9:35</c:v>
                  </c:pt>
                  <c:pt idx="34">
                    <c:v>13:05</c:v>
                  </c:pt>
                  <c:pt idx="35">
                    <c:v>20:10</c:v>
                  </c:pt>
                  <c:pt idx="36">
                    <c:v>2:10</c:v>
                  </c:pt>
                  <c:pt idx="37">
                    <c:v>9:00</c:v>
                  </c:pt>
                  <c:pt idx="38">
                    <c:v>14:15</c:v>
                  </c:pt>
                  <c:pt idx="39">
                    <c:v>23:10</c:v>
                  </c:pt>
                  <c:pt idx="40">
                    <c:v>0:15</c:v>
                  </c:pt>
                  <c:pt idx="41">
                    <c:v>3:40</c:v>
                  </c:pt>
                  <c:pt idx="42">
                    <c:v>16:45</c:v>
                  </c:pt>
                  <c:pt idx="43">
                    <c:v>15:35</c:v>
                  </c:pt>
                  <c:pt idx="44">
                    <c:v>19:45</c:v>
                  </c:pt>
                  <c:pt idx="45">
                    <c:v>11:45</c:v>
                  </c:pt>
                  <c:pt idx="46">
                    <c:v>4:40</c:v>
                  </c:pt>
                  <c:pt idx="47">
                    <c:v>14:35</c:v>
                  </c:pt>
                  <c:pt idx="48">
                    <c:v>18:05</c:v>
                  </c:pt>
                  <c:pt idx="49">
                    <c:v>22:00</c:v>
                  </c:pt>
                  <c:pt idx="50">
                    <c:v>2:10</c:v>
                  </c:pt>
                  <c:pt idx="51">
                    <c:v>11:15</c:v>
                  </c:pt>
                  <c:pt idx="52">
                    <c:v>11:15</c:v>
                  </c:pt>
                  <c:pt idx="53">
                    <c:v>14:15</c:v>
                  </c:pt>
                  <c:pt idx="54">
                    <c:v>12:45</c:v>
                  </c:pt>
                  <c:pt idx="55">
                    <c:v>14:35</c:v>
                  </c:pt>
                  <c:pt idx="56">
                    <c:v>12:10</c:v>
                  </c:pt>
                  <c:pt idx="57">
                    <c:v>15:35</c:v>
                  </c:pt>
                  <c:pt idx="58">
                    <c:v>18:25</c:v>
                  </c:pt>
                  <c:pt idx="59">
                    <c:v>0:10</c:v>
                  </c:pt>
                  <c:pt idx="60">
                    <c:v>3:45</c:v>
                  </c:pt>
                  <c:pt idx="61">
                    <c:v>11:10</c:v>
                  </c:pt>
                  <c:pt idx="62">
                    <c:v>15:15</c:v>
                  </c:pt>
                  <c:pt idx="63">
                    <c:v>18:20</c:v>
                  </c:pt>
                  <c:pt idx="64">
                    <c:v>22:50</c:v>
                  </c:pt>
                  <c:pt idx="65">
                    <c:v>2:14</c:v>
                  </c:pt>
                  <c:pt idx="66">
                    <c:v>11:10</c:v>
                  </c:pt>
                  <c:pt idx="67">
                    <c:v>14:40</c:v>
                  </c:pt>
                  <c:pt idx="68">
                    <c:v>18:20</c:v>
                  </c:pt>
                  <c:pt idx="69">
                    <c:v>22:40</c:v>
                  </c:pt>
                  <c:pt idx="70">
                    <c:v>2:25</c:v>
                  </c:pt>
                  <c:pt idx="71">
                    <c:v>12:30</c:v>
                  </c:pt>
                  <c:pt idx="72">
                    <c:v>14:40</c:v>
                  </c:pt>
                  <c:pt idx="73">
                    <c:v>18:20</c:v>
                  </c:pt>
                  <c:pt idx="74">
                    <c:v>22:50</c:v>
                  </c:pt>
                  <c:pt idx="75">
                    <c:v>2:20</c:v>
                  </c:pt>
                  <c:pt idx="76">
                    <c:v>12:15</c:v>
                  </c:pt>
                  <c:pt idx="77">
                    <c:v>14:45</c:v>
                  </c:pt>
                  <c:pt idx="78">
                    <c:v>18:30</c:v>
                  </c:pt>
                  <c:pt idx="79">
                    <c:v>22:40</c:v>
                  </c:pt>
                  <c:pt idx="80">
                    <c:v>2:10</c:v>
                  </c:pt>
                  <c:pt idx="81">
                    <c:v>12:45</c:v>
                  </c:pt>
                  <c:pt idx="82">
                    <c:v>15:15</c:v>
                  </c:pt>
                  <c:pt idx="83">
                    <c:v>2:05</c:v>
                  </c:pt>
                  <c:pt idx="84">
                    <c:v>12:00</c:v>
                  </c:pt>
                  <c:pt idx="85">
                    <c:v>15:30</c:v>
                  </c:pt>
                  <c:pt idx="86">
                    <c:v>2:15</c:v>
                  </c:pt>
                  <c:pt idx="87">
                    <c:v>5:30</c:v>
                  </c:pt>
                  <c:pt idx="88">
                    <c:v>22:50</c:v>
                  </c:pt>
                  <c:pt idx="89">
                    <c:v>2:15</c:v>
                  </c:pt>
                  <c:pt idx="90">
                    <c:v>11:05</c:v>
                  </c:pt>
                  <c:pt idx="91">
                    <c:v>14:45</c:v>
                  </c:pt>
                  <c:pt idx="92">
                    <c:v>18:50</c:v>
                  </c:pt>
                  <c:pt idx="93">
                    <c:v>22:45</c:v>
                  </c:pt>
                  <c:pt idx="94">
                    <c:v>11:00</c:v>
                  </c:pt>
                  <c:pt idx="95">
                    <c:v>14:45</c:v>
                  </c:pt>
                  <c:pt idx="96">
                    <c:v>18:50</c:v>
                  </c:pt>
                  <c:pt idx="97">
                    <c:v>22:45</c:v>
                  </c:pt>
                  <c:pt idx="98">
                    <c:v>2:15</c:v>
                  </c:pt>
                  <c:pt idx="99">
                    <c:v>11:45</c:v>
                  </c:pt>
                  <c:pt idx="100">
                    <c:v>16:40</c:v>
                  </c:pt>
                  <c:pt idx="101">
                    <c:v>20:15</c:v>
                  </c:pt>
                  <c:pt idx="102">
                    <c:v>12:30</c:v>
                  </c:pt>
                  <c:pt idx="103">
                    <c:v>16:20</c:v>
                  </c:pt>
                  <c:pt idx="104">
                    <c:v>23:40</c:v>
                  </c:pt>
                  <c:pt idx="105">
                    <c:v>3:15</c:v>
                  </c:pt>
                  <c:pt idx="106">
                    <c:v>14:15</c:v>
                  </c:pt>
                  <c:pt idx="107">
                    <c:v>16:10</c:v>
                  </c:pt>
                  <c:pt idx="108">
                    <c:v>20:15</c:v>
                  </c:pt>
                  <c:pt idx="109">
                    <c:v>23:20</c:v>
                  </c:pt>
                  <c:pt idx="110">
                    <c:v>2:50</c:v>
                  </c:pt>
                  <c:pt idx="111">
                    <c:v>14:15</c:v>
                  </c:pt>
                  <c:pt idx="112">
                    <c:v>16:10</c:v>
                  </c:pt>
                  <c:pt idx="113">
                    <c:v>20:15</c:v>
                  </c:pt>
                  <c:pt idx="114">
                    <c:v>1:40</c:v>
                  </c:pt>
                  <c:pt idx="115">
                    <c:v>5:45</c:v>
                  </c:pt>
                  <c:pt idx="116">
                    <c:v>12:30</c:v>
                  </c:pt>
                  <c:pt idx="117">
                    <c:v>14:48</c:v>
                  </c:pt>
                  <c:pt idx="118">
                    <c:v>20:15</c:v>
                  </c:pt>
                  <c:pt idx="119">
                    <c:v>23:20</c:v>
                  </c:pt>
                  <c:pt idx="120">
                    <c:v>2:20</c:v>
                  </c:pt>
                  <c:pt idx="121">
                    <c:v>11:00</c:v>
                  </c:pt>
                  <c:pt idx="122">
                    <c:v>14:40</c:v>
                  </c:pt>
                  <c:pt idx="123">
                    <c:v>18:15</c:v>
                  </c:pt>
                  <c:pt idx="124">
                    <c:v>23:20</c:v>
                  </c:pt>
                  <c:pt idx="125">
                    <c:v>2:15</c:v>
                  </c:pt>
                  <c:pt idx="126">
                    <c:v>10:45</c:v>
                  </c:pt>
                  <c:pt idx="127">
                    <c:v>14:45</c:v>
                  </c:pt>
                  <c:pt idx="128">
                    <c:v>21:06</c:v>
                  </c:pt>
                  <c:pt idx="129">
                    <c:v>1:25</c:v>
                  </c:pt>
                  <c:pt idx="130">
                    <c:v>14:45</c:v>
                  </c:pt>
                  <c:pt idx="131">
                    <c:v>1:30</c:v>
                  </c:pt>
                  <c:pt idx="132">
                    <c:v>3:00</c:v>
                  </c:pt>
                  <c:pt idx="133">
                    <c:v>15:15</c:v>
                  </c:pt>
                  <c:pt idx="134">
                    <c:v>11:40</c:v>
                  </c:pt>
                  <c:pt idx="135">
                    <c:v>19:10</c:v>
                  </c:pt>
                  <c:pt idx="136">
                    <c:v>23:05</c:v>
                  </c:pt>
                  <c:pt idx="137">
                    <c:v>2:05</c:v>
                  </c:pt>
                  <c:pt idx="138">
                    <c:v>11:55</c:v>
                  </c:pt>
                  <c:pt idx="139">
                    <c:v>15:40</c:v>
                  </c:pt>
                  <c:pt idx="140">
                    <c:v>19:10</c:v>
                  </c:pt>
                  <c:pt idx="141">
                    <c:v>2:45</c:v>
                  </c:pt>
                  <c:pt idx="142">
                    <c:v>12:15</c:v>
                  </c:pt>
                  <c:pt idx="143">
                    <c:v>15:45</c:v>
                  </c:pt>
                  <c:pt idx="144">
                    <c:v>19:30</c:v>
                  </c:pt>
                  <c:pt idx="145">
                    <c:v>23:30</c:v>
                  </c:pt>
                  <c:pt idx="146">
                    <c:v>2:45</c:v>
                  </c:pt>
                  <c:pt idx="147">
                    <c:v>11:45</c:v>
                  </c:pt>
                  <c:pt idx="148">
                    <c:v>15:45</c:v>
                  </c:pt>
                  <c:pt idx="149">
                    <c:v>19:30</c:v>
                  </c:pt>
                  <c:pt idx="150">
                    <c:v>0:20</c:v>
                  </c:pt>
                  <c:pt idx="151">
                    <c:v>3:55</c:v>
                  </c:pt>
                  <c:pt idx="152">
                    <c:v>11:55</c:v>
                  </c:pt>
                  <c:pt idx="153">
                    <c:v>15:45</c:v>
                  </c:pt>
                  <c:pt idx="154">
                    <c:v>20:30</c:v>
                  </c:pt>
                  <c:pt idx="155">
                    <c:v>0:25</c:v>
                  </c:pt>
                  <c:pt idx="156">
                    <c:v>3:45</c:v>
                  </c:pt>
                  <c:pt idx="157">
                    <c:v>11:45</c:v>
                  </c:pt>
                  <c:pt idx="158">
                    <c:v>15:45</c:v>
                  </c:pt>
                  <c:pt idx="159">
                    <c:v>20:38</c:v>
                  </c:pt>
                  <c:pt idx="160">
                    <c:v>0:00</c:v>
                  </c:pt>
                  <c:pt idx="161">
                    <c:v>3:50</c:v>
                  </c:pt>
                  <c:pt idx="162">
                    <c:v>14:15</c:v>
                  </c:pt>
                  <c:pt idx="163">
                    <c:v>17:45</c:v>
                  </c:pt>
                  <c:pt idx="164">
                    <c:v>19:45</c:v>
                  </c:pt>
                  <c:pt idx="165">
                    <c:v>0:15</c:v>
                  </c:pt>
                  <c:pt idx="166">
                    <c:v>11:45</c:v>
                  </c:pt>
                  <c:pt idx="167">
                    <c:v>15:45</c:v>
                  </c:pt>
                  <c:pt idx="168">
                    <c:v>21:15</c:v>
                  </c:pt>
                  <c:pt idx="169">
                    <c:v>1:18</c:v>
                  </c:pt>
                  <c:pt idx="170">
                    <c:v>4:50</c:v>
                  </c:pt>
                  <c:pt idx="171">
                    <c:v>11:45</c:v>
                  </c:pt>
                  <c:pt idx="172">
                    <c:v>15:45</c:v>
                  </c:pt>
                  <c:pt idx="173">
                    <c:v>21:15</c:v>
                  </c:pt>
                  <c:pt idx="174">
                    <c:v>0:15</c:v>
                  </c:pt>
                  <c:pt idx="175">
                    <c:v>3:50</c:v>
                  </c:pt>
                  <c:pt idx="176">
                    <c:v>11:40</c:v>
                  </c:pt>
                  <c:pt idx="177">
                    <c:v>15:40</c:v>
                  </c:pt>
                  <c:pt idx="178">
                    <c:v>21:15</c:v>
                  </c:pt>
                  <c:pt idx="179">
                    <c:v>0:15</c:v>
                  </c:pt>
                  <c:pt idx="180">
                    <c:v>3:40</c:v>
                  </c:pt>
                  <c:pt idx="181">
                    <c:v>11:35</c:v>
                  </c:pt>
                  <c:pt idx="182">
                    <c:v>15:45</c:v>
                  </c:pt>
                  <c:pt idx="183">
                    <c:v>21:00</c:v>
                  </c:pt>
                  <c:pt idx="184">
                    <c:v>0:15</c:v>
                  </c:pt>
                  <c:pt idx="185">
                    <c:v>3:50</c:v>
                  </c:pt>
                  <c:pt idx="186">
                    <c:v>11:40</c:v>
                  </c:pt>
                  <c:pt idx="187">
                    <c:v>16:00</c:v>
                  </c:pt>
                  <c:pt idx="188">
                    <c:v>21:00</c:v>
                  </c:pt>
                  <c:pt idx="189">
                    <c:v>0:15</c:v>
                  </c:pt>
                  <c:pt idx="190">
                    <c:v>3:40</c:v>
                  </c:pt>
                  <c:pt idx="191">
                    <c:v>11:40</c:v>
                  </c:pt>
                  <c:pt idx="192">
                    <c:v>15:40</c:v>
                  </c:pt>
                  <c:pt idx="193">
                    <c:v>20:44</c:v>
                  </c:pt>
                  <c:pt idx="194">
                    <c:v>0:15</c:v>
                  </c:pt>
                  <c:pt idx="195">
                    <c:v>3:45</c:v>
                  </c:pt>
                  <c:pt idx="196">
                    <c:v>11:30</c:v>
                  </c:pt>
                  <c:pt idx="197">
                    <c:v>15:55</c:v>
                  </c:pt>
                  <c:pt idx="198">
                    <c:v>0:15</c:v>
                  </c:pt>
                  <c:pt idx="199">
                    <c:v>3:45</c:v>
                  </c:pt>
                  <c:pt idx="200">
                    <c:v>11:30</c:v>
                  </c:pt>
                  <c:pt idx="201">
                    <c:v>15:45</c:v>
                  </c:pt>
                  <c:pt idx="202">
                    <c:v>0:20</c:v>
                  </c:pt>
                  <c:pt idx="203">
                    <c:v>11:30</c:v>
                  </c:pt>
                  <c:pt idx="204">
                    <c:v>15:42</c:v>
                  </c:pt>
                  <c:pt idx="205">
                    <c:v>20:50</c:v>
                  </c:pt>
                  <c:pt idx="206">
                    <c:v>0:20</c:v>
                  </c:pt>
                  <c:pt idx="207">
                    <c:v>15:45</c:v>
                  </c:pt>
                  <c:pt idx="208">
                    <c:v>0:20</c:v>
                  </c:pt>
                  <c:pt idx="209">
                    <c:v>11:30</c:v>
                  </c:pt>
                  <c:pt idx="210">
                    <c:v>15:45</c:v>
                  </c:pt>
                  <c:pt idx="211">
                    <c:v>19:15</c:v>
                  </c:pt>
                  <c:pt idx="212">
                    <c:v>0:20</c:v>
                  </c:pt>
                  <c:pt idx="213">
                    <c:v>3:43</c:v>
                  </c:pt>
                  <c:pt idx="214">
                    <c:v>10:30</c:v>
                  </c:pt>
                  <c:pt idx="215">
                    <c:v>14:45</c:v>
                  </c:pt>
                  <c:pt idx="216">
                    <c:v>18:15</c:v>
                  </c:pt>
                  <c:pt idx="217">
                    <c:v>23:15</c:v>
                  </c:pt>
                  <c:pt idx="218">
                    <c:v>2:43</c:v>
                  </c:pt>
                  <c:pt idx="219">
                    <c:v>10:45</c:v>
                  </c:pt>
                  <c:pt idx="220">
                    <c:v>14:45</c:v>
                  </c:pt>
                  <c:pt idx="221">
                    <c:v>18:15</c:v>
                  </c:pt>
                  <c:pt idx="222">
                    <c:v>22:50</c:v>
                  </c:pt>
                  <c:pt idx="223">
                    <c:v>2:55</c:v>
                  </c:pt>
                  <c:pt idx="224">
                    <c:v>10:30</c:v>
                  </c:pt>
                  <c:pt idx="225">
                    <c:v>14:40</c:v>
                  </c:pt>
                  <c:pt idx="226">
                    <c:v>18:15</c:v>
                  </c:pt>
                  <c:pt idx="227">
                    <c:v>23:20</c:v>
                  </c:pt>
                  <c:pt idx="228">
                    <c:v>2:50</c:v>
                  </c:pt>
                  <c:pt idx="229">
                    <c:v>9:40</c:v>
                  </c:pt>
                  <c:pt idx="230">
                    <c:v>16:05</c:v>
                  </c:pt>
                  <c:pt idx="231">
                    <c:v>18:15</c:v>
                  </c:pt>
                  <c:pt idx="232">
                    <c:v>23:20</c:v>
                  </c:pt>
                  <c:pt idx="233">
                    <c:v>2:50</c:v>
                  </c:pt>
                  <c:pt idx="234">
                    <c:v>9:10</c:v>
                  </c:pt>
                  <c:pt idx="235">
                    <c:v>13:45</c:v>
                  </c:pt>
                  <c:pt idx="236">
                    <c:v>17:45</c:v>
                  </c:pt>
                  <c:pt idx="237">
                    <c:v>23:29</c:v>
                  </c:pt>
                  <c:pt idx="238">
                    <c:v>2:45</c:v>
                  </c:pt>
                  <c:pt idx="239">
                    <c:v>11:45</c:v>
                  </c:pt>
                  <c:pt idx="240">
                    <c:v>14:45</c:v>
                  </c:pt>
                  <c:pt idx="241">
                    <c:v>18:15</c:v>
                  </c:pt>
                  <c:pt idx="242">
                    <c:v>23:28</c:v>
                  </c:pt>
                  <c:pt idx="243">
                    <c:v>2:45</c:v>
                  </c:pt>
                  <c:pt idx="244">
                    <c:v>11:45</c:v>
                  </c:pt>
                  <c:pt idx="245">
                    <c:v>14:45</c:v>
                  </c:pt>
                  <c:pt idx="246">
                    <c:v>18:15</c:v>
                  </c:pt>
                  <c:pt idx="247">
                    <c:v>23:28</c:v>
                  </c:pt>
                  <c:pt idx="248">
                    <c:v>2:48</c:v>
                  </c:pt>
                  <c:pt idx="249">
                    <c:v>14:30</c:v>
                  </c:pt>
                  <c:pt idx="250">
                    <c:v>18:15</c:v>
                  </c:pt>
                  <c:pt idx="251">
                    <c:v>2:35</c:v>
                  </c:pt>
                  <c:pt idx="252">
                    <c:v>15:30</c:v>
                  </c:pt>
                  <c:pt idx="253">
                    <c:v>12:30</c:v>
                  </c:pt>
                  <c:pt idx="254">
                    <c:v>16:20</c:v>
                  </c:pt>
                  <c:pt idx="255">
                    <c:v>19:45</c:v>
                  </c:pt>
                  <c:pt idx="256">
                    <c:v>23:45</c:v>
                  </c:pt>
                  <c:pt idx="257">
                    <c:v>3:20</c:v>
                  </c:pt>
                  <c:pt idx="258">
                    <c:v>11:40</c:v>
                  </c:pt>
                  <c:pt idx="259">
                    <c:v>15:25</c:v>
                  </c:pt>
                  <c:pt idx="260">
                    <c:v>20:45</c:v>
                  </c:pt>
                  <c:pt idx="261">
                    <c:v>0:10</c:v>
                  </c:pt>
                  <c:pt idx="262">
                    <c:v>5:00</c:v>
                  </c:pt>
                  <c:pt idx="263">
                    <c:v>15:00</c:v>
                  </c:pt>
                  <c:pt idx="264">
                    <c:v>18:20</c:v>
                  </c:pt>
                  <c:pt idx="265">
                    <c:v>23:15</c:v>
                  </c:pt>
                  <c:pt idx="266">
                    <c:v>2:50</c:v>
                  </c:pt>
                  <c:pt idx="267">
                    <c:v>14:40</c:v>
                  </c:pt>
                  <c:pt idx="268">
                    <c:v>18:30</c:v>
                  </c:pt>
                  <c:pt idx="269">
                    <c:v>23:50</c:v>
                  </c:pt>
                  <c:pt idx="270">
                    <c:v>2:45</c:v>
                  </c:pt>
                  <c:pt idx="271">
                    <c:v>14:40</c:v>
                  </c:pt>
                  <c:pt idx="272">
                    <c:v>18:30</c:v>
                  </c:pt>
                  <c:pt idx="273">
                    <c:v>23:20</c:v>
                  </c:pt>
                  <c:pt idx="274">
                    <c:v>2:45</c:v>
                  </c:pt>
                  <c:pt idx="275">
                    <c:v>15:00</c:v>
                  </c:pt>
                  <c:pt idx="276">
                    <c:v>18:30</c:v>
                  </c:pt>
                  <c:pt idx="277">
                    <c:v>21:45</c:v>
                  </c:pt>
                  <c:pt idx="278">
                    <c:v>1:20</c:v>
                  </c:pt>
                  <c:pt idx="279">
                    <c:v>3:45</c:v>
                  </c:pt>
                  <c:pt idx="280">
                    <c:v>16:30</c:v>
                  </c:pt>
                  <c:pt idx="281">
                    <c:v>20:15</c:v>
                  </c:pt>
                  <c:pt idx="282">
                    <c:v>23:25</c:v>
                  </c:pt>
                  <c:pt idx="283">
                    <c:v>2:40</c:v>
                  </c:pt>
                  <c:pt idx="284">
                    <c:v>16:30</c:v>
                  </c:pt>
                  <c:pt idx="285">
                    <c:v>20:15</c:v>
                  </c:pt>
                  <c:pt idx="286">
                    <c:v>1:20</c:v>
                  </c:pt>
                  <c:pt idx="287">
                    <c:v>4:50</c:v>
                  </c:pt>
                  <c:pt idx="288">
                    <c:v>16:50</c:v>
                  </c:pt>
                  <c:pt idx="289">
                    <c:v>20:10</c:v>
                  </c:pt>
                  <c:pt idx="290">
                    <c:v>1:25</c:v>
                  </c:pt>
                  <c:pt idx="291">
                    <c:v>4:50</c:v>
                  </c:pt>
                  <c:pt idx="292">
                    <c:v>12:45</c:v>
                  </c:pt>
                  <c:pt idx="293">
                    <c:v>16:03</c:v>
                  </c:pt>
                  <c:pt idx="294">
                    <c:v>21:10</c:v>
                  </c:pt>
                  <c:pt idx="295">
                    <c:v>0:45</c:v>
                  </c:pt>
                  <c:pt idx="296">
                    <c:v>4:50</c:v>
                  </c:pt>
                  <c:pt idx="297">
                    <c:v>23:35</c:v>
                  </c:pt>
                  <c:pt idx="298">
                    <c:v>15:10</c:v>
                  </c:pt>
                  <c:pt idx="299">
                    <c:v>18:45</c:v>
                  </c:pt>
                  <c:pt idx="300">
                    <c:v>0:50</c:v>
                  </c:pt>
                  <c:pt idx="301">
                    <c:v>3:25</c:v>
                  </c:pt>
                  <c:pt idx="302">
                    <c:v>12:35</c:v>
                  </c:pt>
                  <c:pt idx="303">
                    <c:v>15:30</c:v>
                  </c:pt>
                  <c:pt idx="304">
                    <c:v>18:55</c:v>
                  </c:pt>
                  <c:pt idx="305">
                    <c:v>23:45</c:v>
                  </c:pt>
                  <c:pt idx="306">
                    <c:v>3:00</c:v>
                  </c:pt>
                  <c:pt idx="307">
                    <c:v>11:45</c:v>
                  </c:pt>
                  <c:pt idx="308">
                    <c:v>16:05</c:v>
                  </c:pt>
                  <c:pt idx="309">
                    <c:v>18:50</c:v>
                  </c:pt>
                  <c:pt idx="310">
                    <c:v>23:50</c:v>
                  </c:pt>
                  <c:pt idx="311">
                    <c:v>3:15</c:v>
                  </c:pt>
                  <c:pt idx="312">
                    <c:v>11:45</c:v>
                  </c:pt>
                  <c:pt idx="313">
                    <c:v>16:05</c:v>
                  </c:pt>
                  <c:pt idx="314">
                    <c:v>18:50</c:v>
                  </c:pt>
                  <c:pt idx="315">
                    <c:v>23:40</c:v>
                  </c:pt>
                  <c:pt idx="316">
                    <c:v>3:15</c:v>
                  </c:pt>
                  <c:pt idx="317">
                    <c:v>11:45</c:v>
                  </c:pt>
                  <c:pt idx="318">
                    <c:v>18:58</c:v>
                  </c:pt>
                  <c:pt idx="319">
                    <c:v>23:50</c:v>
                  </c:pt>
                  <c:pt idx="320">
                    <c:v>3:15</c:v>
                  </c:pt>
                  <c:pt idx="321">
                    <c:v>10:40</c:v>
                  </c:pt>
                  <c:pt idx="322">
                    <c:v>15:15</c:v>
                  </c:pt>
                  <c:pt idx="323">
                    <c:v>18:35</c:v>
                  </c:pt>
                  <c:pt idx="324">
                    <c:v>23:55</c:v>
                  </c:pt>
                  <c:pt idx="325">
                    <c:v>3:10</c:v>
                  </c:pt>
                  <c:pt idx="326">
                    <c:v>11:45</c:v>
                  </c:pt>
                  <c:pt idx="327">
                    <c:v>15:15</c:v>
                  </c:pt>
                  <c:pt idx="328">
                    <c:v>18:35</c:v>
                  </c:pt>
                  <c:pt idx="329">
                    <c:v>23:58</c:v>
                  </c:pt>
                  <c:pt idx="330">
                    <c:v>3:10</c:v>
                  </c:pt>
                  <c:pt idx="331">
                    <c:v>11:45</c:v>
                  </c:pt>
                  <c:pt idx="332">
                    <c:v>15:35</c:v>
                  </c:pt>
                  <c:pt idx="333">
                    <c:v>20:10</c:v>
                  </c:pt>
                  <c:pt idx="334">
                    <c:v>1:15</c:v>
                  </c:pt>
                  <c:pt idx="335">
                    <c:v>4:40</c:v>
                  </c:pt>
                  <c:pt idx="336">
                    <c:v>11:45</c:v>
                  </c:pt>
                  <c:pt idx="337">
                    <c:v>15:10</c:v>
                  </c:pt>
                  <c:pt idx="338">
                    <c:v>18:35</c:v>
                  </c:pt>
                  <c:pt idx="339">
                    <c:v>23:58</c:v>
                  </c:pt>
                  <c:pt idx="340">
                    <c:v>3:10</c:v>
                  </c:pt>
                  <c:pt idx="341">
                    <c:v>10:15</c:v>
                  </c:pt>
                  <c:pt idx="342">
                    <c:v>14:45</c:v>
                  </c:pt>
                  <c:pt idx="343">
                    <c:v>20:10</c:v>
                  </c:pt>
                  <c:pt idx="344">
                    <c:v>23:40</c:v>
                  </c:pt>
                  <c:pt idx="345">
                    <c:v>3:20</c:v>
                  </c:pt>
                  <c:pt idx="346">
                    <c:v>10:15</c:v>
                  </c:pt>
                  <c:pt idx="347">
                    <c:v>14:45</c:v>
                  </c:pt>
                  <c:pt idx="348">
                    <c:v>20:10</c:v>
                  </c:pt>
                  <c:pt idx="349">
                    <c:v>23:40</c:v>
                  </c:pt>
                  <c:pt idx="350">
                    <c:v>2:40</c:v>
                  </c:pt>
                  <c:pt idx="351">
                    <c:v>10:15</c:v>
                  </c:pt>
                  <c:pt idx="352">
                    <c:v>14:45</c:v>
                  </c:pt>
                  <c:pt idx="353">
                    <c:v>18:10</c:v>
                  </c:pt>
                  <c:pt idx="354">
                    <c:v>23:00</c:v>
                  </c:pt>
                  <c:pt idx="355">
                    <c:v>2:45</c:v>
                  </c:pt>
                  <c:pt idx="356">
                    <c:v>10:45</c:v>
                  </c:pt>
                  <c:pt idx="357">
                    <c:v>14:45</c:v>
                  </c:pt>
                  <c:pt idx="358">
                    <c:v>18:25</c:v>
                  </c:pt>
                  <c:pt idx="359">
                    <c:v>23:00</c:v>
                  </c:pt>
                  <c:pt idx="360">
                    <c:v>2:40</c:v>
                  </c:pt>
                  <c:pt idx="361">
                    <c:v>12:25</c:v>
                  </c:pt>
                  <c:pt idx="362">
                    <c:v>16:25</c:v>
                  </c:pt>
                  <c:pt idx="363">
                    <c:v>20:15</c:v>
                  </c:pt>
                  <c:pt idx="364">
                    <c:v>23:15</c:v>
                  </c:pt>
                  <c:pt idx="365">
                    <c:v>4:10</c:v>
                  </c:pt>
                  <c:pt idx="366">
                    <c:v>11:20</c:v>
                  </c:pt>
                  <c:pt idx="367">
                    <c:v>17:15</c:v>
                  </c:pt>
                  <c:pt idx="368">
                    <c:v>20:45</c:v>
                  </c:pt>
                  <c:pt idx="369">
                    <c:v>0:10</c:v>
                  </c:pt>
                  <c:pt idx="370">
                    <c:v>5:10</c:v>
                  </c:pt>
                  <c:pt idx="371">
                    <c:v>11:50</c:v>
                  </c:pt>
                  <c:pt idx="372">
                    <c:v>15:15</c:v>
                  </c:pt>
                  <c:pt idx="373">
                    <c:v>18:15</c:v>
                  </c:pt>
                  <c:pt idx="374">
                    <c:v>23:15</c:v>
                  </c:pt>
                  <c:pt idx="375">
                    <c:v>2:50</c:v>
                  </c:pt>
                  <c:pt idx="376">
                    <c:v>13:30</c:v>
                  </c:pt>
                  <c:pt idx="377">
                    <c:v>18:10</c:v>
                  </c:pt>
                  <c:pt idx="378">
                    <c:v>20:30</c:v>
                  </c:pt>
                  <c:pt idx="379">
                    <c:v>0:15</c:v>
                  </c:pt>
                  <c:pt idx="380">
                    <c:v>3:40</c:v>
                  </c:pt>
                  <c:pt idx="381">
                    <c:v>11:25</c:v>
                  </c:pt>
                  <c:pt idx="382">
                    <c:v>15:15</c:v>
                  </c:pt>
                  <c:pt idx="383">
                    <c:v>20:45</c:v>
                  </c:pt>
                  <c:pt idx="384">
                    <c:v>0:10</c:v>
                  </c:pt>
                  <c:pt idx="385">
                    <c:v>3:45</c:v>
                  </c:pt>
                  <c:pt idx="386">
                    <c:v>11:25</c:v>
                  </c:pt>
                  <c:pt idx="387">
                    <c:v>15:20</c:v>
                  </c:pt>
                  <c:pt idx="388">
                    <c:v>18:50</c:v>
                  </c:pt>
                  <c:pt idx="389">
                    <c:v>0:20</c:v>
                  </c:pt>
                  <c:pt idx="390">
                    <c:v>3:50</c:v>
                  </c:pt>
                  <c:pt idx="391">
                    <c:v>11:15</c:v>
                  </c:pt>
                  <c:pt idx="392">
                    <c:v>15:28</c:v>
                  </c:pt>
                  <c:pt idx="393">
                    <c:v>20:45</c:v>
                  </c:pt>
                  <c:pt idx="394">
                    <c:v>0:25</c:v>
                  </c:pt>
                  <c:pt idx="395">
                    <c:v>3:45</c:v>
                  </c:pt>
                  <c:pt idx="396">
                    <c:v>11:30</c:v>
                  </c:pt>
                  <c:pt idx="397">
                    <c:v>15:28</c:v>
                  </c:pt>
                  <c:pt idx="398">
                    <c:v>20:40</c:v>
                  </c:pt>
                  <c:pt idx="399">
                    <c:v>0:15</c:v>
                  </c:pt>
                  <c:pt idx="400">
                    <c:v>3:45</c:v>
                  </c:pt>
                  <c:pt idx="401">
                    <c:v>11:20</c:v>
                  </c:pt>
                  <c:pt idx="402">
                    <c:v>15:10</c:v>
                  </c:pt>
                  <c:pt idx="403">
                    <c:v>19:35</c:v>
                  </c:pt>
                  <c:pt idx="404">
                    <c:v>0:15</c:v>
                  </c:pt>
                  <c:pt idx="405">
                    <c:v>3:40</c:v>
                  </c:pt>
                  <c:pt idx="406">
                    <c:v>11:15</c:v>
                  </c:pt>
                  <c:pt idx="407">
                    <c:v>15:40</c:v>
                  </c:pt>
                  <c:pt idx="408">
                    <c:v>19:15</c:v>
                  </c:pt>
                  <c:pt idx="409">
                    <c:v>23:45</c:v>
                  </c:pt>
                  <c:pt idx="410">
                    <c:v>3:15</c:v>
                  </c:pt>
                  <c:pt idx="411">
                    <c:v>11:15</c:v>
                  </c:pt>
                  <c:pt idx="412">
                    <c:v>15:42</c:v>
                  </c:pt>
                  <c:pt idx="413">
                    <c:v>21:30</c:v>
                  </c:pt>
                  <c:pt idx="414">
                    <c:v>0:50</c:v>
                  </c:pt>
                  <c:pt idx="415">
                    <c:v>4:15</c:v>
                  </c:pt>
                  <c:pt idx="416">
                    <c:v>11:15</c:v>
                  </c:pt>
                  <c:pt idx="417">
                    <c:v>15:35</c:v>
                  </c:pt>
                  <c:pt idx="418">
                    <c:v>21:47</c:v>
                  </c:pt>
                  <c:pt idx="419">
                    <c:v>2:15</c:v>
                  </c:pt>
                  <c:pt idx="420">
                    <c:v>11:20</c:v>
                  </c:pt>
                  <c:pt idx="421">
                    <c:v>15:45</c:v>
                  </c:pt>
                  <c:pt idx="422">
                    <c:v>21:25</c:v>
                  </c:pt>
                  <c:pt idx="423">
                    <c:v>0:45</c:v>
                  </c:pt>
                  <c:pt idx="424">
                    <c:v>4:15</c:v>
                  </c:pt>
                  <c:pt idx="425">
                    <c:v>11:45</c:v>
                  </c:pt>
                  <c:pt idx="426">
                    <c:v>15:45</c:v>
                  </c:pt>
                  <c:pt idx="427">
                    <c:v>21:10</c:v>
                  </c:pt>
                  <c:pt idx="428">
                    <c:v>0:50</c:v>
                  </c:pt>
                  <c:pt idx="429">
                    <c:v>4:10</c:v>
                  </c:pt>
                  <c:pt idx="430">
                    <c:v>11:40</c:v>
                  </c:pt>
                  <c:pt idx="431">
                    <c:v>16:10</c:v>
                  </c:pt>
                  <c:pt idx="432">
                    <c:v>21:15</c:v>
                  </c:pt>
                  <c:pt idx="433">
                    <c:v>0:50</c:v>
                  </c:pt>
                  <c:pt idx="434">
                    <c:v>4:20</c:v>
                  </c:pt>
                  <c:pt idx="435">
                    <c:v>10:15</c:v>
                  </c:pt>
                  <c:pt idx="436">
                    <c:v>14:45</c:v>
                  </c:pt>
                  <c:pt idx="437">
                    <c:v>18:15</c:v>
                  </c:pt>
                  <c:pt idx="438">
                    <c:v>23:10</c:v>
                  </c:pt>
                  <c:pt idx="439">
                    <c:v>2:50</c:v>
                  </c:pt>
                  <c:pt idx="440">
                    <c:v>10:45</c:v>
                  </c:pt>
                  <c:pt idx="441">
                    <c:v>14:45</c:v>
                  </c:pt>
                  <c:pt idx="442">
                    <c:v>18:15</c:v>
                  </c:pt>
                  <c:pt idx="443">
                    <c:v>0:50</c:v>
                  </c:pt>
                  <c:pt idx="444">
                    <c:v>2:45</c:v>
                  </c:pt>
                  <c:pt idx="445">
                    <c:v>10:35</c:v>
                  </c:pt>
                  <c:pt idx="446">
                    <c:v>14:45</c:v>
                  </c:pt>
                  <c:pt idx="447">
                    <c:v>18:15</c:v>
                  </c:pt>
                  <c:pt idx="448">
                    <c:v>23:00</c:v>
                  </c:pt>
                  <c:pt idx="449">
                    <c:v>2:40</c:v>
                  </c:pt>
                  <c:pt idx="450">
                    <c:v>11:00</c:v>
                  </c:pt>
                  <c:pt idx="451">
                    <c:v>14:45</c:v>
                  </c:pt>
                  <c:pt idx="452">
                    <c:v>18:15</c:v>
                  </c:pt>
                  <c:pt idx="453">
                    <c:v>23:15</c:v>
                  </c:pt>
                  <c:pt idx="454">
                    <c:v>2:45</c:v>
                  </c:pt>
                  <c:pt idx="455">
                    <c:v>11:20</c:v>
                  </c:pt>
                  <c:pt idx="456">
                    <c:v>14:35</c:v>
                  </c:pt>
                  <c:pt idx="457">
                    <c:v>18:15</c:v>
                  </c:pt>
                  <c:pt idx="458">
                    <c:v>23:15</c:v>
                  </c:pt>
                  <c:pt idx="459">
                    <c:v>2:45</c:v>
                  </c:pt>
                  <c:pt idx="460">
                    <c:v>12:35</c:v>
                  </c:pt>
                  <c:pt idx="461">
                    <c:v>15:35</c:v>
                  </c:pt>
                  <c:pt idx="462">
                    <c:v>18:40</c:v>
                  </c:pt>
                  <c:pt idx="463">
                    <c:v>23:10</c:v>
                  </c:pt>
                  <c:pt idx="464">
                    <c:v>2:45</c:v>
                  </c:pt>
                  <c:pt idx="465">
                    <c:v>14:45</c:v>
                  </c:pt>
                  <c:pt idx="466">
                    <c:v>18:30</c:v>
                  </c:pt>
                  <c:pt idx="467">
                    <c:v>21:45</c:v>
                  </c:pt>
                  <c:pt idx="468">
                    <c:v>1:15</c:v>
                  </c:pt>
                  <c:pt idx="469">
                    <c:v>4:55</c:v>
                  </c:pt>
                  <c:pt idx="470">
                    <c:v>14:30</c:v>
                  </c:pt>
                  <c:pt idx="471">
                    <c:v>17:00</c:v>
                  </c:pt>
                  <c:pt idx="472">
                    <c:v>20:45</c:v>
                  </c:pt>
                  <c:pt idx="473">
                    <c:v>23:30</c:v>
                  </c:pt>
                  <c:pt idx="474">
                    <c:v>3:15</c:v>
                  </c:pt>
                  <c:pt idx="475">
                    <c:v>12:45</c:v>
                  </c:pt>
                  <c:pt idx="476">
                    <c:v>16:45</c:v>
                  </c:pt>
                  <c:pt idx="477">
                    <c:v>22:45</c:v>
                  </c:pt>
                  <c:pt idx="478">
                    <c:v>2:10</c:v>
                  </c:pt>
                  <c:pt idx="479">
                    <c:v>5:45</c:v>
                  </c:pt>
                  <c:pt idx="480">
                    <c:v>13:40</c:v>
                  </c:pt>
                  <c:pt idx="481">
                    <c:v>17:20</c:v>
                  </c:pt>
                  <c:pt idx="482">
                    <c:v>21:50</c:v>
                  </c:pt>
                  <c:pt idx="483">
                    <c:v>1:10</c:v>
                  </c:pt>
                </c:lvl>
                <c:lvl>
                  <c:pt idx="0">
                    <c:v>1-Jan-16</c:v>
                  </c:pt>
                  <c:pt idx="1">
                    <c:v>1-Jan-16</c:v>
                  </c:pt>
                  <c:pt idx="2">
                    <c:v>1-Jan-16</c:v>
                  </c:pt>
                  <c:pt idx="3">
                    <c:v>1-Jan-16</c:v>
                  </c:pt>
                  <c:pt idx="4">
                    <c:v>1-Jan-16</c:v>
                  </c:pt>
                  <c:pt idx="5">
                    <c:v>2-Jan-16</c:v>
                  </c:pt>
                  <c:pt idx="6">
                    <c:v>2-Jan-16</c:v>
                  </c:pt>
                  <c:pt idx="7">
                    <c:v>2-Jan-16</c:v>
                  </c:pt>
                  <c:pt idx="8">
                    <c:v>2-Jan-16</c:v>
                  </c:pt>
                  <c:pt idx="9">
                    <c:v>2-Jan-16</c:v>
                  </c:pt>
                  <c:pt idx="10">
                    <c:v>3-Jan-16</c:v>
                  </c:pt>
                  <c:pt idx="11">
                    <c:v>3-Jan-16</c:v>
                  </c:pt>
                  <c:pt idx="12">
                    <c:v>3-Jan-16</c:v>
                  </c:pt>
                  <c:pt idx="13">
                    <c:v>3-Jan-16</c:v>
                  </c:pt>
                  <c:pt idx="14">
                    <c:v>3-Jan-16</c:v>
                  </c:pt>
                  <c:pt idx="15">
                    <c:v>4-Jan-16</c:v>
                  </c:pt>
                  <c:pt idx="16">
                    <c:v>4-Jan-16</c:v>
                  </c:pt>
                  <c:pt idx="17">
                    <c:v>4-Jan-16</c:v>
                  </c:pt>
                  <c:pt idx="18">
                    <c:v>4-Jan-16</c:v>
                  </c:pt>
                  <c:pt idx="19">
                    <c:v>4-Jan-16</c:v>
                  </c:pt>
                  <c:pt idx="20">
                    <c:v>4-Jan-16</c:v>
                  </c:pt>
                  <c:pt idx="21">
                    <c:v>5-Jan-16</c:v>
                  </c:pt>
                  <c:pt idx="22">
                    <c:v>5-Jan-16</c:v>
                  </c:pt>
                  <c:pt idx="23">
                    <c:v>5-Jan-16</c:v>
                  </c:pt>
                  <c:pt idx="24">
                    <c:v>5-Jan-16</c:v>
                  </c:pt>
                  <c:pt idx="25">
                    <c:v>5-Jan-16</c:v>
                  </c:pt>
                  <c:pt idx="26">
                    <c:v>6-Jan-16</c:v>
                  </c:pt>
                  <c:pt idx="27">
                    <c:v>6-Jan-16</c:v>
                  </c:pt>
                  <c:pt idx="28">
                    <c:v>6-Jan-16</c:v>
                  </c:pt>
                  <c:pt idx="29">
                    <c:v>6-Jan-16</c:v>
                  </c:pt>
                  <c:pt idx="30">
                    <c:v>6-Jan-16</c:v>
                  </c:pt>
                  <c:pt idx="31">
                    <c:v>6-Jan-16</c:v>
                  </c:pt>
                  <c:pt idx="32">
                    <c:v>7-Jan-16</c:v>
                  </c:pt>
                  <c:pt idx="33">
                    <c:v>7-Jan-16</c:v>
                  </c:pt>
                  <c:pt idx="34">
                    <c:v>7-Jan-16</c:v>
                  </c:pt>
                  <c:pt idx="35">
                    <c:v>7-Jan-16</c:v>
                  </c:pt>
                  <c:pt idx="36">
                    <c:v>8-Jan-16</c:v>
                  </c:pt>
                  <c:pt idx="37">
                    <c:v>8-Jan-16</c:v>
                  </c:pt>
                  <c:pt idx="38">
                    <c:v>8-Jan-16</c:v>
                  </c:pt>
                  <c:pt idx="39">
                    <c:v>8-Jan-16</c:v>
                  </c:pt>
                  <c:pt idx="40">
                    <c:v>9-Jan-16</c:v>
                  </c:pt>
                  <c:pt idx="41">
                    <c:v>9-Jan-16</c:v>
                  </c:pt>
                  <c:pt idx="42">
                    <c:v>9-Jan-16</c:v>
                  </c:pt>
                  <c:pt idx="43">
                    <c:v>10-Jan-16</c:v>
                  </c:pt>
                  <c:pt idx="44">
                    <c:v>10-Jan-16</c:v>
                  </c:pt>
                  <c:pt idx="45">
                    <c:v>10-Jan-16</c:v>
                  </c:pt>
                  <c:pt idx="46">
                    <c:v>11-Jan-16</c:v>
                  </c:pt>
                  <c:pt idx="47">
                    <c:v>11-Jan-16</c:v>
                  </c:pt>
                  <c:pt idx="48">
                    <c:v>11-Jan-16</c:v>
                  </c:pt>
                  <c:pt idx="49">
                    <c:v>11-Jan-16</c:v>
                  </c:pt>
                  <c:pt idx="50">
                    <c:v>12-Jan-16</c:v>
                  </c:pt>
                  <c:pt idx="51">
                    <c:v>13-Jan-16</c:v>
                  </c:pt>
                  <c:pt idx="52">
                    <c:v>14-Jan-16</c:v>
                  </c:pt>
                  <c:pt idx="53">
                    <c:v>15-Jan-16</c:v>
                  </c:pt>
                  <c:pt idx="54">
                    <c:v>16-Jan-16</c:v>
                  </c:pt>
                  <c:pt idx="55">
                    <c:v>16-Jan-16</c:v>
                  </c:pt>
                  <c:pt idx="56">
                    <c:v>17-Jan-16</c:v>
                  </c:pt>
                  <c:pt idx="57">
                    <c:v>17-Jan-16</c:v>
                  </c:pt>
                  <c:pt idx="58">
                    <c:v>17-Jan-16</c:v>
                  </c:pt>
                  <c:pt idx="59">
                    <c:v>18-Jan-16</c:v>
                  </c:pt>
                  <c:pt idx="60">
                    <c:v>18-Jan-16</c:v>
                  </c:pt>
                  <c:pt idx="61">
                    <c:v>18-Jan-16</c:v>
                  </c:pt>
                  <c:pt idx="62">
                    <c:v>18-Jan-16</c:v>
                  </c:pt>
                  <c:pt idx="63">
                    <c:v>18-Jan-16</c:v>
                  </c:pt>
                  <c:pt idx="64">
                    <c:v>18-Jan-16</c:v>
                  </c:pt>
                  <c:pt idx="65">
                    <c:v>19-Jan-16</c:v>
                  </c:pt>
                  <c:pt idx="66">
                    <c:v>19-Jan-16</c:v>
                  </c:pt>
                  <c:pt idx="67">
                    <c:v>19-Jan-16</c:v>
                  </c:pt>
                  <c:pt idx="68">
                    <c:v>19-Jan-16</c:v>
                  </c:pt>
                  <c:pt idx="69">
                    <c:v>19-Jan-16</c:v>
                  </c:pt>
                  <c:pt idx="70">
                    <c:v>20-Jan-16</c:v>
                  </c:pt>
                  <c:pt idx="71">
                    <c:v>20-Jan-16</c:v>
                  </c:pt>
                  <c:pt idx="72">
                    <c:v>20-Jan-16</c:v>
                  </c:pt>
                  <c:pt idx="73">
                    <c:v>20-Jan-16</c:v>
                  </c:pt>
                  <c:pt idx="74">
                    <c:v>20-Jan-16</c:v>
                  </c:pt>
                  <c:pt idx="75">
                    <c:v>21-Jan-16</c:v>
                  </c:pt>
                  <c:pt idx="76">
                    <c:v>21-Jan-16</c:v>
                  </c:pt>
                  <c:pt idx="77">
                    <c:v>21-Jan-16</c:v>
                  </c:pt>
                  <c:pt idx="78">
                    <c:v>21-Jan-16</c:v>
                  </c:pt>
                  <c:pt idx="79">
                    <c:v>21-Jan-16</c:v>
                  </c:pt>
                  <c:pt idx="80">
                    <c:v>22-Jan-16</c:v>
                  </c:pt>
                  <c:pt idx="81">
                    <c:v>22-Jan-16</c:v>
                  </c:pt>
                  <c:pt idx="82">
                    <c:v>22-Jan-16</c:v>
                  </c:pt>
                  <c:pt idx="83">
                    <c:v>23-Jan-16</c:v>
                  </c:pt>
                  <c:pt idx="84">
                    <c:v>23-Jan-16</c:v>
                  </c:pt>
                  <c:pt idx="85">
                    <c:v>23-Jan-16</c:v>
                  </c:pt>
                  <c:pt idx="86">
                    <c:v>24-Jan-16</c:v>
                  </c:pt>
                  <c:pt idx="87">
                    <c:v>24-Jan-16</c:v>
                  </c:pt>
                  <c:pt idx="88">
                    <c:v>24-Jan-16</c:v>
                  </c:pt>
                  <c:pt idx="89">
                    <c:v>25-Jan-16</c:v>
                  </c:pt>
                  <c:pt idx="90">
                    <c:v>25-Jan-16</c:v>
                  </c:pt>
                  <c:pt idx="91">
                    <c:v>25-Jan-16</c:v>
                  </c:pt>
                  <c:pt idx="92">
                    <c:v>25-Jan-16</c:v>
                  </c:pt>
                  <c:pt idx="93">
                    <c:v>26-Jan-16</c:v>
                  </c:pt>
                  <c:pt idx="94">
                    <c:v>26-Jan-16</c:v>
                  </c:pt>
                  <c:pt idx="95">
                    <c:v>26-Jan-16</c:v>
                  </c:pt>
                  <c:pt idx="96">
                    <c:v>26-Jan-16</c:v>
                  </c:pt>
                  <c:pt idx="97">
                    <c:v>26-Jan-16</c:v>
                  </c:pt>
                  <c:pt idx="98">
                    <c:v>27-Jan-16</c:v>
                  </c:pt>
                  <c:pt idx="99">
                    <c:v>27-Jan-16</c:v>
                  </c:pt>
                  <c:pt idx="100">
                    <c:v>27-Jan-16</c:v>
                  </c:pt>
                  <c:pt idx="101">
                    <c:v>27-Jan-16</c:v>
                  </c:pt>
                  <c:pt idx="102">
                    <c:v>28-Jan-16</c:v>
                  </c:pt>
                  <c:pt idx="103">
                    <c:v>28-Jan-16</c:v>
                  </c:pt>
                  <c:pt idx="104">
                    <c:v>28-Jan-16</c:v>
                  </c:pt>
                  <c:pt idx="105">
                    <c:v>29-Jan-16</c:v>
                  </c:pt>
                  <c:pt idx="106">
                    <c:v>29-Jan-16</c:v>
                  </c:pt>
                  <c:pt idx="107">
                    <c:v>29-Jan-16</c:v>
                  </c:pt>
                  <c:pt idx="108">
                    <c:v>29-Jan-16</c:v>
                  </c:pt>
                  <c:pt idx="109">
                    <c:v>29-Jan-16</c:v>
                  </c:pt>
                  <c:pt idx="110">
                    <c:v>30-Jan-16</c:v>
                  </c:pt>
                  <c:pt idx="111">
                    <c:v>30-Jan-16</c:v>
                  </c:pt>
                  <c:pt idx="112">
                    <c:v>30-Jan-16</c:v>
                  </c:pt>
                  <c:pt idx="113">
                    <c:v>30-Jan-16</c:v>
                  </c:pt>
                  <c:pt idx="114">
                    <c:v>31-Jan-16</c:v>
                  </c:pt>
                  <c:pt idx="115">
                    <c:v>31-Jan-16</c:v>
                  </c:pt>
                  <c:pt idx="116">
                    <c:v>1-Feb-16</c:v>
                  </c:pt>
                  <c:pt idx="117">
                    <c:v>1-Feb-16</c:v>
                  </c:pt>
                  <c:pt idx="118">
                    <c:v>1-Feb-16</c:v>
                  </c:pt>
                  <c:pt idx="119">
                    <c:v>1-Feb-16</c:v>
                  </c:pt>
                  <c:pt idx="120">
                    <c:v>2-Feb-16</c:v>
                  </c:pt>
                  <c:pt idx="121">
                    <c:v>2-Feb-16</c:v>
                  </c:pt>
                  <c:pt idx="122">
                    <c:v>2-Feb-16</c:v>
                  </c:pt>
                  <c:pt idx="123">
                    <c:v>2-Feb-16</c:v>
                  </c:pt>
                  <c:pt idx="124">
                    <c:v>2-Feb-16</c:v>
                  </c:pt>
                  <c:pt idx="125">
                    <c:v>3-Feb-16</c:v>
                  </c:pt>
                  <c:pt idx="126">
                    <c:v>3-Feb-16</c:v>
                  </c:pt>
                  <c:pt idx="127">
                    <c:v>3-Feb-16</c:v>
                  </c:pt>
                  <c:pt idx="128">
                    <c:v>3-Feb-16</c:v>
                  </c:pt>
                  <c:pt idx="129">
                    <c:v>4-Feb-16</c:v>
                  </c:pt>
                  <c:pt idx="130">
                    <c:v>4-Feb-16</c:v>
                  </c:pt>
                  <c:pt idx="131">
                    <c:v>4-Feb-16</c:v>
                  </c:pt>
                  <c:pt idx="132">
                    <c:v>5-Feb-16</c:v>
                  </c:pt>
                  <c:pt idx="133">
                    <c:v>5-Feb-16</c:v>
                  </c:pt>
                  <c:pt idx="134">
                    <c:v>6-Feb-16</c:v>
                  </c:pt>
                  <c:pt idx="135">
                    <c:v>6-Feb-16</c:v>
                  </c:pt>
                  <c:pt idx="136">
                    <c:v>6-Feb-16</c:v>
                  </c:pt>
                  <c:pt idx="137">
                    <c:v>7-Feb-16</c:v>
                  </c:pt>
                  <c:pt idx="138">
                    <c:v>7-Feb-16</c:v>
                  </c:pt>
                  <c:pt idx="139">
                    <c:v>7-Feb-16</c:v>
                  </c:pt>
                  <c:pt idx="140">
                    <c:v>7-Feb-16</c:v>
                  </c:pt>
                  <c:pt idx="141">
                    <c:v>8-Feb-16</c:v>
                  </c:pt>
                  <c:pt idx="142">
                    <c:v>8-Feb-16</c:v>
                  </c:pt>
                  <c:pt idx="143">
                    <c:v>8-Feb-16</c:v>
                  </c:pt>
                  <c:pt idx="144">
                    <c:v>8-Feb-16</c:v>
                  </c:pt>
                  <c:pt idx="145">
                    <c:v>8-Feb-16</c:v>
                  </c:pt>
                  <c:pt idx="146">
                    <c:v>9-Feb-16</c:v>
                  </c:pt>
                  <c:pt idx="147">
                    <c:v>9-Feb-16</c:v>
                  </c:pt>
                  <c:pt idx="148">
                    <c:v>9-Feb-16</c:v>
                  </c:pt>
                  <c:pt idx="149">
                    <c:v>9-Feb-16</c:v>
                  </c:pt>
                  <c:pt idx="150">
                    <c:v>10-Feb-16</c:v>
                  </c:pt>
                  <c:pt idx="151">
                    <c:v>10-Feb-16</c:v>
                  </c:pt>
                  <c:pt idx="152">
                    <c:v>10-Feb-16</c:v>
                  </c:pt>
                  <c:pt idx="153">
                    <c:v>10-Feb-16</c:v>
                  </c:pt>
                  <c:pt idx="154">
                    <c:v>10-Feb-16</c:v>
                  </c:pt>
                  <c:pt idx="155">
                    <c:v>11-Feb-16</c:v>
                  </c:pt>
                  <c:pt idx="156">
                    <c:v>11-Feb-16</c:v>
                  </c:pt>
                  <c:pt idx="157">
                    <c:v>11-Feb-16</c:v>
                  </c:pt>
                  <c:pt idx="158">
                    <c:v>11-Feb-16</c:v>
                  </c:pt>
                  <c:pt idx="159">
                    <c:v>11-Feb-16</c:v>
                  </c:pt>
                  <c:pt idx="160">
                    <c:v>12-Feb-16</c:v>
                  </c:pt>
                  <c:pt idx="161">
                    <c:v>12-Feb-16</c:v>
                  </c:pt>
                  <c:pt idx="162">
                    <c:v>12-Feb-16</c:v>
                  </c:pt>
                  <c:pt idx="163">
                    <c:v>12-Feb-16</c:v>
                  </c:pt>
                  <c:pt idx="164">
                    <c:v>12-Feb-16</c:v>
                  </c:pt>
                  <c:pt idx="165">
                    <c:v>13-Feb-16</c:v>
                  </c:pt>
                  <c:pt idx="166">
                    <c:v>13-Feb-16</c:v>
                  </c:pt>
                  <c:pt idx="167">
                    <c:v>13-Feb-16</c:v>
                  </c:pt>
                  <c:pt idx="168">
                    <c:v>13-Feb-16</c:v>
                  </c:pt>
                  <c:pt idx="169">
                    <c:v>14-Feb-16</c:v>
                  </c:pt>
                  <c:pt idx="170">
                    <c:v>14-Feb-16</c:v>
                  </c:pt>
                  <c:pt idx="171">
                    <c:v>14-Feb-16</c:v>
                  </c:pt>
                  <c:pt idx="172">
                    <c:v>14-Feb-16</c:v>
                  </c:pt>
                  <c:pt idx="173">
                    <c:v>14-Feb-16</c:v>
                  </c:pt>
                  <c:pt idx="174">
                    <c:v>15-Feb-16</c:v>
                  </c:pt>
                  <c:pt idx="175">
                    <c:v>15-Feb-16</c:v>
                  </c:pt>
                  <c:pt idx="176">
                    <c:v>15-Feb-16</c:v>
                  </c:pt>
                  <c:pt idx="177">
                    <c:v>15-Feb-16</c:v>
                  </c:pt>
                  <c:pt idx="178">
                    <c:v>15-Feb-16</c:v>
                  </c:pt>
                  <c:pt idx="179">
                    <c:v>16-Feb-16</c:v>
                  </c:pt>
                  <c:pt idx="180">
                    <c:v>16-Feb-16</c:v>
                  </c:pt>
                  <c:pt idx="181">
                    <c:v>16-Feb-16</c:v>
                  </c:pt>
                  <c:pt idx="182">
                    <c:v>16-Feb-16</c:v>
                  </c:pt>
                  <c:pt idx="183">
                    <c:v>16-Feb-16</c:v>
                  </c:pt>
                  <c:pt idx="184">
                    <c:v>17-Feb-16</c:v>
                  </c:pt>
                  <c:pt idx="185">
                    <c:v>17-Feb-16</c:v>
                  </c:pt>
                  <c:pt idx="186">
                    <c:v>17-Feb-16</c:v>
                  </c:pt>
                  <c:pt idx="187">
                    <c:v>17-Feb-16</c:v>
                  </c:pt>
                  <c:pt idx="188">
                    <c:v>17-Feb-16</c:v>
                  </c:pt>
                  <c:pt idx="189">
                    <c:v>18-Feb-16</c:v>
                  </c:pt>
                  <c:pt idx="190">
                    <c:v>18-Feb-16</c:v>
                  </c:pt>
                  <c:pt idx="191">
                    <c:v>18-Feb-16</c:v>
                  </c:pt>
                  <c:pt idx="192">
                    <c:v>18-Feb-16</c:v>
                  </c:pt>
                  <c:pt idx="193">
                    <c:v>18-Feb-16</c:v>
                  </c:pt>
                  <c:pt idx="194">
                    <c:v>19-Feb-16</c:v>
                  </c:pt>
                  <c:pt idx="195">
                    <c:v>19-Feb-16</c:v>
                  </c:pt>
                  <c:pt idx="196">
                    <c:v>19-Feb-16</c:v>
                  </c:pt>
                  <c:pt idx="197">
                    <c:v>19-Feb-16</c:v>
                  </c:pt>
                  <c:pt idx="198">
                    <c:v>20-Feb-16</c:v>
                  </c:pt>
                  <c:pt idx="199">
                    <c:v>20-Feb-16</c:v>
                  </c:pt>
                  <c:pt idx="200">
                    <c:v>20-Feb-16</c:v>
                  </c:pt>
                  <c:pt idx="201">
                    <c:v>20-Feb-16</c:v>
                  </c:pt>
                  <c:pt idx="202">
                    <c:v>21-Feb-16</c:v>
                  </c:pt>
                  <c:pt idx="203">
                    <c:v>21-Feb-16</c:v>
                  </c:pt>
                  <c:pt idx="204">
                    <c:v>21-Feb-16</c:v>
                  </c:pt>
                  <c:pt idx="205">
                    <c:v>21-Feb-16</c:v>
                  </c:pt>
                  <c:pt idx="206">
                    <c:v>22-Feb-16</c:v>
                  </c:pt>
                  <c:pt idx="207">
                    <c:v>22-Feb-16</c:v>
                  </c:pt>
                  <c:pt idx="208">
                    <c:v>23-Feb-16</c:v>
                  </c:pt>
                  <c:pt idx="209">
                    <c:v>23-Feb-16</c:v>
                  </c:pt>
                  <c:pt idx="210">
                    <c:v>23-Feb-16</c:v>
                  </c:pt>
                  <c:pt idx="211">
                    <c:v>23-Feb-16</c:v>
                  </c:pt>
                  <c:pt idx="212">
                    <c:v>24-Feb-16</c:v>
                  </c:pt>
                  <c:pt idx="213">
                    <c:v>24-Feb-16</c:v>
                  </c:pt>
                  <c:pt idx="214">
                    <c:v>24-Feb-16</c:v>
                  </c:pt>
                  <c:pt idx="215">
                    <c:v>24-Feb-16</c:v>
                  </c:pt>
                  <c:pt idx="216">
                    <c:v>24-Feb-16</c:v>
                  </c:pt>
                  <c:pt idx="217">
                    <c:v>24-Feb-16</c:v>
                  </c:pt>
                  <c:pt idx="218">
                    <c:v>25-Feb-16</c:v>
                  </c:pt>
                  <c:pt idx="219">
                    <c:v>25-Feb-16</c:v>
                  </c:pt>
                  <c:pt idx="220">
                    <c:v>25-Feb-16</c:v>
                  </c:pt>
                  <c:pt idx="221">
                    <c:v>25-Feb-16</c:v>
                  </c:pt>
                  <c:pt idx="222">
                    <c:v>25-Feb-16</c:v>
                  </c:pt>
                  <c:pt idx="223">
                    <c:v>26-Feb-16</c:v>
                  </c:pt>
                  <c:pt idx="224">
                    <c:v>26-Feb-16</c:v>
                  </c:pt>
                  <c:pt idx="225">
                    <c:v>26-Feb-16</c:v>
                  </c:pt>
                  <c:pt idx="226">
                    <c:v>26-Feb-16</c:v>
                  </c:pt>
                  <c:pt idx="227">
                    <c:v>26-Feb-16</c:v>
                  </c:pt>
                  <c:pt idx="228">
                    <c:v>27-Feb-16</c:v>
                  </c:pt>
                  <c:pt idx="229">
                    <c:v>27-Feb-16</c:v>
                  </c:pt>
                  <c:pt idx="230">
                    <c:v>27-Feb-16</c:v>
                  </c:pt>
                  <c:pt idx="231">
                    <c:v>27-Feb-16</c:v>
                  </c:pt>
                  <c:pt idx="232">
                    <c:v>27-Feb-16</c:v>
                  </c:pt>
                  <c:pt idx="233">
                    <c:v>28-Feb-16</c:v>
                  </c:pt>
                  <c:pt idx="234">
                    <c:v>28-Feb-16</c:v>
                  </c:pt>
                  <c:pt idx="235">
                    <c:v>28-Feb-16</c:v>
                  </c:pt>
                  <c:pt idx="236">
                    <c:v>28-Feb-16</c:v>
                  </c:pt>
                  <c:pt idx="237">
                    <c:v>28-Feb-16</c:v>
                  </c:pt>
                  <c:pt idx="238">
                    <c:v>29-Feb-16</c:v>
                  </c:pt>
                  <c:pt idx="239">
                    <c:v>29-Feb-16</c:v>
                  </c:pt>
                  <c:pt idx="240">
                    <c:v>29-Feb-16</c:v>
                  </c:pt>
                  <c:pt idx="241">
                    <c:v>29-Feb-16</c:v>
                  </c:pt>
                  <c:pt idx="242">
                    <c:v>29-Feb-16</c:v>
                  </c:pt>
                  <c:pt idx="243">
                    <c:v>1-Mar-16</c:v>
                  </c:pt>
                  <c:pt idx="244">
                    <c:v>1-Mar-16</c:v>
                  </c:pt>
                  <c:pt idx="245">
                    <c:v>1-Mar-16</c:v>
                  </c:pt>
                  <c:pt idx="246">
                    <c:v>1-Mar-16</c:v>
                  </c:pt>
                  <c:pt idx="247">
                    <c:v>1-Mar-16</c:v>
                  </c:pt>
                  <c:pt idx="248">
                    <c:v>2-Mar-16</c:v>
                  </c:pt>
                  <c:pt idx="249">
                    <c:v>2-Mar-16</c:v>
                  </c:pt>
                  <c:pt idx="250">
                    <c:v>2-Mar-16</c:v>
                  </c:pt>
                  <c:pt idx="251">
                    <c:v>3-Mar-16</c:v>
                  </c:pt>
                  <c:pt idx="252">
                    <c:v>3-Mar-16</c:v>
                  </c:pt>
                  <c:pt idx="253">
                    <c:v>4-Mar-16</c:v>
                  </c:pt>
                  <c:pt idx="254">
                    <c:v>4-Mar-16</c:v>
                  </c:pt>
                  <c:pt idx="255">
                    <c:v>4-Mar-16</c:v>
                  </c:pt>
                  <c:pt idx="256">
                    <c:v>4-Mar-16</c:v>
                  </c:pt>
                  <c:pt idx="257">
                    <c:v>5-Mar-16</c:v>
                  </c:pt>
                  <c:pt idx="258">
                    <c:v>5-Mar-16</c:v>
                  </c:pt>
                  <c:pt idx="259">
                    <c:v>5-Mar-16</c:v>
                  </c:pt>
                  <c:pt idx="260">
                    <c:v>5-Mar-16</c:v>
                  </c:pt>
                  <c:pt idx="261">
                    <c:v>6-Mar-16</c:v>
                  </c:pt>
                  <c:pt idx="262">
                    <c:v>6-Mar-16</c:v>
                  </c:pt>
                  <c:pt idx="263">
                    <c:v>6-Mar-16</c:v>
                  </c:pt>
                  <c:pt idx="264">
                    <c:v>6-Mar-16</c:v>
                  </c:pt>
                  <c:pt idx="265">
                    <c:v>6-Mar-16</c:v>
                  </c:pt>
                  <c:pt idx="266">
                    <c:v>7-Mar-16</c:v>
                  </c:pt>
                  <c:pt idx="267">
                    <c:v>7-Mar-16</c:v>
                  </c:pt>
                  <c:pt idx="268">
                    <c:v>7-Mar-16</c:v>
                  </c:pt>
                  <c:pt idx="269">
                    <c:v>7-Mar-16</c:v>
                  </c:pt>
                  <c:pt idx="270">
                    <c:v>8-Mar-16</c:v>
                  </c:pt>
                  <c:pt idx="271">
                    <c:v>8-Mar-16</c:v>
                  </c:pt>
                  <c:pt idx="272">
                    <c:v>8-Mar-16</c:v>
                  </c:pt>
                  <c:pt idx="273">
                    <c:v>8-Mar-16</c:v>
                  </c:pt>
                  <c:pt idx="274">
                    <c:v>9-Mar-16</c:v>
                  </c:pt>
                  <c:pt idx="275">
                    <c:v>9-Mar-16</c:v>
                  </c:pt>
                  <c:pt idx="276">
                    <c:v>9-Mar-16</c:v>
                  </c:pt>
                  <c:pt idx="277">
                    <c:v>9-Mar-16</c:v>
                  </c:pt>
                  <c:pt idx="278">
                    <c:v>10-Mar-16</c:v>
                  </c:pt>
                  <c:pt idx="279">
                    <c:v>10-Mar-16</c:v>
                  </c:pt>
                  <c:pt idx="280">
                    <c:v>10-Mar-16</c:v>
                  </c:pt>
                  <c:pt idx="281">
                    <c:v>10-Mar-16</c:v>
                  </c:pt>
                  <c:pt idx="282">
                    <c:v>10-Mar-16</c:v>
                  </c:pt>
                  <c:pt idx="283">
                    <c:v>11-Mar-16</c:v>
                  </c:pt>
                  <c:pt idx="284">
                    <c:v>11-Mar-16</c:v>
                  </c:pt>
                  <c:pt idx="285">
                    <c:v>11-Mar-16</c:v>
                  </c:pt>
                  <c:pt idx="286">
                    <c:v>12-Mar-16</c:v>
                  </c:pt>
                  <c:pt idx="287">
                    <c:v>12-Mar-16</c:v>
                  </c:pt>
                  <c:pt idx="288">
                    <c:v>12-Mar-16</c:v>
                  </c:pt>
                  <c:pt idx="289">
                    <c:v>12-Mar-16</c:v>
                  </c:pt>
                  <c:pt idx="290">
                    <c:v>13-Mar-16</c:v>
                  </c:pt>
                  <c:pt idx="291">
                    <c:v>13-Mar-16</c:v>
                  </c:pt>
                  <c:pt idx="292">
                    <c:v>13-Mar-16</c:v>
                  </c:pt>
                  <c:pt idx="293">
                    <c:v>13-Mar-16</c:v>
                  </c:pt>
                  <c:pt idx="294">
                    <c:v>13-Mar-16</c:v>
                  </c:pt>
                  <c:pt idx="295">
                    <c:v>14-Mar-16</c:v>
                  </c:pt>
                  <c:pt idx="296">
                    <c:v>14-Mar-16</c:v>
                  </c:pt>
                  <c:pt idx="297">
                    <c:v>14-Mar-16</c:v>
                  </c:pt>
                  <c:pt idx="298">
                    <c:v>14-Mar-16</c:v>
                  </c:pt>
                  <c:pt idx="299">
                    <c:v>14-Mar-16</c:v>
                  </c:pt>
                  <c:pt idx="300">
                    <c:v>15-Mar-16</c:v>
                  </c:pt>
                  <c:pt idx="301">
                    <c:v>15-Mar-16</c:v>
                  </c:pt>
                  <c:pt idx="302">
                    <c:v>15-Mar-16</c:v>
                  </c:pt>
                  <c:pt idx="303">
                    <c:v>15-Mar-16</c:v>
                  </c:pt>
                  <c:pt idx="304">
                    <c:v>15-Mar-16</c:v>
                  </c:pt>
                  <c:pt idx="305">
                    <c:v>15-Mar-16</c:v>
                  </c:pt>
                  <c:pt idx="306">
                    <c:v>16-Mar-16</c:v>
                  </c:pt>
                  <c:pt idx="307">
                    <c:v>16-Mar-16</c:v>
                  </c:pt>
                  <c:pt idx="308">
                    <c:v>16-Mar-16</c:v>
                  </c:pt>
                  <c:pt idx="309">
                    <c:v>16-Mar-16</c:v>
                  </c:pt>
                  <c:pt idx="310">
                    <c:v>16-Mar-16</c:v>
                  </c:pt>
                  <c:pt idx="311">
                    <c:v>17-Mar-16</c:v>
                  </c:pt>
                  <c:pt idx="312">
                    <c:v>17-Mar-16</c:v>
                  </c:pt>
                  <c:pt idx="313">
                    <c:v>17-Mar-16</c:v>
                  </c:pt>
                  <c:pt idx="314">
                    <c:v>17-Mar-16</c:v>
                  </c:pt>
                  <c:pt idx="315">
                    <c:v>17-Mar-16</c:v>
                  </c:pt>
                  <c:pt idx="316">
                    <c:v>18-Mar-16</c:v>
                  </c:pt>
                  <c:pt idx="317">
                    <c:v>18-Mar-16</c:v>
                  </c:pt>
                  <c:pt idx="318">
                    <c:v>18-Mar-16</c:v>
                  </c:pt>
                  <c:pt idx="319">
                    <c:v>18-Mar-16</c:v>
                  </c:pt>
                  <c:pt idx="320">
                    <c:v>19-Mar-16</c:v>
                  </c:pt>
                  <c:pt idx="321">
                    <c:v>19-Mar-16</c:v>
                  </c:pt>
                  <c:pt idx="322">
                    <c:v>19-Mar-16</c:v>
                  </c:pt>
                  <c:pt idx="323">
                    <c:v>19-Mar-16</c:v>
                  </c:pt>
                  <c:pt idx="324">
                    <c:v>19-Mar-16</c:v>
                  </c:pt>
                  <c:pt idx="325">
                    <c:v>20-Mar-16</c:v>
                  </c:pt>
                  <c:pt idx="326">
                    <c:v>20-Mar-16</c:v>
                  </c:pt>
                  <c:pt idx="327">
                    <c:v>20-Mar-16</c:v>
                  </c:pt>
                  <c:pt idx="328">
                    <c:v>20-Mar-16</c:v>
                  </c:pt>
                  <c:pt idx="329">
                    <c:v>20-Mar-16</c:v>
                  </c:pt>
                  <c:pt idx="330">
                    <c:v>21-Mar-16</c:v>
                  </c:pt>
                  <c:pt idx="331">
                    <c:v>21-Mar-16</c:v>
                  </c:pt>
                  <c:pt idx="332">
                    <c:v>21-Mar-16</c:v>
                  </c:pt>
                  <c:pt idx="333">
                    <c:v>21-Mar-16</c:v>
                  </c:pt>
                  <c:pt idx="334">
                    <c:v>22-Mar-16</c:v>
                  </c:pt>
                  <c:pt idx="335">
                    <c:v>22-Mar-16</c:v>
                  </c:pt>
                  <c:pt idx="336">
                    <c:v>22-Mar-16</c:v>
                  </c:pt>
                  <c:pt idx="337">
                    <c:v>22-Mar-16</c:v>
                  </c:pt>
                  <c:pt idx="338">
                    <c:v>22-Mar-16</c:v>
                  </c:pt>
                  <c:pt idx="339">
                    <c:v>22-Mar-16</c:v>
                  </c:pt>
                  <c:pt idx="340">
                    <c:v>23-Mar-16</c:v>
                  </c:pt>
                  <c:pt idx="341">
                    <c:v>23-Mar-16</c:v>
                  </c:pt>
                  <c:pt idx="342">
                    <c:v>23-Mar-16</c:v>
                  </c:pt>
                  <c:pt idx="343">
                    <c:v>23-Mar-16</c:v>
                  </c:pt>
                  <c:pt idx="344">
                    <c:v>23-Mar-16</c:v>
                  </c:pt>
                  <c:pt idx="345">
                    <c:v>24-Mar-16</c:v>
                  </c:pt>
                  <c:pt idx="346">
                    <c:v>24-Mar-16</c:v>
                  </c:pt>
                  <c:pt idx="347">
                    <c:v>24-Mar-16</c:v>
                  </c:pt>
                  <c:pt idx="348">
                    <c:v>24-Mar-16</c:v>
                  </c:pt>
                  <c:pt idx="349">
                    <c:v>24-Mar-16</c:v>
                  </c:pt>
                  <c:pt idx="350">
                    <c:v>25-Mar-16</c:v>
                  </c:pt>
                  <c:pt idx="351">
                    <c:v>25-Mar-16</c:v>
                  </c:pt>
                  <c:pt idx="352">
                    <c:v>25-Mar-16</c:v>
                  </c:pt>
                  <c:pt idx="353">
                    <c:v>25-Mar-16</c:v>
                  </c:pt>
                  <c:pt idx="354">
                    <c:v>25-Mar-16</c:v>
                  </c:pt>
                  <c:pt idx="355">
                    <c:v>26-Mar-16</c:v>
                  </c:pt>
                  <c:pt idx="356">
                    <c:v>26-Mar-16</c:v>
                  </c:pt>
                  <c:pt idx="357">
                    <c:v>26-Mar-16</c:v>
                  </c:pt>
                  <c:pt idx="358">
                    <c:v>26-Mar-16</c:v>
                  </c:pt>
                  <c:pt idx="359">
                    <c:v>26-Mar-16</c:v>
                  </c:pt>
                  <c:pt idx="360">
                    <c:v>27-Mar-16</c:v>
                  </c:pt>
                  <c:pt idx="361">
                    <c:v>27-Mar-16</c:v>
                  </c:pt>
                  <c:pt idx="362">
                    <c:v>27-Mar-16</c:v>
                  </c:pt>
                  <c:pt idx="363">
                    <c:v>27-Mar-16</c:v>
                  </c:pt>
                  <c:pt idx="364">
                    <c:v>27-Mar-16</c:v>
                  </c:pt>
                  <c:pt idx="365">
                    <c:v>28-Mar-16</c:v>
                  </c:pt>
                  <c:pt idx="366">
                    <c:v>28-Mar-16</c:v>
                  </c:pt>
                  <c:pt idx="367">
                    <c:v>28-Mar-16</c:v>
                  </c:pt>
                  <c:pt idx="368">
                    <c:v>28-Mar-16</c:v>
                  </c:pt>
                  <c:pt idx="369">
                    <c:v>29-Mar-16</c:v>
                  </c:pt>
                  <c:pt idx="370">
                    <c:v>29-Mar-16</c:v>
                  </c:pt>
                  <c:pt idx="371">
                    <c:v>29-Mar-16</c:v>
                  </c:pt>
                  <c:pt idx="372">
                    <c:v>29-Mar-16</c:v>
                  </c:pt>
                  <c:pt idx="373">
                    <c:v>29-Mar-16</c:v>
                  </c:pt>
                  <c:pt idx="374">
                    <c:v>29-Mar-16</c:v>
                  </c:pt>
                  <c:pt idx="375">
                    <c:v>30-Mar-16</c:v>
                  </c:pt>
                  <c:pt idx="376">
                    <c:v>30-Mar-16</c:v>
                  </c:pt>
                  <c:pt idx="377">
                    <c:v>30-Mar-16</c:v>
                  </c:pt>
                  <c:pt idx="378">
                    <c:v>30-Mar-16</c:v>
                  </c:pt>
                  <c:pt idx="379">
                    <c:v>31-Mar-16</c:v>
                  </c:pt>
                  <c:pt idx="380">
                    <c:v>31-Mar-16</c:v>
                  </c:pt>
                  <c:pt idx="381">
                    <c:v>31-Mar-16</c:v>
                  </c:pt>
                  <c:pt idx="382">
                    <c:v>31-Mar-16</c:v>
                  </c:pt>
                  <c:pt idx="383">
                    <c:v>31-Mar-16</c:v>
                  </c:pt>
                  <c:pt idx="384">
                    <c:v>1-Apr-16</c:v>
                  </c:pt>
                  <c:pt idx="385">
                    <c:v>1-Apr-16</c:v>
                  </c:pt>
                  <c:pt idx="386">
                    <c:v>1-Apr-16</c:v>
                  </c:pt>
                  <c:pt idx="387">
                    <c:v>1-Apr-16</c:v>
                  </c:pt>
                  <c:pt idx="388">
                    <c:v>1-Apr-16</c:v>
                  </c:pt>
                  <c:pt idx="389">
                    <c:v>2-Apr-16</c:v>
                  </c:pt>
                  <c:pt idx="390">
                    <c:v>2-Apr-16</c:v>
                  </c:pt>
                  <c:pt idx="391">
                    <c:v>2-Apr-16</c:v>
                  </c:pt>
                  <c:pt idx="392">
                    <c:v>2-Apr-16</c:v>
                  </c:pt>
                  <c:pt idx="393">
                    <c:v>2-Apr-16</c:v>
                  </c:pt>
                  <c:pt idx="394">
                    <c:v>3-Apr-16</c:v>
                  </c:pt>
                  <c:pt idx="395">
                    <c:v>3-Apr-16</c:v>
                  </c:pt>
                  <c:pt idx="396">
                    <c:v>3-Apr-16</c:v>
                  </c:pt>
                  <c:pt idx="397">
                    <c:v>3-Apr-16</c:v>
                  </c:pt>
                  <c:pt idx="398">
                    <c:v>3-Apr-16</c:v>
                  </c:pt>
                  <c:pt idx="399">
                    <c:v>4-Apr-16</c:v>
                  </c:pt>
                  <c:pt idx="400">
                    <c:v>4-Apr-16</c:v>
                  </c:pt>
                  <c:pt idx="401">
                    <c:v>4-Apr-16</c:v>
                  </c:pt>
                  <c:pt idx="402">
                    <c:v>4-Apr-16</c:v>
                  </c:pt>
                  <c:pt idx="403">
                    <c:v>4-Apr-16</c:v>
                  </c:pt>
                  <c:pt idx="404">
                    <c:v>5-Apr-16</c:v>
                  </c:pt>
                  <c:pt idx="405">
                    <c:v>5-Apr-16</c:v>
                  </c:pt>
                  <c:pt idx="406">
                    <c:v>5-Apr-16</c:v>
                  </c:pt>
                  <c:pt idx="407">
                    <c:v>5-Apr-16</c:v>
                  </c:pt>
                  <c:pt idx="408">
                    <c:v>5-Apr-16</c:v>
                  </c:pt>
                  <c:pt idx="409">
                    <c:v>5-Apr-16</c:v>
                  </c:pt>
                  <c:pt idx="410">
                    <c:v>6-Apr-16</c:v>
                  </c:pt>
                  <c:pt idx="411">
                    <c:v>6-Apr-16</c:v>
                  </c:pt>
                  <c:pt idx="412">
                    <c:v>6-Apr-16</c:v>
                  </c:pt>
                  <c:pt idx="413">
                    <c:v>6-Apr-16</c:v>
                  </c:pt>
                  <c:pt idx="414">
                    <c:v>7-Apr-16</c:v>
                  </c:pt>
                  <c:pt idx="415">
                    <c:v>7-Apr-16</c:v>
                  </c:pt>
                  <c:pt idx="416">
                    <c:v>7-Apr-16</c:v>
                  </c:pt>
                  <c:pt idx="417">
                    <c:v>7-Apr-16</c:v>
                  </c:pt>
                  <c:pt idx="418">
                    <c:v>7-Apr-16</c:v>
                  </c:pt>
                  <c:pt idx="419">
                    <c:v>8-Apr-16</c:v>
                  </c:pt>
                  <c:pt idx="420">
                    <c:v>8-Apr-16</c:v>
                  </c:pt>
                  <c:pt idx="421">
                    <c:v>8-Apr-16</c:v>
                  </c:pt>
                  <c:pt idx="422">
                    <c:v>8-Apr-16</c:v>
                  </c:pt>
                  <c:pt idx="423">
                    <c:v>9-Apr-16</c:v>
                  </c:pt>
                  <c:pt idx="424">
                    <c:v>9-Apr-16</c:v>
                  </c:pt>
                  <c:pt idx="425">
                    <c:v>9-Apr-16</c:v>
                  </c:pt>
                  <c:pt idx="426">
                    <c:v>9-Apr-16</c:v>
                  </c:pt>
                  <c:pt idx="427">
                    <c:v>9-Apr-16</c:v>
                  </c:pt>
                  <c:pt idx="428">
                    <c:v>10-Apr-16</c:v>
                  </c:pt>
                  <c:pt idx="429">
                    <c:v>10-Apr-16</c:v>
                  </c:pt>
                  <c:pt idx="430">
                    <c:v>10-Apr-16</c:v>
                  </c:pt>
                  <c:pt idx="431">
                    <c:v>10-Apr-16</c:v>
                  </c:pt>
                  <c:pt idx="432">
                    <c:v>10-Apr-16</c:v>
                  </c:pt>
                  <c:pt idx="433">
                    <c:v>11-Apr-16</c:v>
                  </c:pt>
                  <c:pt idx="434">
                    <c:v>11-Apr-16</c:v>
                  </c:pt>
                  <c:pt idx="435">
                    <c:v>11-Apr-16</c:v>
                  </c:pt>
                  <c:pt idx="436">
                    <c:v>11-Apr-16</c:v>
                  </c:pt>
                  <c:pt idx="437">
                    <c:v>11-Apr-16</c:v>
                  </c:pt>
                  <c:pt idx="438">
                    <c:v>11-Apr-16</c:v>
                  </c:pt>
                  <c:pt idx="439">
                    <c:v>12-Apr-16</c:v>
                  </c:pt>
                  <c:pt idx="440">
                    <c:v>12-Apr-16</c:v>
                  </c:pt>
                  <c:pt idx="441">
                    <c:v>12-Apr-16</c:v>
                  </c:pt>
                  <c:pt idx="442">
                    <c:v>12-Apr-16</c:v>
                  </c:pt>
                  <c:pt idx="443">
                    <c:v>13-Apr-16</c:v>
                  </c:pt>
                  <c:pt idx="444">
                    <c:v>13-Apr-16</c:v>
                  </c:pt>
                  <c:pt idx="445">
                    <c:v>13-Apr-16</c:v>
                  </c:pt>
                  <c:pt idx="446">
                    <c:v>13-Apr-16</c:v>
                  </c:pt>
                  <c:pt idx="447">
                    <c:v>13-Apr-16</c:v>
                  </c:pt>
                  <c:pt idx="448">
                    <c:v>13-Apr-16</c:v>
                  </c:pt>
                  <c:pt idx="449">
                    <c:v>14-Apr-16</c:v>
                  </c:pt>
                  <c:pt idx="450">
                    <c:v>14-Apr-16</c:v>
                  </c:pt>
                  <c:pt idx="451">
                    <c:v>14-Apr-16</c:v>
                  </c:pt>
                  <c:pt idx="452">
                    <c:v>14-Apr-16</c:v>
                  </c:pt>
                  <c:pt idx="453">
                    <c:v>14-Apr-16</c:v>
                  </c:pt>
                  <c:pt idx="454">
                    <c:v>15-Apr-16</c:v>
                  </c:pt>
                  <c:pt idx="455">
                    <c:v>15-Apr-16</c:v>
                  </c:pt>
                  <c:pt idx="456">
                    <c:v>15-Apr-16</c:v>
                  </c:pt>
                  <c:pt idx="457">
                    <c:v>15-Apr-16</c:v>
                  </c:pt>
                  <c:pt idx="458">
                    <c:v>15-Apr-16</c:v>
                  </c:pt>
                  <c:pt idx="459">
                    <c:v>16-Apr-16</c:v>
                  </c:pt>
                  <c:pt idx="460">
                    <c:v>16-Apr-16</c:v>
                  </c:pt>
                  <c:pt idx="461">
                    <c:v>16-Apr-16</c:v>
                  </c:pt>
                  <c:pt idx="462">
                    <c:v>16-Apr-16</c:v>
                  </c:pt>
                  <c:pt idx="463">
                    <c:v>16-Apr-16</c:v>
                  </c:pt>
                  <c:pt idx="464">
                    <c:v>17-Apr-16</c:v>
                  </c:pt>
                  <c:pt idx="465">
                    <c:v>17-Apr-16</c:v>
                  </c:pt>
                  <c:pt idx="466">
                    <c:v>17-Apr-16</c:v>
                  </c:pt>
                  <c:pt idx="467">
                    <c:v>17-Apr-16</c:v>
                  </c:pt>
                  <c:pt idx="468">
                    <c:v>18-Apr-16</c:v>
                  </c:pt>
                  <c:pt idx="469">
                    <c:v>18-Apr-16</c:v>
                  </c:pt>
                  <c:pt idx="470">
                    <c:v>18-Apr-16</c:v>
                  </c:pt>
                  <c:pt idx="471">
                    <c:v>18-Apr-16</c:v>
                  </c:pt>
                  <c:pt idx="472">
                    <c:v>18-Apr-16</c:v>
                  </c:pt>
                  <c:pt idx="473">
                    <c:v>18-Apr-16</c:v>
                  </c:pt>
                  <c:pt idx="474">
                    <c:v>19-Apr-16</c:v>
                  </c:pt>
                  <c:pt idx="475">
                    <c:v>19-Apr-16</c:v>
                  </c:pt>
                  <c:pt idx="476">
                    <c:v>19-Apr-16</c:v>
                  </c:pt>
                  <c:pt idx="477">
                    <c:v>19-Apr-16</c:v>
                  </c:pt>
                  <c:pt idx="478">
                    <c:v>20-Apr-16</c:v>
                  </c:pt>
                  <c:pt idx="479">
                    <c:v>20-Apr-16</c:v>
                  </c:pt>
                  <c:pt idx="480">
                    <c:v>20-Apr-16</c:v>
                  </c:pt>
                  <c:pt idx="481">
                    <c:v>20-Apr-16</c:v>
                  </c:pt>
                  <c:pt idx="482">
                    <c:v>20-Apr-16</c:v>
                  </c:pt>
                  <c:pt idx="483">
                    <c:v>21-Apr-16</c:v>
                  </c:pt>
                </c:lvl>
              </c:multiLvlStrCache>
            </c:multiLvlStrRef>
          </c:cat>
          <c:val>
            <c:numRef>
              <c:f>'Coke Moisture'!$I$17:$I$1501</c:f>
              <c:numCache>
                <c:formatCode>General</c:formatCode>
                <c:ptCount val="1485"/>
                <c:pt idx="0">
                  <c:v>33</c:v>
                </c:pt>
                <c:pt idx="1">
                  <c:v>22</c:v>
                </c:pt>
                <c:pt idx="2">
                  <c:v>23</c:v>
                </c:pt>
                <c:pt idx="3">
                  <c:v>21</c:v>
                </c:pt>
                <c:pt idx="4">
                  <c:v>22</c:v>
                </c:pt>
                <c:pt idx="5">
                  <c:v>23</c:v>
                </c:pt>
                <c:pt idx="6">
                  <c:v>34.200000000000003</c:v>
                </c:pt>
                <c:pt idx="7">
                  <c:v>21.6</c:v>
                </c:pt>
                <c:pt idx="8">
                  <c:v>28</c:v>
                </c:pt>
                <c:pt idx="9">
                  <c:v>35</c:v>
                </c:pt>
                <c:pt idx="10">
                  <c:v>26</c:v>
                </c:pt>
                <c:pt idx="11">
                  <c:v>27</c:v>
                </c:pt>
                <c:pt idx="12">
                  <c:v>26</c:v>
                </c:pt>
                <c:pt idx="13">
                  <c:v>27</c:v>
                </c:pt>
                <c:pt idx="14">
                  <c:v>20</c:v>
                </c:pt>
                <c:pt idx="15">
                  <c:v>19.3</c:v>
                </c:pt>
                <c:pt idx="16">
                  <c:v>24</c:v>
                </c:pt>
                <c:pt idx="17">
                  <c:v>35</c:v>
                </c:pt>
                <c:pt idx="18">
                  <c:v>30</c:v>
                </c:pt>
                <c:pt idx="19">
                  <c:v>20.8</c:v>
                </c:pt>
                <c:pt idx="20">
                  <c:v>23</c:v>
                </c:pt>
                <c:pt idx="21">
                  <c:v>30</c:v>
                </c:pt>
                <c:pt idx="22">
                  <c:v>43.6</c:v>
                </c:pt>
                <c:pt idx="23">
                  <c:v>33</c:v>
                </c:pt>
                <c:pt idx="24">
                  <c:v>25</c:v>
                </c:pt>
                <c:pt idx="25">
                  <c:v>24.4</c:v>
                </c:pt>
                <c:pt idx="26">
                  <c:v>30.2</c:v>
                </c:pt>
                <c:pt idx="27">
                  <c:v>25.4</c:v>
                </c:pt>
                <c:pt idx="28">
                  <c:v>36.5</c:v>
                </c:pt>
                <c:pt idx="29">
                  <c:v>35</c:v>
                </c:pt>
                <c:pt idx="30">
                  <c:v>41</c:v>
                </c:pt>
                <c:pt idx="31">
                  <c:v>37</c:v>
                </c:pt>
                <c:pt idx="32">
                  <c:v>29</c:v>
                </c:pt>
                <c:pt idx="33">
                  <c:v>45</c:v>
                </c:pt>
                <c:pt idx="34">
                  <c:v>43</c:v>
                </c:pt>
                <c:pt idx="35">
                  <c:v>35</c:v>
                </c:pt>
                <c:pt idx="36">
                  <c:v>33</c:v>
                </c:pt>
                <c:pt idx="37">
                  <c:v>32</c:v>
                </c:pt>
                <c:pt idx="38">
                  <c:v>30</c:v>
                </c:pt>
                <c:pt idx="39">
                  <c:v>28</c:v>
                </c:pt>
                <c:pt idx="40">
                  <c:v>37</c:v>
                </c:pt>
                <c:pt idx="41">
                  <c:v>36</c:v>
                </c:pt>
                <c:pt idx="42">
                  <c:v>33</c:v>
                </c:pt>
                <c:pt idx="43">
                  <c:v>30</c:v>
                </c:pt>
                <c:pt idx="44">
                  <c:v>29.3</c:v>
                </c:pt>
                <c:pt idx="45">
                  <c:v>34</c:v>
                </c:pt>
                <c:pt idx="46">
                  <c:v>28</c:v>
                </c:pt>
                <c:pt idx="47">
                  <c:v>51</c:v>
                </c:pt>
                <c:pt idx="48">
                  <c:v>33.200000000000003</c:v>
                </c:pt>
                <c:pt idx="49">
                  <c:v>33</c:v>
                </c:pt>
                <c:pt idx="50">
                  <c:v>25</c:v>
                </c:pt>
                <c:pt idx="51">
                  <c:v>30</c:v>
                </c:pt>
                <c:pt idx="52">
                  <c:v>33</c:v>
                </c:pt>
                <c:pt idx="53">
                  <c:v>32</c:v>
                </c:pt>
                <c:pt idx="54">
                  <c:v>36.4</c:v>
                </c:pt>
                <c:pt idx="55">
                  <c:v>34</c:v>
                </c:pt>
                <c:pt idx="56">
                  <c:v>35</c:v>
                </c:pt>
                <c:pt idx="57">
                  <c:v>38</c:v>
                </c:pt>
                <c:pt idx="58">
                  <c:v>30</c:v>
                </c:pt>
                <c:pt idx="59">
                  <c:v>45</c:v>
                </c:pt>
                <c:pt idx="60">
                  <c:v>35</c:v>
                </c:pt>
                <c:pt idx="61">
                  <c:v>45</c:v>
                </c:pt>
                <c:pt idx="62">
                  <c:v>31</c:v>
                </c:pt>
                <c:pt idx="63">
                  <c:v>30</c:v>
                </c:pt>
                <c:pt idx="64">
                  <c:v>41</c:v>
                </c:pt>
                <c:pt idx="65">
                  <c:v>32</c:v>
                </c:pt>
                <c:pt idx="66">
                  <c:v>26</c:v>
                </c:pt>
                <c:pt idx="67">
                  <c:v>29</c:v>
                </c:pt>
                <c:pt idx="68">
                  <c:v>21</c:v>
                </c:pt>
                <c:pt idx="69">
                  <c:v>24</c:v>
                </c:pt>
                <c:pt idx="70">
                  <c:v>39</c:v>
                </c:pt>
                <c:pt idx="71">
                  <c:v>28</c:v>
                </c:pt>
                <c:pt idx="72">
                  <c:v>21</c:v>
                </c:pt>
                <c:pt idx="73">
                  <c:v>24</c:v>
                </c:pt>
                <c:pt idx="74">
                  <c:v>38</c:v>
                </c:pt>
                <c:pt idx="75">
                  <c:v>45</c:v>
                </c:pt>
                <c:pt idx="76">
                  <c:v>27</c:v>
                </c:pt>
                <c:pt idx="77">
                  <c:v>21</c:v>
                </c:pt>
                <c:pt idx="78">
                  <c:v>24</c:v>
                </c:pt>
                <c:pt idx="79">
                  <c:v>30</c:v>
                </c:pt>
                <c:pt idx="80">
                  <c:v>38</c:v>
                </c:pt>
                <c:pt idx="81">
                  <c:v>28</c:v>
                </c:pt>
                <c:pt idx="82">
                  <c:v>33</c:v>
                </c:pt>
                <c:pt idx="83">
                  <c:v>26</c:v>
                </c:pt>
                <c:pt idx="84">
                  <c:v>24</c:v>
                </c:pt>
                <c:pt idx="85">
                  <c:v>19</c:v>
                </c:pt>
                <c:pt idx="86">
                  <c:v>26</c:v>
                </c:pt>
                <c:pt idx="87">
                  <c:v>27</c:v>
                </c:pt>
                <c:pt idx="88">
                  <c:v>24.3</c:v>
                </c:pt>
                <c:pt idx="89">
                  <c:v>15.2</c:v>
                </c:pt>
                <c:pt idx="90">
                  <c:v>28</c:v>
                </c:pt>
                <c:pt idx="91">
                  <c:v>27</c:v>
                </c:pt>
                <c:pt idx="92">
                  <c:v>26</c:v>
                </c:pt>
                <c:pt idx="93">
                  <c:v>24</c:v>
                </c:pt>
                <c:pt idx="94">
                  <c:v>22</c:v>
                </c:pt>
                <c:pt idx="95">
                  <c:v>28</c:v>
                </c:pt>
                <c:pt idx="96">
                  <c:v>26</c:v>
                </c:pt>
                <c:pt idx="97">
                  <c:v>30</c:v>
                </c:pt>
                <c:pt idx="98">
                  <c:v>22</c:v>
                </c:pt>
                <c:pt idx="99">
                  <c:v>35</c:v>
                </c:pt>
                <c:pt idx="100">
                  <c:v>26</c:v>
                </c:pt>
                <c:pt idx="101">
                  <c:v>30</c:v>
                </c:pt>
                <c:pt idx="102">
                  <c:v>25</c:v>
                </c:pt>
                <c:pt idx="103">
                  <c:v>28</c:v>
                </c:pt>
                <c:pt idx="104">
                  <c:v>28</c:v>
                </c:pt>
                <c:pt idx="105">
                  <c:v>31</c:v>
                </c:pt>
                <c:pt idx="106">
                  <c:v>26</c:v>
                </c:pt>
                <c:pt idx="107">
                  <c:v>32</c:v>
                </c:pt>
                <c:pt idx="108">
                  <c:v>26</c:v>
                </c:pt>
                <c:pt idx="109">
                  <c:v>26</c:v>
                </c:pt>
                <c:pt idx="110">
                  <c:v>24</c:v>
                </c:pt>
                <c:pt idx="111">
                  <c:v>23</c:v>
                </c:pt>
                <c:pt idx="112">
                  <c:v>28</c:v>
                </c:pt>
                <c:pt idx="113">
                  <c:v>26</c:v>
                </c:pt>
                <c:pt idx="114">
                  <c:v>28</c:v>
                </c:pt>
                <c:pt idx="115">
                  <c:v>32</c:v>
                </c:pt>
                <c:pt idx="116">
                  <c:v>22</c:v>
                </c:pt>
                <c:pt idx="117">
                  <c:v>25</c:v>
                </c:pt>
                <c:pt idx="118">
                  <c:v>28</c:v>
                </c:pt>
                <c:pt idx="119">
                  <c:v>35</c:v>
                </c:pt>
                <c:pt idx="120">
                  <c:v>33</c:v>
                </c:pt>
                <c:pt idx="121">
                  <c:v>34</c:v>
                </c:pt>
                <c:pt idx="122">
                  <c:v>29</c:v>
                </c:pt>
                <c:pt idx="123">
                  <c:v>28</c:v>
                </c:pt>
                <c:pt idx="124">
                  <c:v>24</c:v>
                </c:pt>
                <c:pt idx="125">
                  <c:v>34</c:v>
                </c:pt>
                <c:pt idx="126">
                  <c:v>30</c:v>
                </c:pt>
                <c:pt idx="127">
                  <c:v>25</c:v>
                </c:pt>
                <c:pt idx="128">
                  <c:v>26</c:v>
                </c:pt>
                <c:pt idx="129">
                  <c:v>34</c:v>
                </c:pt>
                <c:pt idx="130">
                  <c:v>24</c:v>
                </c:pt>
                <c:pt idx="131">
                  <c:v>34</c:v>
                </c:pt>
                <c:pt idx="132">
                  <c:v>23</c:v>
                </c:pt>
                <c:pt idx="133">
                  <c:v>34</c:v>
                </c:pt>
                <c:pt idx="134">
                  <c:v>38</c:v>
                </c:pt>
                <c:pt idx="135">
                  <c:v>24</c:v>
                </c:pt>
                <c:pt idx="136">
                  <c:v>28</c:v>
                </c:pt>
                <c:pt idx="137">
                  <c:v>23</c:v>
                </c:pt>
                <c:pt idx="138">
                  <c:v>27</c:v>
                </c:pt>
                <c:pt idx="139">
                  <c:v>28</c:v>
                </c:pt>
                <c:pt idx="140">
                  <c:v>24</c:v>
                </c:pt>
                <c:pt idx="141">
                  <c:v>25</c:v>
                </c:pt>
                <c:pt idx="142">
                  <c:v>29</c:v>
                </c:pt>
                <c:pt idx="143">
                  <c:v>35</c:v>
                </c:pt>
                <c:pt idx="144">
                  <c:v>33</c:v>
                </c:pt>
                <c:pt idx="145">
                  <c:v>33</c:v>
                </c:pt>
                <c:pt idx="146">
                  <c:v>34</c:v>
                </c:pt>
                <c:pt idx="147">
                  <c:v>28</c:v>
                </c:pt>
                <c:pt idx="148">
                  <c:v>40</c:v>
                </c:pt>
                <c:pt idx="149">
                  <c:v>28</c:v>
                </c:pt>
                <c:pt idx="150">
                  <c:v>24</c:v>
                </c:pt>
                <c:pt idx="151">
                  <c:v>26</c:v>
                </c:pt>
                <c:pt idx="152">
                  <c:v>24</c:v>
                </c:pt>
                <c:pt idx="153">
                  <c:v>25</c:v>
                </c:pt>
                <c:pt idx="154">
                  <c:v>22</c:v>
                </c:pt>
                <c:pt idx="155">
                  <c:v>23</c:v>
                </c:pt>
                <c:pt idx="156">
                  <c:v>51</c:v>
                </c:pt>
                <c:pt idx="157">
                  <c:v>23</c:v>
                </c:pt>
                <c:pt idx="158">
                  <c:v>22</c:v>
                </c:pt>
                <c:pt idx="159">
                  <c:v>23</c:v>
                </c:pt>
                <c:pt idx="160">
                  <c:v>28</c:v>
                </c:pt>
                <c:pt idx="161">
                  <c:v>27</c:v>
                </c:pt>
                <c:pt idx="162">
                  <c:v>20</c:v>
                </c:pt>
                <c:pt idx="163">
                  <c:v>26</c:v>
                </c:pt>
                <c:pt idx="164">
                  <c:v>26</c:v>
                </c:pt>
                <c:pt idx="165">
                  <c:v>25</c:v>
                </c:pt>
                <c:pt idx="166">
                  <c:v>25</c:v>
                </c:pt>
                <c:pt idx="167">
                  <c:v>37</c:v>
                </c:pt>
                <c:pt idx="168">
                  <c:v>25</c:v>
                </c:pt>
                <c:pt idx="169">
                  <c:v>26</c:v>
                </c:pt>
                <c:pt idx="170">
                  <c:v>20</c:v>
                </c:pt>
                <c:pt idx="171">
                  <c:v>36</c:v>
                </c:pt>
                <c:pt idx="172">
                  <c:v>26</c:v>
                </c:pt>
                <c:pt idx="173">
                  <c:v>22</c:v>
                </c:pt>
                <c:pt idx="174">
                  <c:v>28</c:v>
                </c:pt>
                <c:pt idx="175">
                  <c:v>27</c:v>
                </c:pt>
                <c:pt idx="176">
                  <c:v>37</c:v>
                </c:pt>
                <c:pt idx="177">
                  <c:v>34</c:v>
                </c:pt>
                <c:pt idx="178">
                  <c:v>26</c:v>
                </c:pt>
                <c:pt idx="179">
                  <c:v>23</c:v>
                </c:pt>
                <c:pt idx="180">
                  <c:v>25</c:v>
                </c:pt>
                <c:pt idx="181">
                  <c:v>35</c:v>
                </c:pt>
                <c:pt idx="182">
                  <c:v>33</c:v>
                </c:pt>
                <c:pt idx="183">
                  <c:v>34</c:v>
                </c:pt>
                <c:pt idx="184">
                  <c:v>28</c:v>
                </c:pt>
                <c:pt idx="185">
                  <c:v>28</c:v>
                </c:pt>
                <c:pt idx="186">
                  <c:v>29</c:v>
                </c:pt>
                <c:pt idx="187">
                  <c:v>26</c:v>
                </c:pt>
                <c:pt idx="188">
                  <c:v>28</c:v>
                </c:pt>
                <c:pt idx="189">
                  <c:v>21</c:v>
                </c:pt>
                <c:pt idx="190">
                  <c:v>25</c:v>
                </c:pt>
                <c:pt idx="191">
                  <c:v>30</c:v>
                </c:pt>
                <c:pt idx="192">
                  <c:v>37</c:v>
                </c:pt>
                <c:pt idx="193">
                  <c:v>26</c:v>
                </c:pt>
                <c:pt idx="194">
                  <c:v>36</c:v>
                </c:pt>
                <c:pt idx="195">
                  <c:v>24</c:v>
                </c:pt>
                <c:pt idx="196">
                  <c:v>30</c:v>
                </c:pt>
                <c:pt idx="197">
                  <c:v>37</c:v>
                </c:pt>
                <c:pt idx="198">
                  <c:v>29</c:v>
                </c:pt>
                <c:pt idx="199">
                  <c:v>22</c:v>
                </c:pt>
                <c:pt idx="200">
                  <c:v>24</c:v>
                </c:pt>
                <c:pt idx="201">
                  <c:v>26</c:v>
                </c:pt>
                <c:pt idx="202">
                  <c:v>26</c:v>
                </c:pt>
                <c:pt idx="203">
                  <c:v>35</c:v>
                </c:pt>
                <c:pt idx="204">
                  <c:v>29</c:v>
                </c:pt>
                <c:pt idx="205">
                  <c:v>36</c:v>
                </c:pt>
                <c:pt idx="206">
                  <c:v>27</c:v>
                </c:pt>
                <c:pt idx="207">
                  <c:v>26</c:v>
                </c:pt>
                <c:pt idx="208">
                  <c:v>24</c:v>
                </c:pt>
                <c:pt idx="209">
                  <c:v>24</c:v>
                </c:pt>
                <c:pt idx="210">
                  <c:v>22</c:v>
                </c:pt>
                <c:pt idx="211">
                  <c:v>27</c:v>
                </c:pt>
                <c:pt idx="212">
                  <c:v>22</c:v>
                </c:pt>
                <c:pt idx="213">
                  <c:v>33</c:v>
                </c:pt>
                <c:pt idx="214">
                  <c:v>30</c:v>
                </c:pt>
                <c:pt idx="215">
                  <c:v>30</c:v>
                </c:pt>
                <c:pt idx="216">
                  <c:v>26</c:v>
                </c:pt>
                <c:pt idx="217">
                  <c:v>42</c:v>
                </c:pt>
                <c:pt idx="218">
                  <c:v>28</c:v>
                </c:pt>
                <c:pt idx="219">
                  <c:v>32</c:v>
                </c:pt>
                <c:pt idx="220">
                  <c:v>44</c:v>
                </c:pt>
                <c:pt idx="221">
                  <c:v>37</c:v>
                </c:pt>
                <c:pt idx="222">
                  <c:v>28</c:v>
                </c:pt>
                <c:pt idx="223">
                  <c:v>34</c:v>
                </c:pt>
                <c:pt idx="224">
                  <c:v>31</c:v>
                </c:pt>
                <c:pt idx="225">
                  <c:v>38</c:v>
                </c:pt>
                <c:pt idx="226">
                  <c:v>35</c:v>
                </c:pt>
                <c:pt idx="227">
                  <c:v>23</c:v>
                </c:pt>
                <c:pt idx="228">
                  <c:v>30</c:v>
                </c:pt>
                <c:pt idx="229">
                  <c:v>37</c:v>
                </c:pt>
                <c:pt idx="230">
                  <c:v>26</c:v>
                </c:pt>
                <c:pt idx="231">
                  <c:v>29</c:v>
                </c:pt>
                <c:pt idx="232">
                  <c:v>45</c:v>
                </c:pt>
                <c:pt idx="233">
                  <c:v>35</c:v>
                </c:pt>
                <c:pt idx="234">
                  <c:v>32</c:v>
                </c:pt>
                <c:pt idx="235">
                  <c:v>29</c:v>
                </c:pt>
                <c:pt idx="236">
                  <c:v>23</c:v>
                </c:pt>
                <c:pt idx="237">
                  <c:v>37</c:v>
                </c:pt>
                <c:pt idx="238">
                  <c:v>29</c:v>
                </c:pt>
                <c:pt idx="239">
                  <c:v>36</c:v>
                </c:pt>
                <c:pt idx="240">
                  <c:v>39</c:v>
                </c:pt>
                <c:pt idx="241">
                  <c:v>33</c:v>
                </c:pt>
                <c:pt idx="242">
                  <c:v>25</c:v>
                </c:pt>
                <c:pt idx="243">
                  <c:v>22</c:v>
                </c:pt>
                <c:pt idx="244">
                  <c:v>34</c:v>
                </c:pt>
                <c:pt idx="245">
                  <c:v>35</c:v>
                </c:pt>
                <c:pt idx="246">
                  <c:v>34</c:v>
                </c:pt>
                <c:pt idx="247">
                  <c:v>20</c:v>
                </c:pt>
                <c:pt idx="248">
                  <c:v>27</c:v>
                </c:pt>
                <c:pt idx="249">
                  <c:v>26</c:v>
                </c:pt>
                <c:pt idx="250">
                  <c:v>31</c:v>
                </c:pt>
                <c:pt idx="251">
                  <c:v>26</c:v>
                </c:pt>
                <c:pt idx="252">
                  <c:v>44</c:v>
                </c:pt>
                <c:pt idx="253">
                  <c:v>31</c:v>
                </c:pt>
                <c:pt idx="254">
                  <c:v>26</c:v>
                </c:pt>
                <c:pt idx="255">
                  <c:v>26</c:v>
                </c:pt>
                <c:pt idx="256">
                  <c:v>28</c:v>
                </c:pt>
                <c:pt idx="257">
                  <c:v>26</c:v>
                </c:pt>
                <c:pt idx="258">
                  <c:v>34</c:v>
                </c:pt>
                <c:pt idx="259">
                  <c:v>26</c:v>
                </c:pt>
                <c:pt idx="260">
                  <c:v>28</c:v>
                </c:pt>
                <c:pt idx="261">
                  <c:v>25</c:v>
                </c:pt>
                <c:pt idx="262">
                  <c:v>38</c:v>
                </c:pt>
                <c:pt idx="263">
                  <c:v>26</c:v>
                </c:pt>
                <c:pt idx="264">
                  <c:v>24</c:v>
                </c:pt>
                <c:pt idx="265">
                  <c:v>22</c:v>
                </c:pt>
                <c:pt idx="266">
                  <c:v>23</c:v>
                </c:pt>
                <c:pt idx="267">
                  <c:v>28</c:v>
                </c:pt>
                <c:pt idx="268">
                  <c:v>36</c:v>
                </c:pt>
                <c:pt idx="269">
                  <c:v>24</c:v>
                </c:pt>
                <c:pt idx="270">
                  <c:v>25</c:v>
                </c:pt>
                <c:pt idx="271">
                  <c:v>30</c:v>
                </c:pt>
                <c:pt idx="272">
                  <c:v>26</c:v>
                </c:pt>
                <c:pt idx="273">
                  <c:v>34</c:v>
                </c:pt>
                <c:pt idx="274">
                  <c:v>31</c:v>
                </c:pt>
                <c:pt idx="275">
                  <c:v>28</c:v>
                </c:pt>
                <c:pt idx="276">
                  <c:v>30</c:v>
                </c:pt>
                <c:pt idx="277">
                  <c:v>26</c:v>
                </c:pt>
                <c:pt idx="278">
                  <c:v>25</c:v>
                </c:pt>
                <c:pt idx="279">
                  <c:v>27</c:v>
                </c:pt>
                <c:pt idx="280">
                  <c:v>29</c:v>
                </c:pt>
                <c:pt idx="281">
                  <c:v>32</c:v>
                </c:pt>
                <c:pt idx="282">
                  <c:v>30</c:v>
                </c:pt>
                <c:pt idx="283">
                  <c:v>24</c:v>
                </c:pt>
                <c:pt idx="284">
                  <c:v>29</c:v>
                </c:pt>
                <c:pt idx="285">
                  <c:v>28</c:v>
                </c:pt>
                <c:pt idx="286">
                  <c:v>31</c:v>
                </c:pt>
                <c:pt idx="287">
                  <c:v>29</c:v>
                </c:pt>
                <c:pt idx="288">
                  <c:v>32</c:v>
                </c:pt>
                <c:pt idx="289">
                  <c:v>41</c:v>
                </c:pt>
                <c:pt idx="290">
                  <c:v>32</c:v>
                </c:pt>
                <c:pt idx="291">
                  <c:v>36</c:v>
                </c:pt>
                <c:pt idx="292">
                  <c:v>34</c:v>
                </c:pt>
                <c:pt idx="293">
                  <c:v>33</c:v>
                </c:pt>
                <c:pt idx="294">
                  <c:v>34</c:v>
                </c:pt>
                <c:pt idx="295">
                  <c:v>27</c:v>
                </c:pt>
                <c:pt idx="296">
                  <c:v>32</c:v>
                </c:pt>
                <c:pt idx="297">
                  <c:v>23</c:v>
                </c:pt>
                <c:pt idx="298">
                  <c:v>39</c:v>
                </c:pt>
                <c:pt idx="299">
                  <c:v>28</c:v>
                </c:pt>
                <c:pt idx="300">
                  <c:v>32</c:v>
                </c:pt>
                <c:pt idx="301">
                  <c:v>37</c:v>
                </c:pt>
                <c:pt idx="302">
                  <c:v>31</c:v>
                </c:pt>
                <c:pt idx="303">
                  <c:v>24</c:v>
                </c:pt>
                <c:pt idx="304">
                  <c:v>36</c:v>
                </c:pt>
                <c:pt idx="305">
                  <c:v>22</c:v>
                </c:pt>
                <c:pt idx="306">
                  <c:v>22</c:v>
                </c:pt>
                <c:pt idx="307">
                  <c:v>26</c:v>
                </c:pt>
                <c:pt idx="308">
                  <c:v>22</c:v>
                </c:pt>
                <c:pt idx="309">
                  <c:v>19</c:v>
                </c:pt>
                <c:pt idx="310">
                  <c:v>31</c:v>
                </c:pt>
                <c:pt idx="311">
                  <c:v>25</c:v>
                </c:pt>
                <c:pt idx="312">
                  <c:v>30</c:v>
                </c:pt>
                <c:pt idx="313">
                  <c:v>30</c:v>
                </c:pt>
                <c:pt idx="314">
                  <c:v>21</c:v>
                </c:pt>
                <c:pt idx="315">
                  <c:v>26</c:v>
                </c:pt>
                <c:pt idx="316">
                  <c:v>28</c:v>
                </c:pt>
                <c:pt idx="317">
                  <c:v>39</c:v>
                </c:pt>
                <c:pt idx="318">
                  <c:v>19</c:v>
                </c:pt>
                <c:pt idx="319">
                  <c:v>28</c:v>
                </c:pt>
                <c:pt idx="320">
                  <c:v>27</c:v>
                </c:pt>
                <c:pt idx="321">
                  <c:v>22</c:v>
                </c:pt>
                <c:pt idx="322">
                  <c:v>32</c:v>
                </c:pt>
                <c:pt idx="323">
                  <c:v>24</c:v>
                </c:pt>
                <c:pt idx="324">
                  <c:v>28</c:v>
                </c:pt>
                <c:pt idx="325">
                  <c:v>38</c:v>
                </c:pt>
                <c:pt idx="326">
                  <c:v>30</c:v>
                </c:pt>
                <c:pt idx="327">
                  <c:v>24</c:v>
                </c:pt>
                <c:pt idx="328">
                  <c:v>24</c:v>
                </c:pt>
                <c:pt idx="329">
                  <c:v>36</c:v>
                </c:pt>
                <c:pt idx="330">
                  <c:v>30</c:v>
                </c:pt>
                <c:pt idx="331">
                  <c:v>26</c:v>
                </c:pt>
                <c:pt idx="332">
                  <c:v>24</c:v>
                </c:pt>
                <c:pt idx="333">
                  <c:v>24</c:v>
                </c:pt>
                <c:pt idx="334">
                  <c:v>33</c:v>
                </c:pt>
                <c:pt idx="335">
                  <c:v>42</c:v>
                </c:pt>
                <c:pt idx="336">
                  <c:v>28</c:v>
                </c:pt>
                <c:pt idx="337">
                  <c:v>25</c:v>
                </c:pt>
                <c:pt idx="338">
                  <c:v>26</c:v>
                </c:pt>
                <c:pt idx="339">
                  <c:v>25</c:v>
                </c:pt>
                <c:pt idx="340">
                  <c:v>29</c:v>
                </c:pt>
                <c:pt idx="341">
                  <c:v>43</c:v>
                </c:pt>
                <c:pt idx="342">
                  <c:v>35</c:v>
                </c:pt>
                <c:pt idx="343">
                  <c:v>27</c:v>
                </c:pt>
                <c:pt idx="344">
                  <c:v>44</c:v>
                </c:pt>
                <c:pt idx="345">
                  <c:v>27</c:v>
                </c:pt>
                <c:pt idx="346">
                  <c:v>38</c:v>
                </c:pt>
                <c:pt idx="347">
                  <c:v>30</c:v>
                </c:pt>
                <c:pt idx="348">
                  <c:v>27</c:v>
                </c:pt>
                <c:pt idx="349">
                  <c:v>27</c:v>
                </c:pt>
                <c:pt idx="350">
                  <c:v>42</c:v>
                </c:pt>
                <c:pt idx="351">
                  <c:v>37</c:v>
                </c:pt>
                <c:pt idx="352">
                  <c:v>28</c:v>
                </c:pt>
                <c:pt idx="353">
                  <c:v>37</c:v>
                </c:pt>
                <c:pt idx="354">
                  <c:v>29</c:v>
                </c:pt>
                <c:pt idx="355">
                  <c:v>35</c:v>
                </c:pt>
                <c:pt idx="356">
                  <c:v>37</c:v>
                </c:pt>
                <c:pt idx="357">
                  <c:v>34</c:v>
                </c:pt>
                <c:pt idx="358">
                  <c:v>28</c:v>
                </c:pt>
                <c:pt idx="359">
                  <c:v>27</c:v>
                </c:pt>
                <c:pt idx="360">
                  <c:v>39</c:v>
                </c:pt>
                <c:pt idx="361">
                  <c:v>43</c:v>
                </c:pt>
                <c:pt idx="362">
                  <c:v>28</c:v>
                </c:pt>
                <c:pt idx="363">
                  <c:v>34</c:v>
                </c:pt>
                <c:pt idx="364">
                  <c:v>37</c:v>
                </c:pt>
                <c:pt idx="365">
                  <c:v>35</c:v>
                </c:pt>
                <c:pt idx="366">
                  <c:v>33</c:v>
                </c:pt>
                <c:pt idx="367">
                  <c:v>24</c:v>
                </c:pt>
                <c:pt idx="368">
                  <c:v>22</c:v>
                </c:pt>
                <c:pt idx="369">
                  <c:v>24</c:v>
                </c:pt>
                <c:pt idx="370">
                  <c:v>26</c:v>
                </c:pt>
                <c:pt idx="371">
                  <c:v>19</c:v>
                </c:pt>
                <c:pt idx="372">
                  <c:v>25</c:v>
                </c:pt>
                <c:pt idx="373">
                  <c:v>26</c:v>
                </c:pt>
                <c:pt idx="374">
                  <c:v>28</c:v>
                </c:pt>
                <c:pt idx="375">
                  <c:v>30</c:v>
                </c:pt>
                <c:pt idx="376">
                  <c:v>26</c:v>
                </c:pt>
                <c:pt idx="377">
                  <c:v>24</c:v>
                </c:pt>
                <c:pt idx="378">
                  <c:v>33</c:v>
                </c:pt>
                <c:pt idx="379">
                  <c:v>32</c:v>
                </c:pt>
                <c:pt idx="380">
                  <c:v>26</c:v>
                </c:pt>
                <c:pt idx="381">
                  <c:v>34</c:v>
                </c:pt>
                <c:pt idx="382">
                  <c:v>32</c:v>
                </c:pt>
                <c:pt idx="383">
                  <c:v>32</c:v>
                </c:pt>
                <c:pt idx="384">
                  <c:v>38</c:v>
                </c:pt>
                <c:pt idx="385">
                  <c:v>29</c:v>
                </c:pt>
                <c:pt idx="386">
                  <c:v>25</c:v>
                </c:pt>
                <c:pt idx="387">
                  <c:v>32</c:v>
                </c:pt>
                <c:pt idx="388">
                  <c:v>28</c:v>
                </c:pt>
                <c:pt idx="389">
                  <c:v>31</c:v>
                </c:pt>
                <c:pt idx="390">
                  <c:v>26</c:v>
                </c:pt>
                <c:pt idx="391">
                  <c:v>26</c:v>
                </c:pt>
                <c:pt idx="392">
                  <c:v>25</c:v>
                </c:pt>
                <c:pt idx="393">
                  <c:v>38</c:v>
                </c:pt>
                <c:pt idx="394">
                  <c:v>31</c:v>
                </c:pt>
                <c:pt idx="395">
                  <c:v>29</c:v>
                </c:pt>
                <c:pt idx="396">
                  <c:v>31</c:v>
                </c:pt>
                <c:pt idx="397">
                  <c:v>33</c:v>
                </c:pt>
                <c:pt idx="398">
                  <c:v>40</c:v>
                </c:pt>
                <c:pt idx="399">
                  <c:v>33</c:v>
                </c:pt>
                <c:pt idx="400">
                  <c:v>45</c:v>
                </c:pt>
                <c:pt idx="401">
                  <c:v>34</c:v>
                </c:pt>
                <c:pt idx="402">
                  <c:v>39</c:v>
                </c:pt>
                <c:pt idx="403">
                  <c:v>35</c:v>
                </c:pt>
                <c:pt idx="404">
                  <c:v>35</c:v>
                </c:pt>
                <c:pt idx="405">
                  <c:v>33</c:v>
                </c:pt>
                <c:pt idx="406">
                  <c:v>28</c:v>
                </c:pt>
                <c:pt idx="407">
                  <c:v>24</c:v>
                </c:pt>
                <c:pt idx="408">
                  <c:v>36</c:v>
                </c:pt>
                <c:pt idx="409">
                  <c:v>35</c:v>
                </c:pt>
                <c:pt idx="410">
                  <c:v>28</c:v>
                </c:pt>
                <c:pt idx="411">
                  <c:v>26</c:v>
                </c:pt>
                <c:pt idx="412">
                  <c:v>35</c:v>
                </c:pt>
                <c:pt idx="413">
                  <c:v>32</c:v>
                </c:pt>
                <c:pt idx="414">
                  <c:v>23</c:v>
                </c:pt>
                <c:pt idx="415">
                  <c:v>32</c:v>
                </c:pt>
                <c:pt idx="416">
                  <c:v>29</c:v>
                </c:pt>
                <c:pt idx="417">
                  <c:v>25</c:v>
                </c:pt>
                <c:pt idx="418">
                  <c:v>35</c:v>
                </c:pt>
                <c:pt idx="419">
                  <c:v>37</c:v>
                </c:pt>
                <c:pt idx="420">
                  <c:v>43</c:v>
                </c:pt>
                <c:pt idx="421">
                  <c:v>32</c:v>
                </c:pt>
                <c:pt idx="422">
                  <c:v>31</c:v>
                </c:pt>
                <c:pt idx="423">
                  <c:v>29</c:v>
                </c:pt>
                <c:pt idx="424">
                  <c:v>41</c:v>
                </c:pt>
                <c:pt idx="425">
                  <c:v>22</c:v>
                </c:pt>
                <c:pt idx="426">
                  <c:v>32</c:v>
                </c:pt>
                <c:pt idx="427">
                  <c:v>35</c:v>
                </c:pt>
                <c:pt idx="428">
                  <c:v>39</c:v>
                </c:pt>
                <c:pt idx="429">
                  <c:v>43</c:v>
                </c:pt>
                <c:pt idx="430">
                  <c:v>28</c:v>
                </c:pt>
                <c:pt idx="431">
                  <c:v>28</c:v>
                </c:pt>
                <c:pt idx="432">
                  <c:v>36</c:v>
                </c:pt>
                <c:pt idx="433">
                  <c:v>35</c:v>
                </c:pt>
                <c:pt idx="434">
                  <c:v>45</c:v>
                </c:pt>
                <c:pt idx="435">
                  <c:v>34</c:v>
                </c:pt>
                <c:pt idx="436">
                  <c:v>29</c:v>
                </c:pt>
                <c:pt idx="437">
                  <c:v>32</c:v>
                </c:pt>
                <c:pt idx="438">
                  <c:v>33</c:v>
                </c:pt>
                <c:pt idx="439">
                  <c:v>38</c:v>
                </c:pt>
                <c:pt idx="440">
                  <c:v>35</c:v>
                </c:pt>
                <c:pt idx="441">
                  <c:v>26</c:v>
                </c:pt>
                <c:pt idx="442">
                  <c:v>24</c:v>
                </c:pt>
                <c:pt idx="443">
                  <c:v>24</c:v>
                </c:pt>
                <c:pt idx="444">
                  <c:v>31</c:v>
                </c:pt>
                <c:pt idx="445">
                  <c:v>26</c:v>
                </c:pt>
                <c:pt idx="446">
                  <c:v>21</c:v>
                </c:pt>
                <c:pt idx="447">
                  <c:v>23</c:v>
                </c:pt>
                <c:pt idx="448">
                  <c:v>28</c:v>
                </c:pt>
                <c:pt idx="449">
                  <c:v>22</c:v>
                </c:pt>
                <c:pt idx="450">
                  <c:v>25</c:v>
                </c:pt>
                <c:pt idx="451">
                  <c:v>23</c:v>
                </c:pt>
                <c:pt idx="452">
                  <c:v>22</c:v>
                </c:pt>
                <c:pt idx="453">
                  <c:v>20</c:v>
                </c:pt>
                <c:pt idx="454">
                  <c:v>32</c:v>
                </c:pt>
                <c:pt idx="455">
                  <c:v>32</c:v>
                </c:pt>
                <c:pt idx="456">
                  <c:v>38</c:v>
                </c:pt>
                <c:pt idx="457">
                  <c:v>40</c:v>
                </c:pt>
                <c:pt idx="458">
                  <c:v>33</c:v>
                </c:pt>
                <c:pt idx="459">
                  <c:v>38</c:v>
                </c:pt>
                <c:pt idx="460">
                  <c:v>31</c:v>
                </c:pt>
                <c:pt idx="461">
                  <c:v>24</c:v>
                </c:pt>
                <c:pt idx="462">
                  <c:v>28</c:v>
                </c:pt>
                <c:pt idx="463">
                  <c:v>30</c:v>
                </c:pt>
                <c:pt idx="464">
                  <c:v>30</c:v>
                </c:pt>
                <c:pt idx="465">
                  <c:v>39</c:v>
                </c:pt>
                <c:pt idx="466">
                  <c:v>25</c:v>
                </c:pt>
                <c:pt idx="467">
                  <c:v>28</c:v>
                </c:pt>
                <c:pt idx="468">
                  <c:v>38</c:v>
                </c:pt>
                <c:pt idx="469">
                  <c:v>37</c:v>
                </c:pt>
                <c:pt idx="470">
                  <c:v>32</c:v>
                </c:pt>
                <c:pt idx="471">
                  <c:v>27</c:v>
                </c:pt>
                <c:pt idx="472">
                  <c:v>32</c:v>
                </c:pt>
                <c:pt idx="473">
                  <c:v>36</c:v>
                </c:pt>
                <c:pt idx="474">
                  <c:v>28</c:v>
                </c:pt>
                <c:pt idx="475">
                  <c:v>31</c:v>
                </c:pt>
                <c:pt idx="476">
                  <c:v>28</c:v>
                </c:pt>
                <c:pt idx="477">
                  <c:v>28</c:v>
                </c:pt>
                <c:pt idx="478">
                  <c:v>36</c:v>
                </c:pt>
                <c:pt idx="479">
                  <c:v>37</c:v>
                </c:pt>
                <c:pt idx="480">
                  <c:v>31</c:v>
                </c:pt>
                <c:pt idx="481">
                  <c:v>27</c:v>
                </c:pt>
                <c:pt idx="482">
                  <c:v>26</c:v>
                </c:pt>
                <c:pt idx="483">
                  <c:v>38</c:v>
                </c:pt>
                <c:pt idx="484">
                  <c:v>34</c:v>
                </c:pt>
                <c:pt idx="485">
                  <c:v>30</c:v>
                </c:pt>
                <c:pt idx="486">
                  <c:v>28</c:v>
                </c:pt>
                <c:pt idx="487">
                  <c:v>47</c:v>
                </c:pt>
                <c:pt idx="488">
                  <c:v>28</c:v>
                </c:pt>
                <c:pt idx="489">
                  <c:v>28</c:v>
                </c:pt>
                <c:pt idx="490">
                  <c:v>32</c:v>
                </c:pt>
                <c:pt idx="491">
                  <c:v>41</c:v>
                </c:pt>
                <c:pt idx="492">
                  <c:v>38</c:v>
                </c:pt>
                <c:pt idx="493">
                  <c:v>28</c:v>
                </c:pt>
                <c:pt idx="494">
                  <c:v>38</c:v>
                </c:pt>
                <c:pt idx="495">
                  <c:v>34</c:v>
                </c:pt>
                <c:pt idx="496">
                  <c:v>23</c:v>
                </c:pt>
                <c:pt idx="497">
                  <c:v>38</c:v>
                </c:pt>
                <c:pt idx="498">
                  <c:v>37</c:v>
                </c:pt>
                <c:pt idx="499">
                  <c:v>27</c:v>
                </c:pt>
                <c:pt idx="500">
                  <c:v>32</c:v>
                </c:pt>
                <c:pt idx="501">
                  <c:v>35</c:v>
                </c:pt>
                <c:pt idx="502">
                  <c:v>42</c:v>
                </c:pt>
                <c:pt idx="503">
                  <c:v>28</c:v>
                </c:pt>
                <c:pt idx="504">
                  <c:v>36</c:v>
                </c:pt>
                <c:pt idx="505">
                  <c:v>28</c:v>
                </c:pt>
                <c:pt idx="506">
                  <c:v>32</c:v>
                </c:pt>
                <c:pt idx="507">
                  <c:v>29</c:v>
                </c:pt>
                <c:pt idx="508">
                  <c:v>30</c:v>
                </c:pt>
                <c:pt idx="509">
                  <c:v>38</c:v>
                </c:pt>
                <c:pt idx="510">
                  <c:v>34</c:v>
                </c:pt>
                <c:pt idx="511">
                  <c:v>42</c:v>
                </c:pt>
                <c:pt idx="512">
                  <c:v>35</c:v>
                </c:pt>
                <c:pt idx="513">
                  <c:v>29</c:v>
                </c:pt>
                <c:pt idx="514">
                  <c:v>29</c:v>
                </c:pt>
                <c:pt idx="515">
                  <c:v>30</c:v>
                </c:pt>
                <c:pt idx="516">
                  <c:v>34</c:v>
                </c:pt>
                <c:pt idx="517">
                  <c:v>30</c:v>
                </c:pt>
                <c:pt idx="518">
                  <c:v>33</c:v>
                </c:pt>
                <c:pt idx="519">
                  <c:v>29</c:v>
                </c:pt>
                <c:pt idx="520">
                  <c:v>34</c:v>
                </c:pt>
                <c:pt idx="521">
                  <c:v>34</c:v>
                </c:pt>
                <c:pt idx="522">
                  <c:v>30</c:v>
                </c:pt>
                <c:pt idx="523">
                  <c:v>33</c:v>
                </c:pt>
                <c:pt idx="524">
                  <c:v>39</c:v>
                </c:pt>
                <c:pt idx="525">
                  <c:v>34</c:v>
                </c:pt>
                <c:pt idx="526">
                  <c:v>27</c:v>
                </c:pt>
                <c:pt idx="527">
                  <c:v>25</c:v>
                </c:pt>
                <c:pt idx="528">
                  <c:v>28</c:v>
                </c:pt>
                <c:pt idx="529">
                  <c:v>29</c:v>
                </c:pt>
                <c:pt idx="530">
                  <c:v>34</c:v>
                </c:pt>
                <c:pt idx="531">
                  <c:v>40</c:v>
                </c:pt>
                <c:pt idx="532">
                  <c:v>30</c:v>
                </c:pt>
                <c:pt idx="533">
                  <c:v>40</c:v>
                </c:pt>
                <c:pt idx="534">
                  <c:v>31</c:v>
                </c:pt>
                <c:pt idx="535">
                  <c:v>40</c:v>
                </c:pt>
                <c:pt idx="536">
                  <c:v>31</c:v>
                </c:pt>
                <c:pt idx="537">
                  <c:v>28</c:v>
                </c:pt>
                <c:pt idx="538">
                  <c:v>35</c:v>
                </c:pt>
                <c:pt idx="539">
                  <c:v>38</c:v>
                </c:pt>
                <c:pt idx="540">
                  <c:v>34</c:v>
                </c:pt>
                <c:pt idx="541">
                  <c:v>38</c:v>
                </c:pt>
                <c:pt idx="542">
                  <c:v>38</c:v>
                </c:pt>
                <c:pt idx="543">
                  <c:v>33</c:v>
                </c:pt>
                <c:pt idx="544">
                  <c:v>34</c:v>
                </c:pt>
                <c:pt idx="545">
                  <c:v>32</c:v>
                </c:pt>
                <c:pt idx="546">
                  <c:v>34</c:v>
                </c:pt>
                <c:pt idx="547">
                  <c:v>34</c:v>
                </c:pt>
                <c:pt idx="548">
                  <c:v>33</c:v>
                </c:pt>
                <c:pt idx="549">
                  <c:v>32</c:v>
                </c:pt>
                <c:pt idx="550">
                  <c:v>48</c:v>
                </c:pt>
                <c:pt idx="551">
                  <c:v>48</c:v>
                </c:pt>
                <c:pt idx="552">
                  <c:v>36</c:v>
                </c:pt>
                <c:pt idx="553">
                  <c:v>38</c:v>
                </c:pt>
                <c:pt idx="554">
                  <c:v>38</c:v>
                </c:pt>
                <c:pt idx="555">
                  <c:v>33</c:v>
                </c:pt>
                <c:pt idx="556">
                  <c:v>34</c:v>
                </c:pt>
                <c:pt idx="557">
                  <c:v>32</c:v>
                </c:pt>
                <c:pt idx="558">
                  <c:v>34</c:v>
                </c:pt>
                <c:pt idx="559">
                  <c:v>22</c:v>
                </c:pt>
                <c:pt idx="560">
                  <c:v>34</c:v>
                </c:pt>
                <c:pt idx="561">
                  <c:v>33</c:v>
                </c:pt>
                <c:pt idx="562">
                  <c:v>32</c:v>
                </c:pt>
                <c:pt idx="563">
                  <c:v>48</c:v>
                </c:pt>
                <c:pt idx="564">
                  <c:v>35</c:v>
                </c:pt>
                <c:pt idx="565">
                  <c:v>48</c:v>
                </c:pt>
                <c:pt idx="566">
                  <c:v>36</c:v>
                </c:pt>
                <c:pt idx="567">
                  <c:v>47</c:v>
                </c:pt>
                <c:pt idx="568">
                  <c:v>36</c:v>
                </c:pt>
                <c:pt idx="569">
                  <c:v>30</c:v>
                </c:pt>
                <c:pt idx="570">
                  <c:v>38</c:v>
                </c:pt>
                <c:pt idx="571">
                  <c:v>35</c:v>
                </c:pt>
                <c:pt idx="572">
                  <c:v>44</c:v>
                </c:pt>
                <c:pt idx="573">
                  <c:v>35</c:v>
                </c:pt>
                <c:pt idx="574">
                  <c:v>27</c:v>
                </c:pt>
                <c:pt idx="575">
                  <c:v>38</c:v>
                </c:pt>
                <c:pt idx="576">
                  <c:v>35</c:v>
                </c:pt>
                <c:pt idx="577">
                  <c:v>24</c:v>
                </c:pt>
                <c:pt idx="578">
                  <c:v>35</c:v>
                </c:pt>
                <c:pt idx="579">
                  <c:v>42</c:v>
                </c:pt>
                <c:pt idx="580">
                  <c:v>34</c:v>
                </c:pt>
                <c:pt idx="581">
                  <c:v>38</c:v>
                </c:pt>
                <c:pt idx="582">
                  <c:v>24</c:v>
                </c:pt>
                <c:pt idx="583">
                  <c:v>32</c:v>
                </c:pt>
                <c:pt idx="584">
                  <c:v>26</c:v>
                </c:pt>
                <c:pt idx="585">
                  <c:v>31.5</c:v>
                </c:pt>
                <c:pt idx="586">
                  <c:v>33</c:v>
                </c:pt>
                <c:pt idx="587">
                  <c:v>31</c:v>
                </c:pt>
                <c:pt idx="588">
                  <c:v>28</c:v>
                </c:pt>
                <c:pt idx="589">
                  <c:v>30</c:v>
                </c:pt>
                <c:pt idx="590">
                  <c:v>42</c:v>
                </c:pt>
                <c:pt idx="591">
                  <c:v>36</c:v>
                </c:pt>
                <c:pt idx="592">
                  <c:v>34</c:v>
                </c:pt>
                <c:pt idx="593">
                  <c:v>40</c:v>
                </c:pt>
                <c:pt idx="594">
                  <c:v>28</c:v>
                </c:pt>
                <c:pt idx="595">
                  <c:v>28</c:v>
                </c:pt>
                <c:pt idx="596">
                  <c:v>40</c:v>
                </c:pt>
                <c:pt idx="597">
                  <c:v>31</c:v>
                </c:pt>
                <c:pt idx="598">
                  <c:v>32</c:v>
                </c:pt>
                <c:pt idx="599">
                  <c:v>37</c:v>
                </c:pt>
                <c:pt idx="600">
                  <c:v>35</c:v>
                </c:pt>
                <c:pt idx="601">
                  <c:v>42</c:v>
                </c:pt>
                <c:pt idx="602">
                  <c:v>31</c:v>
                </c:pt>
                <c:pt idx="603">
                  <c:v>32</c:v>
                </c:pt>
                <c:pt idx="604">
                  <c:v>31</c:v>
                </c:pt>
                <c:pt idx="605">
                  <c:v>32</c:v>
                </c:pt>
                <c:pt idx="606">
                  <c:v>33</c:v>
                </c:pt>
                <c:pt idx="607">
                  <c:v>29</c:v>
                </c:pt>
                <c:pt idx="608">
                  <c:v>28</c:v>
                </c:pt>
                <c:pt idx="609">
                  <c:v>25</c:v>
                </c:pt>
                <c:pt idx="610">
                  <c:v>27</c:v>
                </c:pt>
                <c:pt idx="611">
                  <c:v>28</c:v>
                </c:pt>
                <c:pt idx="612">
                  <c:v>30</c:v>
                </c:pt>
                <c:pt idx="613">
                  <c:v>34</c:v>
                </c:pt>
                <c:pt idx="614">
                  <c:v>31</c:v>
                </c:pt>
                <c:pt idx="615">
                  <c:v>24</c:v>
                </c:pt>
                <c:pt idx="616">
                  <c:v>31</c:v>
                </c:pt>
                <c:pt idx="617">
                  <c:v>25</c:v>
                </c:pt>
                <c:pt idx="618">
                  <c:v>28</c:v>
                </c:pt>
                <c:pt idx="619">
                  <c:v>21</c:v>
                </c:pt>
                <c:pt idx="620">
                  <c:v>35</c:v>
                </c:pt>
                <c:pt idx="621">
                  <c:v>37</c:v>
                </c:pt>
                <c:pt idx="622">
                  <c:v>35</c:v>
                </c:pt>
                <c:pt idx="623">
                  <c:v>37</c:v>
                </c:pt>
                <c:pt idx="624">
                  <c:v>31</c:v>
                </c:pt>
                <c:pt idx="625">
                  <c:v>30</c:v>
                </c:pt>
                <c:pt idx="626">
                  <c:v>35</c:v>
                </c:pt>
                <c:pt idx="627">
                  <c:v>32</c:v>
                </c:pt>
                <c:pt idx="628">
                  <c:v>42</c:v>
                </c:pt>
                <c:pt idx="629">
                  <c:v>32</c:v>
                </c:pt>
                <c:pt idx="630">
                  <c:v>28</c:v>
                </c:pt>
                <c:pt idx="631">
                  <c:v>32</c:v>
                </c:pt>
                <c:pt idx="632">
                  <c:v>34</c:v>
                </c:pt>
                <c:pt idx="633">
                  <c:v>32</c:v>
                </c:pt>
                <c:pt idx="634">
                  <c:v>34</c:v>
                </c:pt>
                <c:pt idx="635">
                  <c:v>29</c:v>
                </c:pt>
                <c:pt idx="636">
                  <c:v>31</c:v>
                </c:pt>
                <c:pt idx="637">
                  <c:v>29</c:v>
                </c:pt>
                <c:pt idx="638">
                  <c:v>34</c:v>
                </c:pt>
                <c:pt idx="639">
                  <c:v>32</c:v>
                </c:pt>
                <c:pt idx="640">
                  <c:v>35</c:v>
                </c:pt>
                <c:pt idx="641">
                  <c:v>29</c:v>
                </c:pt>
                <c:pt idx="642">
                  <c:v>22</c:v>
                </c:pt>
                <c:pt idx="643">
                  <c:v>29</c:v>
                </c:pt>
                <c:pt idx="644">
                  <c:v>34</c:v>
                </c:pt>
                <c:pt idx="645">
                  <c:v>29</c:v>
                </c:pt>
                <c:pt idx="646">
                  <c:v>36</c:v>
                </c:pt>
                <c:pt idx="647">
                  <c:v>34</c:v>
                </c:pt>
                <c:pt idx="648">
                  <c:v>33</c:v>
                </c:pt>
                <c:pt idx="649">
                  <c:v>37</c:v>
                </c:pt>
                <c:pt idx="650">
                  <c:v>26</c:v>
                </c:pt>
                <c:pt idx="651">
                  <c:v>32</c:v>
                </c:pt>
                <c:pt idx="652">
                  <c:v>32</c:v>
                </c:pt>
                <c:pt idx="653">
                  <c:v>30</c:v>
                </c:pt>
                <c:pt idx="654">
                  <c:v>29.5</c:v>
                </c:pt>
                <c:pt idx="655">
                  <c:v>28.3</c:v>
                </c:pt>
                <c:pt idx="656">
                  <c:v>30</c:v>
                </c:pt>
                <c:pt idx="657">
                  <c:v>31</c:v>
                </c:pt>
                <c:pt idx="658">
                  <c:v>26</c:v>
                </c:pt>
                <c:pt idx="659">
                  <c:v>31</c:v>
                </c:pt>
                <c:pt idx="660">
                  <c:v>30</c:v>
                </c:pt>
                <c:pt idx="661">
                  <c:v>32</c:v>
                </c:pt>
                <c:pt idx="662">
                  <c:v>34</c:v>
                </c:pt>
                <c:pt idx="663">
                  <c:v>29</c:v>
                </c:pt>
                <c:pt idx="664">
                  <c:v>33</c:v>
                </c:pt>
                <c:pt idx="665">
                  <c:v>32</c:v>
                </c:pt>
                <c:pt idx="666">
                  <c:v>35</c:v>
                </c:pt>
                <c:pt idx="667">
                  <c:v>247</c:v>
                </c:pt>
                <c:pt idx="668">
                  <c:v>28</c:v>
                </c:pt>
                <c:pt idx="669">
                  <c:v>31</c:v>
                </c:pt>
                <c:pt idx="670">
                  <c:v>31</c:v>
                </c:pt>
                <c:pt idx="671">
                  <c:v>41</c:v>
                </c:pt>
                <c:pt idx="672">
                  <c:v>32</c:v>
                </c:pt>
                <c:pt idx="673">
                  <c:v>31</c:v>
                </c:pt>
                <c:pt idx="674">
                  <c:v>41</c:v>
                </c:pt>
                <c:pt idx="675">
                  <c:v>32</c:v>
                </c:pt>
                <c:pt idx="676">
                  <c:v>31</c:v>
                </c:pt>
                <c:pt idx="677">
                  <c:v>41</c:v>
                </c:pt>
                <c:pt idx="678">
                  <c:v>32</c:v>
                </c:pt>
                <c:pt idx="679">
                  <c:v>29</c:v>
                </c:pt>
                <c:pt idx="680">
                  <c:v>41</c:v>
                </c:pt>
                <c:pt idx="681">
                  <c:v>28</c:v>
                </c:pt>
                <c:pt idx="682">
                  <c:v>33</c:v>
                </c:pt>
                <c:pt idx="683">
                  <c:v>34</c:v>
                </c:pt>
                <c:pt idx="684">
                  <c:v>41</c:v>
                </c:pt>
                <c:pt idx="685">
                  <c:v>41</c:v>
                </c:pt>
                <c:pt idx="686">
                  <c:v>41</c:v>
                </c:pt>
                <c:pt idx="687">
                  <c:v>32</c:v>
                </c:pt>
                <c:pt idx="688">
                  <c:v>40</c:v>
                </c:pt>
                <c:pt idx="689">
                  <c:v>29</c:v>
                </c:pt>
                <c:pt idx="690">
                  <c:v>42</c:v>
                </c:pt>
                <c:pt idx="691">
                  <c:v>36</c:v>
                </c:pt>
                <c:pt idx="692">
                  <c:v>42</c:v>
                </c:pt>
                <c:pt idx="693">
                  <c:v>28</c:v>
                </c:pt>
                <c:pt idx="694">
                  <c:v>30</c:v>
                </c:pt>
                <c:pt idx="695">
                  <c:v>36</c:v>
                </c:pt>
                <c:pt idx="696">
                  <c:v>34</c:v>
                </c:pt>
                <c:pt idx="697">
                  <c:v>28</c:v>
                </c:pt>
                <c:pt idx="698">
                  <c:v>35</c:v>
                </c:pt>
                <c:pt idx="699">
                  <c:v>36</c:v>
                </c:pt>
                <c:pt idx="700">
                  <c:v>33</c:v>
                </c:pt>
                <c:pt idx="701">
                  <c:v>33</c:v>
                </c:pt>
                <c:pt idx="702">
                  <c:v>32</c:v>
                </c:pt>
                <c:pt idx="703">
                  <c:v>31</c:v>
                </c:pt>
                <c:pt idx="704">
                  <c:v>35</c:v>
                </c:pt>
                <c:pt idx="705">
                  <c:v>34</c:v>
                </c:pt>
                <c:pt idx="706">
                  <c:v>39</c:v>
                </c:pt>
                <c:pt idx="707">
                  <c:v>32</c:v>
                </c:pt>
                <c:pt idx="708">
                  <c:v>28</c:v>
                </c:pt>
                <c:pt idx="709">
                  <c:v>38</c:v>
                </c:pt>
                <c:pt idx="710">
                  <c:v>40</c:v>
                </c:pt>
                <c:pt idx="711">
                  <c:v>37</c:v>
                </c:pt>
                <c:pt idx="712">
                  <c:v>29</c:v>
                </c:pt>
                <c:pt idx="713">
                  <c:v>27</c:v>
                </c:pt>
                <c:pt idx="714">
                  <c:v>49</c:v>
                </c:pt>
                <c:pt idx="715">
                  <c:v>35</c:v>
                </c:pt>
                <c:pt idx="716">
                  <c:v>37</c:v>
                </c:pt>
                <c:pt idx="717">
                  <c:v>32</c:v>
                </c:pt>
                <c:pt idx="718">
                  <c:v>30</c:v>
                </c:pt>
                <c:pt idx="719">
                  <c:v>39</c:v>
                </c:pt>
                <c:pt idx="720">
                  <c:v>35</c:v>
                </c:pt>
                <c:pt idx="721">
                  <c:v>35</c:v>
                </c:pt>
                <c:pt idx="722">
                  <c:v>34</c:v>
                </c:pt>
                <c:pt idx="723">
                  <c:v>45</c:v>
                </c:pt>
                <c:pt idx="724">
                  <c:v>38</c:v>
                </c:pt>
                <c:pt idx="725">
                  <c:v>31</c:v>
                </c:pt>
                <c:pt idx="726">
                  <c:v>32</c:v>
                </c:pt>
                <c:pt idx="727">
                  <c:v>32</c:v>
                </c:pt>
                <c:pt idx="728">
                  <c:v>34</c:v>
                </c:pt>
                <c:pt idx="729">
                  <c:v>32</c:v>
                </c:pt>
                <c:pt idx="730">
                  <c:v>34</c:v>
                </c:pt>
                <c:pt idx="731">
                  <c:v>39</c:v>
                </c:pt>
                <c:pt idx="732">
                  <c:v>33</c:v>
                </c:pt>
                <c:pt idx="733">
                  <c:v>40</c:v>
                </c:pt>
                <c:pt idx="734">
                  <c:v>39</c:v>
                </c:pt>
                <c:pt idx="735">
                  <c:v>42</c:v>
                </c:pt>
                <c:pt idx="736">
                  <c:v>37</c:v>
                </c:pt>
                <c:pt idx="737">
                  <c:v>40</c:v>
                </c:pt>
                <c:pt idx="738">
                  <c:v>31</c:v>
                </c:pt>
                <c:pt idx="739">
                  <c:v>35</c:v>
                </c:pt>
                <c:pt idx="740">
                  <c:v>34</c:v>
                </c:pt>
                <c:pt idx="741">
                  <c:v>33</c:v>
                </c:pt>
                <c:pt idx="742">
                  <c:v>43</c:v>
                </c:pt>
                <c:pt idx="743">
                  <c:v>39</c:v>
                </c:pt>
                <c:pt idx="744">
                  <c:v>35</c:v>
                </c:pt>
                <c:pt idx="745">
                  <c:v>49</c:v>
                </c:pt>
                <c:pt idx="746">
                  <c:v>28</c:v>
                </c:pt>
                <c:pt idx="747">
                  <c:v>34</c:v>
                </c:pt>
                <c:pt idx="748">
                  <c:v>24</c:v>
                </c:pt>
                <c:pt idx="749">
                  <c:v>30</c:v>
                </c:pt>
                <c:pt idx="750">
                  <c:v>32</c:v>
                </c:pt>
                <c:pt idx="751">
                  <c:v>33</c:v>
                </c:pt>
                <c:pt idx="752">
                  <c:v>35</c:v>
                </c:pt>
                <c:pt idx="753">
                  <c:v>37</c:v>
                </c:pt>
                <c:pt idx="754">
                  <c:v>29</c:v>
                </c:pt>
                <c:pt idx="755">
                  <c:v>40</c:v>
                </c:pt>
                <c:pt idx="756">
                  <c:v>44</c:v>
                </c:pt>
                <c:pt idx="757">
                  <c:v>33</c:v>
                </c:pt>
                <c:pt idx="758">
                  <c:v>36</c:v>
                </c:pt>
                <c:pt idx="759">
                  <c:v>36</c:v>
                </c:pt>
                <c:pt idx="760">
                  <c:v>39</c:v>
                </c:pt>
                <c:pt idx="761">
                  <c:v>29</c:v>
                </c:pt>
                <c:pt idx="762">
                  <c:v>42</c:v>
                </c:pt>
                <c:pt idx="763">
                  <c:v>40</c:v>
                </c:pt>
                <c:pt idx="764">
                  <c:v>39</c:v>
                </c:pt>
                <c:pt idx="765">
                  <c:v>33</c:v>
                </c:pt>
                <c:pt idx="766">
                  <c:v>20</c:v>
                </c:pt>
                <c:pt idx="767">
                  <c:v>36</c:v>
                </c:pt>
                <c:pt idx="768">
                  <c:v>30</c:v>
                </c:pt>
                <c:pt idx="769">
                  <c:v>43</c:v>
                </c:pt>
                <c:pt idx="770">
                  <c:v>31</c:v>
                </c:pt>
                <c:pt idx="771">
                  <c:v>29</c:v>
                </c:pt>
                <c:pt idx="772">
                  <c:v>28</c:v>
                </c:pt>
                <c:pt idx="773">
                  <c:v>35</c:v>
                </c:pt>
                <c:pt idx="774">
                  <c:v>32</c:v>
                </c:pt>
                <c:pt idx="775">
                  <c:v>35</c:v>
                </c:pt>
                <c:pt idx="776">
                  <c:v>33</c:v>
                </c:pt>
                <c:pt idx="777">
                  <c:v>29</c:v>
                </c:pt>
                <c:pt idx="778">
                  <c:v>31</c:v>
                </c:pt>
                <c:pt idx="779">
                  <c:v>34</c:v>
                </c:pt>
                <c:pt idx="780">
                  <c:v>31</c:v>
                </c:pt>
                <c:pt idx="781">
                  <c:v>32</c:v>
                </c:pt>
                <c:pt idx="782">
                  <c:v>32</c:v>
                </c:pt>
                <c:pt idx="783">
                  <c:v>41</c:v>
                </c:pt>
                <c:pt idx="784">
                  <c:v>27</c:v>
                </c:pt>
                <c:pt idx="785">
                  <c:v>32</c:v>
                </c:pt>
                <c:pt idx="786">
                  <c:v>29</c:v>
                </c:pt>
                <c:pt idx="787">
                  <c:v>37</c:v>
                </c:pt>
                <c:pt idx="788">
                  <c:v>38</c:v>
                </c:pt>
                <c:pt idx="789">
                  <c:v>35</c:v>
                </c:pt>
                <c:pt idx="790">
                  <c:v>37</c:v>
                </c:pt>
                <c:pt idx="791">
                  <c:v>37</c:v>
                </c:pt>
                <c:pt idx="792">
                  <c:v>36</c:v>
                </c:pt>
                <c:pt idx="793">
                  <c:v>34</c:v>
                </c:pt>
                <c:pt idx="794">
                  <c:v>42</c:v>
                </c:pt>
                <c:pt idx="795">
                  <c:v>29</c:v>
                </c:pt>
                <c:pt idx="796">
                  <c:v>37</c:v>
                </c:pt>
                <c:pt idx="797">
                  <c:v>28</c:v>
                </c:pt>
                <c:pt idx="798">
                  <c:v>32</c:v>
                </c:pt>
                <c:pt idx="799">
                  <c:v>36</c:v>
                </c:pt>
                <c:pt idx="800">
                  <c:v>37</c:v>
                </c:pt>
                <c:pt idx="801">
                  <c:v>34</c:v>
                </c:pt>
                <c:pt idx="802">
                  <c:v>34</c:v>
                </c:pt>
                <c:pt idx="803">
                  <c:v>38</c:v>
                </c:pt>
                <c:pt idx="804">
                  <c:v>38</c:v>
                </c:pt>
                <c:pt idx="805">
                  <c:v>38</c:v>
                </c:pt>
                <c:pt idx="806">
                  <c:v>38</c:v>
                </c:pt>
                <c:pt idx="807">
                  <c:v>31.3</c:v>
                </c:pt>
                <c:pt idx="808">
                  <c:v>36</c:v>
                </c:pt>
                <c:pt idx="809">
                  <c:v>32</c:v>
                </c:pt>
                <c:pt idx="810">
                  <c:v>30</c:v>
                </c:pt>
                <c:pt idx="811">
                  <c:v>27</c:v>
                </c:pt>
                <c:pt idx="812">
                  <c:v>37.700000000000003</c:v>
                </c:pt>
                <c:pt idx="813">
                  <c:v>36</c:v>
                </c:pt>
                <c:pt idx="814">
                  <c:v>39</c:v>
                </c:pt>
                <c:pt idx="815">
                  <c:v>41</c:v>
                </c:pt>
                <c:pt idx="816">
                  <c:v>33</c:v>
                </c:pt>
                <c:pt idx="817">
                  <c:v>37.700000000000003</c:v>
                </c:pt>
                <c:pt idx="818">
                  <c:v>33</c:v>
                </c:pt>
                <c:pt idx="819">
                  <c:v>32</c:v>
                </c:pt>
                <c:pt idx="820">
                  <c:v>38</c:v>
                </c:pt>
                <c:pt idx="821">
                  <c:v>35</c:v>
                </c:pt>
                <c:pt idx="822">
                  <c:v>36</c:v>
                </c:pt>
                <c:pt idx="823">
                  <c:v>29</c:v>
                </c:pt>
                <c:pt idx="824">
                  <c:v>32</c:v>
                </c:pt>
                <c:pt idx="825">
                  <c:v>36</c:v>
                </c:pt>
                <c:pt idx="826">
                  <c:v>39</c:v>
                </c:pt>
                <c:pt idx="827">
                  <c:v>34</c:v>
                </c:pt>
                <c:pt idx="828">
                  <c:v>33</c:v>
                </c:pt>
                <c:pt idx="829">
                  <c:v>36</c:v>
                </c:pt>
                <c:pt idx="830">
                  <c:v>35</c:v>
                </c:pt>
                <c:pt idx="831">
                  <c:v>40</c:v>
                </c:pt>
                <c:pt idx="832">
                  <c:v>34</c:v>
                </c:pt>
                <c:pt idx="833">
                  <c:v>35</c:v>
                </c:pt>
                <c:pt idx="834">
                  <c:v>36</c:v>
                </c:pt>
                <c:pt idx="835">
                  <c:v>45</c:v>
                </c:pt>
                <c:pt idx="836">
                  <c:v>36</c:v>
                </c:pt>
                <c:pt idx="837">
                  <c:v>35</c:v>
                </c:pt>
                <c:pt idx="838">
                  <c:v>33</c:v>
                </c:pt>
                <c:pt idx="839">
                  <c:v>32</c:v>
                </c:pt>
                <c:pt idx="840">
                  <c:v>27</c:v>
                </c:pt>
                <c:pt idx="841">
                  <c:v>30</c:v>
                </c:pt>
                <c:pt idx="842">
                  <c:v>33</c:v>
                </c:pt>
                <c:pt idx="843">
                  <c:v>33</c:v>
                </c:pt>
                <c:pt idx="844">
                  <c:v>42</c:v>
                </c:pt>
                <c:pt idx="845">
                  <c:v>32</c:v>
                </c:pt>
                <c:pt idx="846">
                  <c:v>32</c:v>
                </c:pt>
                <c:pt idx="847">
                  <c:v>35</c:v>
                </c:pt>
                <c:pt idx="848">
                  <c:v>32</c:v>
                </c:pt>
                <c:pt idx="849">
                  <c:v>28</c:v>
                </c:pt>
                <c:pt idx="850">
                  <c:v>40</c:v>
                </c:pt>
                <c:pt idx="851">
                  <c:v>26</c:v>
                </c:pt>
                <c:pt idx="852">
                  <c:v>14.2</c:v>
                </c:pt>
                <c:pt idx="853">
                  <c:v>19.3</c:v>
                </c:pt>
                <c:pt idx="854">
                  <c:v>18.399999999999999</c:v>
                </c:pt>
                <c:pt idx="855">
                  <c:v>21.2</c:v>
                </c:pt>
                <c:pt idx="856">
                  <c:v>18.100000000000001</c:v>
                </c:pt>
                <c:pt idx="857">
                  <c:v>33</c:v>
                </c:pt>
                <c:pt idx="858">
                  <c:v>31</c:v>
                </c:pt>
                <c:pt idx="859">
                  <c:v>41</c:v>
                </c:pt>
                <c:pt idx="860">
                  <c:v>36</c:v>
                </c:pt>
                <c:pt idx="861">
                  <c:v>31</c:v>
                </c:pt>
                <c:pt idx="862">
                  <c:v>33</c:v>
                </c:pt>
                <c:pt idx="863">
                  <c:v>31</c:v>
                </c:pt>
                <c:pt idx="864">
                  <c:v>39</c:v>
                </c:pt>
                <c:pt idx="865">
                  <c:v>31.9</c:v>
                </c:pt>
                <c:pt idx="866">
                  <c:v>32</c:v>
                </c:pt>
                <c:pt idx="867">
                  <c:v>36</c:v>
                </c:pt>
                <c:pt idx="868">
                  <c:v>34</c:v>
                </c:pt>
                <c:pt idx="869">
                  <c:v>31</c:v>
                </c:pt>
                <c:pt idx="870">
                  <c:v>31</c:v>
                </c:pt>
                <c:pt idx="871">
                  <c:v>38</c:v>
                </c:pt>
                <c:pt idx="872">
                  <c:v>43</c:v>
                </c:pt>
                <c:pt idx="873">
                  <c:v>32</c:v>
                </c:pt>
                <c:pt idx="874">
                  <c:v>29</c:v>
                </c:pt>
                <c:pt idx="875">
                  <c:v>28</c:v>
                </c:pt>
                <c:pt idx="876">
                  <c:v>26</c:v>
                </c:pt>
                <c:pt idx="877">
                  <c:v>34</c:v>
                </c:pt>
                <c:pt idx="878">
                  <c:v>33</c:v>
                </c:pt>
                <c:pt idx="879">
                  <c:v>31</c:v>
                </c:pt>
                <c:pt idx="880">
                  <c:v>34</c:v>
                </c:pt>
                <c:pt idx="881">
                  <c:v>32</c:v>
                </c:pt>
                <c:pt idx="882">
                  <c:v>29</c:v>
                </c:pt>
                <c:pt idx="883">
                  <c:v>29</c:v>
                </c:pt>
                <c:pt idx="884">
                  <c:v>30</c:v>
                </c:pt>
                <c:pt idx="885">
                  <c:v>32</c:v>
                </c:pt>
                <c:pt idx="886">
                  <c:v>33</c:v>
                </c:pt>
                <c:pt idx="887">
                  <c:v>34</c:v>
                </c:pt>
                <c:pt idx="888">
                  <c:v>35</c:v>
                </c:pt>
                <c:pt idx="889">
                  <c:v>31</c:v>
                </c:pt>
                <c:pt idx="890">
                  <c:v>25</c:v>
                </c:pt>
                <c:pt idx="891">
                  <c:v>40</c:v>
                </c:pt>
                <c:pt idx="892">
                  <c:v>38</c:v>
                </c:pt>
                <c:pt idx="893">
                  <c:v>37</c:v>
                </c:pt>
                <c:pt idx="894">
                  <c:v>28</c:v>
                </c:pt>
                <c:pt idx="895">
                  <c:v>36</c:v>
                </c:pt>
                <c:pt idx="896">
                  <c:v>32</c:v>
                </c:pt>
                <c:pt idx="897">
                  <c:v>38</c:v>
                </c:pt>
                <c:pt idx="898">
                  <c:v>36</c:v>
                </c:pt>
                <c:pt idx="899">
                  <c:v>32</c:v>
                </c:pt>
                <c:pt idx="900">
                  <c:v>40</c:v>
                </c:pt>
                <c:pt idx="901">
                  <c:v>32</c:v>
                </c:pt>
                <c:pt idx="902">
                  <c:v>33</c:v>
                </c:pt>
                <c:pt idx="903">
                  <c:v>35</c:v>
                </c:pt>
                <c:pt idx="904">
                  <c:v>28</c:v>
                </c:pt>
                <c:pt idx="905">
                  <c:v>31</c:v>
                </c:pt>
                <c:pt idx="906">
                  <c:v>28</c:v>
                </c:pt>
                <c:pt idx="907">
                  <c:v>32</c:v>
                </c:pt>
                <c:pt idx="908">
                  <c:v>30</c:v>
                </c:pt>
                <c:pt idx="909">
                  <c:v>29</c:v>
                </c:pt>
                <c:pt idx="910">
                  <c:v>41</c:v>
                </c:pt>
                <c:pt idx="911">
                  <c:v>34</c:v>
                </c:pt>
                <c:pt idx="912">
                  <c:v>31</c:v>
                </c:pt>
                <c:pt idx="913">
                  <c:v>30</c:v>
                </c:pt>
                <c:pt idx="914">
                  <c:v>36</c:v>
                </c:pt>
                <c:pt idx="915">
                  <c:v>29</c:v>
                </c:pt>
                <c:pt idx="916">
                  <c:v>38</c:v>
                </c:pt>
                <c:pt idx="917">
                  <c:v>31</c:v>
                </c:pt>
                <c:pt idx="918">
                  <c:v>30</c:v>
                </c:pt>
                <c:pt idx="919">
                  <c:v>45</c:v>
                </c:pt>
                <c:pt idx="920">
                  <c:v>37</c:v>
                </c:pt>
                <c:pt idx="921">
                  <c:v>36</c:v>
                </c:pt>
                <c:pt idx="922">
                  <c:v>35</c:v>
                </c:pt>
                <c:pt idx="923">
                  <c:v>38</c:v>
                </c:pt>
                <c:pt idx="924">
                  <c:v>31</c:v>
                </c:pt>
                <c:pt idx="925">
                  <c:v>32</c:v>
                </c:pt>
                <c:pt idx="926">
                  <c:v>32</c:v>
                </c:pt>
                <c:pt idx="927">
                  <c:v>36</c:v>
                </c:pt>
                <c:pt idx="928">
                  <c:v>30</c:v>
                </c:pt>
                <c:pt idx="929">
                  <c:v>38</c:v>
                </c:pt>
                <c:pt idx="930">
                  <c:v>34</c:v>
                </c:pt>
                <c:pt idx="931">
                  <c:v>30</c:v>
                </c:pt>
                <c:pt idx="932">
                  <c:v>32</c:v>
                </c:pt>
                <c:pt idx="933">
                  <c:v>36</c:v>
                </c:pt>
                <c:pt idx="934">
                  <c:v>38</c:v>
                </c:pt>
                <c:pt idx="935">
                  <c:v>35</c:v>
                </c:pt>
                <c:pt idx="936">
                  <c:v>45</c:v>
                </c:pt>
                <c:pt idx="937">
                  <c:v>45</c:v>
                </c:pt>
                <c:pt idx="938">
                  <c:v>39</c:v>
                </c:pt>
                <c:pt idx="939">
                  <c:v>41</c:v>
                </c:pt>
                <c:pt idx="940">
                  <c:v>23</c:v>
                </c:pt>
                <c:pt idx="941">
                  <c:v>31</c:v>
                </c:pt>
                <c:pt idx="942">
                  <c:v>30</c:v>
                </c:pt>
                <c:pt idx="943">
                  <c:v>36</c:v>
                </c:pt>
                <c:pt idx="944">
                  <c:v>34</c:v>
                </c:pt>
                <c:pt idx="945">
                  <c:v>35</c:v>
                </c:pt>
                <c:pt idx="946">
                  <c:v>35</c:v>
                </c:pt>
                <c:pt idx="947">
                  <c:v>35</c:v>
                </c:pt>
                <c:pt idx="948">
                  <c:v>32</c:v>
                </c:pt>
                <c:pt idx="949">
                  <c:v>31</c:v>
                </c:pt>
                <c:pt idx="950">
                  <c:v>31</c:v>
                </c:pt>
                <c:pt idx="951">
                  <c:v>30</c:v>
                </c:pt>
                <c:pt idx="952">
                  <c:v>31</c:v>
                </c:pt>
                <c:pt idx="953">
                  <c:v>38</c:v>
                </c:pt>
                <c:pt idx="954">
                  <c:v>31</c:v>
                </c:pt>
                <c:pt idx="955">
                  <c:v>36</c:v>
                </c:pt>
                <c:pt idx="956">
                  <c:v>33</c:v>
                </c:pt>
                <c:pt idx="957">
                  <c:v>30</c:v>
                </c:pt>
                <c:pt idx="958">
                  <c:v>39</c:v>
                </c:pt>
                <c:pt idx="959">
                  <c:v>38</c:v>
                </c:pt>
                <c:pt idx="960">
                  <c:v>42</c:v>
                </c:pt>
                <c:pt idx="961">
                  <c:v>40</c:v>
                </c:pt>
                <c:pt idx="962">
                  <c:v>32</c:v>
                </c:pt>
                <c:pt idx="963">
                  <c:v>30</c:v>
                </c:pt>
                <c:pt idx="964">
                  <c:v>34</c:v>
                </c:pt>
                <c:pt idx="965">
                  <c:v>34</c:v>
                </c:pt>
                <c:pt idx="966">
                  <c:v>42</c:v>
                </c:pt>
                <c:pt idx="967">
                  <c:v>34</c:v>
                </c:pt>
                <c:pt idx="968">
                  <c:v>41</c:v>
                </c:pt>
                <c:pt idx="969">
                  <c:v>36</c:v>
                </c:pt>
                <c:pt idx="970">
                  <c:v>32</c:v>
                </c:pt>
                <c:pt idx="971">
                  <c:v>32</c:v>
                </c:pt>
                <c:pt idx="972">
                  <c:v>29</c:v>
                </c:pt>
                <c:pt idx="973">
                  <c:v>35</c:v>
                </c:pt>
                <c:pt idx="974">
                  <c:v>32</c:v>
                </c:pt>
                <c:pt idx="975">
                  <c:v>32</c:v>
                </c:pt>
                <c:pt idx="976">
                  <c:v>28</c:v>
                </c:pt>
                <c:pt idx="977">
                  <c:v>30</c:v>
                </c:pt>
                <c:pt idx="978">
                  <c:v>34</c:v>
                </c:pt>
                <c:pt idx="979">
                  <c:v>34</c:v>
                </c:pt>
                <c:pt idx="980">
                  <c:v>29</c:v>
                </c:pt>
                <c:pt idx="981">
                  <c:v>31</c:v>
                </c:pt>
                <c:pt idx="982">
                  <c:v>39</c:v>
                </c:pt>
                <c:pt idx="983">
                  <c:v>27</c:v>
                </c:pt>
                <c:pt idx="984">
                  <c:v>37</c:v>
                </c:pt>
                <c:pt idx="985">
                  <c:v>46</c:v>
                </c:pt>
                <c:pt idx="986">
                  <c:v>29</c:v>
                </c:pt>
                <c:pt idx="987">
                  <c:v>38</c:v>
                </c:pt>
                <c:pt idx="988">
                  <c:v>48</c:v>
                </c:pt>
                <c:pt idx="989">
                  <c:v>34</c:v>
                </c:pt>
                <c:pt idx="990">
                  <c:v>42</c:v>
                </c:pt>
                <c:pt idx="991">
                  <c:v>34</c:v>
                </c:pt>
                <c:pt idx="992">
                  <c:v>38</c:v>
                </c:pt>
                <c:pt idx="993">
                  <c:v>35</c:v>
                </c:pt>
                <c:pt idx="994">
                  <c:v>35</c:v>
                </c:pt>
                <c:pt idx="995">
                  <c:v>35</c:v>
                </c:pt>
                <c:pt idx="996">
                  <c:v>35</c:v>
                </c:pt>
                <c:pt idx="997">
                  <c:v>35</c:v>
                </c:pt>
                <c:pt idx="998">
                  <c:v>25</c:v>
                </c:pt>
                <c:pt idx="999">
                  <c:v>36</c:v>
                </c:pt>
                <c:pt idx="1000">
                  <c:v>32</c:v>
                </c:pt>
                <c:pt idx="1001">
                  <c:v>39</c:v>
                </c:pt>
                <c:pt idx="1002">
                  <c:v>35</c:v>
                </c:pt>
                <c:pt idx="1003">
                  <c:v>36</c:v>
                </c:pt>
                <c:pt idx="1004">
                  <c:v>38</c:v>
                </c:pt>
                <c:pt idx="1005">
                  <c:v>34</c:v>
                </c:pt>
                <c:pt idx="1006">
                  <c:v>38</c:v>
                </c:pt>
                <c:pt idx="1007">
                  <c:v>31</c:v>
                </c:pt>
                <c:pt idx="1008">
                  <c:v>35</c:v>
                </c:pt>
                <c:pt idx="1009">
                  <c:v>33</c:v>
                </c:pt>
                <c:pt idx="1010">
                  <c:v>42</c:v>
                </c:pt>
                <c:pt idx="1011">
                  <c:v>32</c:v>
                </c:pt>
                <c:pt idx="1012">
                  <c:v>38</c:v>
                </c:pt>
                <c:pt idx="1013">
                  <c:v>33</c:v>
                </c:pt>
                <c:pt idx="1014">
                  <c:v>26</c:v>
                </c:pt>
                <c:pt idx="1015">
                  <c:v>37</c:v>
                </c:pt>
                <c:pt idx="1016">
                  <c:v>48</c:v>
                </c:pt>
                <c:pt idx="1017">
                  <c:v>35</c:v>
                </c:pt>
                <c:pt idx="1018">
                  <c:v>37</c:v>
                </c:pt>
                <c:pt idx="1019">
                  <c:v>39</c:v>
                </c:pt>
                <c:pt idx="1020">
                  <c:v>32</c:v>
                </c:pt>
                <c:pt idx="1021">
                  <c:v>38</c:v>
                </c:pt>
                <c:pt idx="1022">
                  <c:v>47</c:v>
                </c:pt>
                <c:pt idx="1023">
                  <c:v>40</c:v>
                </c:pt>
                <c:pt idx="1024">
                  <c:v>29</c:v>
                </c:pt>
                <c:pt idx="1025">
                  <c:v>28</c:v>
                </c:pt>
                <c:pt idx="1026">
                  <c:v>39</c:v>
                </c:pt>
                <c:pt idx="1027">
                  <c:v>35</c:v>
                </c:pt>
                <c:pt idx="1028">
                  <c:v>38</c:v>
                </c:pt>
                <c:pt idx="1029">
                  <c:v>41</c:v>
                </c:pt>
                <c:pt idx="1030">
                  <c:v>36</c:v>
                </c:pt>
                <c:pt idx="1031">
                  <c:v>52</c:v>
                </c:pt>
                <c:pt idx="1032">
                  <c:v>45</c:v>
                </c:pt>
                <c:pt idx="1033">
                  <c:v>37</c:v>
                </c:pt>
                <c:pt idx="1034">
                  <c:v>35</c:v>
                </c:pt>
                <c:pt idx="1035">
                  <c:v>45</c:v>
                </c:pt>
                <c:pt idx="1036">
                  <c:v>38</c:v>
                </c:pt>
                <c:pt idx="1037">
                  <c:v>45</c:v>
                </c:pt>
                <c:pt idx="1038">
                  <c:v>43</c:v>
                </c:pt>
                <c:pt idx="1039">
                  <c:v>43</c:v>
                </c:pt>
                <c:pt idx="1040">
                  <c:v>40</c:v>
                </c:pt>
                <c:pt idx="1041">
                  <c:v>36</c:v>
                </c:pt>
                <c:pt idx="1042">
                  <c:v>35</c:v>
                </c:pt>
                <c:pt idx="1043">
                  <c:v>46</c:v>
                </c:pt>
                <c:pt idx="1044">
                  <c:v>38</c:v>
                </c:pt>
                <c:pt idx="1045">
                  <c:v>35</c:v>
                </c:pt>
                <c:pt idx="1046">
                  <c:v>36</c:v>
                </c:pt>
                <c:pt idx="1047">
                  <c:v>38</c:v>
                </c:pt>
                <c:pt idx="1048">
                  <c:v>42</c:v>
                </c:pt>
                <c:pt idx="1049">
                  <c:v>36</c:v>
                </c:pt>
                <c:pt idx="1050">
                  <c:v>37.6</c:v>
                </c:pt>
                <c:pt idx="1051">
                  <c:v>38</c:v>
                </c:pt>
                <c:pt idx="1052">
                  <c:v>32</c:v>
                </c:pt>
                <c:pt idx="1053">
                  <c:v>38</c:v>
                </c:pt>
                <c:pt idx="1054">
                  <c:v>39</c:v>
                </c:pt>
                <c:pt idx="1055">
                  <c:v>35</c:v>
                </c:pt>
                <c:pt idx="1056">
                  <c:v>38</c:v>
                </c:pt>
                <c:pt idx="1057">
                  <c:v>31</c:v>
                </c:pt>
                <c:pt idx="1058">
                  <c:v>34</c:v>
                </c:pt>
                <c:pt idx="1059">
                  <c:v>44</c:v>
                </c:pt>
                <c:pt idx="1060">
                  <c:v>40</c:v>
                </c:pt>
                <c:pt idx="1061">
                  <c:v>38</c:v>
                </c:pt>
                <c:pt idx="1062">
                  <c:v>37</c:v>
                </c:pt>
                <c:pt idx="1063">
                  <c:v>39</c:v>
                </c:pt>
                <c:pt idx="1064">
                  <c:v>36</c:v>
                </c:pt>
                <c:pt idx="1065">
                  <c:v>33</c:v>
                </c:pt>
                <c:pt idx="1066">
                  <c:v>30</c:v>
                </c:pt>
                <c:pt idx="1067">
                  <c:v>35</c:v>
                </c:pt>
                <c:pt idx="1068">
                  <c:v>36</c:v>
                </c:pt>
                <c:pt idx="1069">
                  <c:v>36</c:v>
                </c:pt>
                <c:pt idx="1070">
                  <c:v>39</c:v>
                </c:pt>
                <c:pt idx="1071">
                  <c:v>36</c:v>
                </c:pt>
                <c:pt idx="1072">
                  <c:v>32</c:v>
                </c:pt>
                <c:pt idx="1073">
                  <c:v>34</c:v>
                </c:pt>
                <c:pt idx="1074">
                  <c:v>32</c:v>
                </c:pt>
                <c:pt idx="1075">
                  <c:v>32</c:v>
                </c:pt>
                <c:pt idx="1076">
                  <c:v>29</c:v>
                </c:pt>
                <c:pt idx="1077">
                  <c:v>37</c:v>
                </c:pt>
                <c:pt idx="1078">
                  <c:v>33</c:v>
                </c:pt>
                <c:pt idx="1079">
                  <c:v>33</c:v>
                </c:pt>
                <c:pt idx="1080">
                  <c:v>32</c:v>
                </c:pt>
                <c:pt idx="1081">
                  <c:v>36</c:v>
                </c:pt>
                <c:pt idx="1082">
                  <c:v>38</c:v>
                </c:pt>
                <c:pt idx="1083">
                  <c:v>37</c:v>
                </c:pt>
                <c:pt idx="1084">
                  <c:v>38</c:v>
                </c:pt>
                <c:pt idx="1085">
                  <c:v>48</c:v>
                </c:pt>
                <c:pt idx="1086">
                  <c:v>36</c:v>
                </c:pt>
                <c:pt idx="1087">
                  <c:v>42</c:v>
                </c:pt>
                <c:pt idx="1088">
                  <c:v>38</c:v>
                </c:pt>
                <c:pt idx="1089">
                  <c:v>43</c:v>
                </c:pt>
                <c:pt idx="1090">
                  <c:v>40</c:v>
                </c:pt>
                <c:pt idx="1091">
                  <c:v>36</c:v>
                </c:pt>
                <c:pt idx="1092">
                  <c:v>39</c:v>
                </c:pt>
                <c:pt idx="1093">
                  <c:v>44</c:v>
                </c:pt>
                <c:pt idx="1094">
                  <c:v>26</c:v>
                </c:pt>
                <c:pt idx="1095">
                  <c:v>35</c:v>
                </c:pt>
                <c:pt idx="1096">
                  <c:v>29</c:v>
                </c:pt>
                <c:pt idx="1097">
                  <c:v>37</c:v>
                </c:pt>
                <c:pt idx="1098">
                  <c:v>30</c:v>
                </c:pt>
                <c:pt idx="1099">
                  <c:v>32</c:v>
                </c:pt>
                <c:pt idx="1100">
                  <c:v>30</c:v>
                </c:pt>
                <c:pt idx="1101">
                  <c:v>25</c:v>
                </c:pt>
                <c:pt idx="1102">
                  <c:v>38</c:v>
                </c:pt>
                <c:pt idx="1103">
                  <c:v>36</c:v>
                </c:pt>
                <c:pt idx="1104">
                  <c:v>39</c:v>
                </c:pt>
                <c:pt idx="1105">
                  <c:v>38</c:v>
                </c:pt>
                <c:pt idx="1106">
                  <c:v>35</c:v>
                </c:pt>
                <c:pt idx="1107">
                  <c:v>28</c:v>
                </c:pt>
                <c:pt idx="1108">
                  <c:v>42</c:v>
                </c:pt>
                <c:pt idx="1109">
                  <c:v>35</c:v>
                </c:pt>
                <c:pt idx="1110">
                  <c:v>33</c:v>
                </c:pt>
                <c:pt idx="1111">
                  <c:v>39</c:v>
                </c:pt>
                <c:pt idx="1112">
                  <c:v>32</c:v>
                </c:pt>
                <c:pt idx="1113">
                  <c:v>38</c:v>
                </c:pt>
                <c:pt idx="1114">
                  <c:v>39</c:v>
                </c:pt>
                <c:pt idx="1115">
                  <c:v>35</c:v>
                </c:pt>
                <c:pt idx="1116">
                  <c:v>28</c:v>
                </c:pt>
                <c:pt idx="1117">
                  <c:v>40</c:v>
                </c:pt>
                <c:pt idx="1118">
                  <c:v>32</c:v>
                </c:pt>
                <c:pt idx="1119">
                  <c:v>36</c:v>
                </c:pt>
                <c:pt idx="1120">
                  <c:v>34</c:v>
                </c:pt>
                <c:pt idx="1121">
                  <c:v>39</c:v>
                </c:pt>
                <c:pt idx="1122">
                  <c:v>44</c:v>
                </c:pt>
                <c:pt idx="1123">
                  <c:v>42</c:v>
                </c:pt>
                <c:pt idx="1124">
                  <c:v>35</c:v>
                </c:pt>
                <c:pt idx="1125">
                  <c:v>39</c:v>
                </c:pt>
                <c:pt idx="1126">
                  <c:v>37</c:v>
                </c:pt>
                <c:pt idx="1127">
                  <c:v>38</c:v>
                </c:pt>
                <c:pt idx="1128">
                  <c:v>34</c:v>
                </c:pt>
                <c:pt idx="1129">
                  <c:v>22</c:v>
                </c:pt>
                <c:pt idx="1130">
                  <c:v>39</c:v>
                </c:pt>
                <c:pt idx="1131">
                  <c:v>32</c:v>
                </c:pt>
                <c:pt idx="1132">
                  <c:v>31</c:v>
                </c:pt>
                <c:pt idx="1133">
                  <c:v>28</c:v>
                </c:pt>
                <c:pt idx="1134">
                  <c:v>39</c:v>
                </c:pt>
                <c:pt idx="1135">
                  <c:v>24</c:v>
                </c:pt>
                <c:pt idx="1136">
                  <c:v>30</c:v>
                </c:pt>
                <c:pt idx="1137">
                  <c:v>44</c:v>
                </c:pt>
                <c:pt idx="1138">
                  <c:v>32</c:v>
                </c:pt>
                <c:pt idx="1139">
                  <c:v>28</c:v>
                </c:pt>
                <c:pt idx="1140">
                  <c:v>29</c:v>
                </c:pt>
                <c:pt idx="1141">
                  <c:v>39</c:v>
                </c:pt>
                <c:pt idx="1142">
                  <c:v>38</c:v>
                </c:pt>
                <c:pt idx="1143">
                  <c:v>29</c:v>
                </c:pt>
                <c:pt idx="1144">
                  <c:v>38</c:v>
                </c:pt>
                <c:pt idx="1145">
                  <c:v>32</c:v>
                </c:pt>
                <c:pt idx="1146">
                  <c:v>34</c:v>
                </c:pt>
                <c:pt idx="1147">
                  <c:v>29</c:v>
                </c:pt>
                <c:pt idx="1148">
                  <c:v>34</c:v>
                </c:pt>
                <c:pt idx="1149">
                  <c:v>30</c:v>
                </c:pt>
                <c:pt idx="1150">
                  <c:v>38</c:v>
                </c:pt>
                <c:pt idx="1151">
                  <c:v>38</c:v>
                </c:pt>
                <c:pt idx="1152">
                  <c:v>36</c:v>
                </c:pt>
                <c:pt idx="1153">
                  <c:v>28</c:v>
                </c:pt>
                <c:pt idx="1154">
                  <c:v>43</c:v>
                </c:pt>
                <c:pt idx="1155">
                  <c:v>41</c:v>
                </c:pt>
                <c:pt idx="1156">
                  <c:v>32</c:v>
                </c:pt>
                <c:pt idx="1157">
                  <c:v>36</c:v>
                </c:pt>
                <c:pt idx="1158">
                  <c:v>39</c:v>
                </c:pt>
                <c:pt idx="1159">
                  <c:v>28</c:v>
                </c:pt>
                <c:pt idx="1160">
                  <c:v>37</c:v>
                </c:pt>
                <c:pt idx="1161">
                  <c:v>32</c:v>
                </c:pt>
                <c:pt idx="1162">
                  <c:v>32</c:v>
                </c:pt>
                <c:pt idx="1163">
                  <c:v>30</c:v>
                </c:pt>
                <c:pt idx="1164">
                  <c:v>36</c:v>
                </c:pt>
                <c:pt idx="1165">
                  <c:v>29</c:v>
                </c:pt>
                <c:pt idx="1166">
                  <c:v>28</c:v>
                </c:pt>
                <c:pt idx="1167">
                  <c:v>23</c:v>
                </c:pt>
                <c:pt idx="1168">
                  <c:v>27.5</c:v>
                </c:pt>
                <c:pt idx="1169">
                  <c:v>30</c:v>
                </c:pt>
                <c:pt idx="1170">
                  <c:v>38</c:v>
                </c:pt>
                <c:pt idx="1171">
                  <c:v>26</c:v>
                </c:pt>
                <c:pt idx="1172">
                  <c:v>30</c:v>
                </c:pt>
                <c:pt idx="1173">
                  <c:v>36</c:v>
                </c:pt>
                <c:pt idx="1174">
                  <c:v>28</c:v>
                </c:pt>
                <c:pt idx="1175">
                  <c:v>43</c:v>
                </c:pt>
                <c:pt idx="1176">
                  <c:v>42</c:v>
                </c:pt>
                <c:pt idx="1177">
                  <c:v>26</c:v>
                </c:pt>
                <c:pt idx="1178">
                  <c:v>34</c:v>
                </c:pt>
                <c:pt idx="1179">
                  <c:v>31</c:v>
                </c:pt>
                <c:pt idx="1180">
                  <c:v>36</c:v>
                </c:pt>
                <c:pt idx="1181">
                  <c:v>41</c:v>
                </c:pt>
                <c:pt idx="1182">
                  <c:v>31</c:v>
                </c:pt>
                <c:pt idx="1183">
                  <c:v>29</c:v>
                </c:pt>
                <c:pt idx="1184">
                  <c:v>22</c:v>
                </c:pt>
                <c:pt idx="1185">
                  <c:v>38</c:v>
                </c:pt>
                <c:pt idx="1186">
                  <c:v>23.5</c:v>
                </c:pt>
                <c:pt idx="1187">
                  <c:v>34</c:v>
                </c:pt>
                <c:pt idx="1188">
                  <c:v>18</c:v>
                </c:pt>
                <c:pt idx="1189">
                  <c:v>28</c:v>
                </c:pt>
                <c:pt idx="1190">
                  <c:v>37</c:v>
                </c:pt>
                <c:pt idx="1191">
                  <c:v>37</c:v>
                </c:pt>
                <c:pt idx="1192">
                  <c:v>29</c:v>
                </c:pt>
                <c:pt idx="1193">
                  <c:v>35</c:v>
                </c:pt>
                <c:pt idx="1194">
                  <c:v>21</c:v>
                </c:pt>
                <c:pt idx="1195">
                  <c:v>35</c:v>
                </c:pt>
                <c:pt idx="1196">
                  <c:v>38</c:v>
                </c:pt>
                <c:pt idx="1197">
                  <c:v>36</c:v>
                </c:pt>
                <c:pt idx="1198">
                  <c:v>28</c:v>
                </c:pt>
                <c:pt idx="1199">
                  <c:v>32</c:v>
                </c:pt>
                <c:pt idx="1200">
                  <c:v>22</c:v>
                </c:pt>
                <c:pt idx="1201">
                  <c:v>27</c:v>
                </c:pt>
                <c:pt idx="1202">
                  <c:v>29</c:v>
                </c:pt>
                <c:pt idx="1203">
                  <c:v>24</c:v>
                </c:pt>
                <c:pt idx="1204">
                  <c:v>38</c:v>
                </c:pt>
                <c:pt idx="1205">
                  <c:v>17</c:v>
                </c:pt>
                <c:pt idx="1206">
                  <c:v>43</c:v>
                </c:pt>
                <c:pt idx="1207">
                  <c:v>25</c:v>
                </c:pt>
                <c:pt idx="1208">
                  <c:v>37</c:v>
                </c:pt>
                <c:pt idx="1209">
                  <c:v>34</c:v>
                </c:pt>
                <c:pt idx="1210">
                  <c:v>40</c:v>
                </c:pt>
                <c:pt idx="1211">
                  <c:v>35</c:v>
                </c:pt>
                <c:pt idx="1212">
                  <c:v>30</c:v>
                </c:pt>
                <c:pt idx="1213">
                  <c:v>36</c:v>
                </c:pt>
                <c:pt idx="1214">
                  <c:v>28</c:v>
                </c:pt>
                <c:pt idx="1215">
                  <c:v>38</c:v>
                </c:pt>
                <c:pt idx="1216">
                  <c:v>37</c:v>
                </c:pt>
                <c:pt idx="1217">
                  <c:v>32</c:v>
                </c:pt>
                <c:pt idx="1218">
                  <c:v>35</c:v>
                </c:pt>
                <c:pt idx="1219">
                  <c:v>34</c:v>
                </c:pt>
                <c:pt idx="1220">
                  <c:v>32</c:v>
                </c:pt>
                <c:pt idx="1221">
                  <c:v>45</c:v>
                </c:pt>
                <c:pt idx="1222">
                  <c:v>45</c:v>
                </c:pt>
                <c:pt idx="1223">
                  <c:v>39</c:v>
                </c:pt>
                <c:pt idx="1224">
                  <c:v>21</c:v>
                </c:pt>
                <c:pt idx="1225">
                  <c:v>35</c:v>
                </c:pt>
                <c:pt idx="1226">
                  <c:v>34</c:v>
                </c:pt>
                <c:pt idx="1227">
                  <c:v>29</c:v>
                </c:pt>
                <c:pt idx="1228">
                  <c:v>32</c:v>
                </c:pt>
                <c:pt idx="1229">
                  <c:v>26</c:v>
                </c:pt>
                <c:pt idx="1230">
                  <c:v>35</c:v>
                </c:pt>
                <c:pt idx="1231">
                  <c:v>43</c:v>
                </c:pt>
                <c:pt idx="1232">
                  <c:v>33</c:v>
                </c:pt>
                <c:pt idx="1233">
                  <c:v>36</c:v>
                </c:pt>
                <c:pt idx="1234">
                  <c:v>32</c:v>
                </c:pt>
                <c:pt idx="1235">
                  <c:v>37</c:v>
                </c:pt>
                <c:pt idx="1236">
                  <c:v>36</c:v>
                </c:pt>
                <c:pt idx="1237">
                  <c:v>39</c:v>
                </c:pt>
                <c:pt idx="1238">
                  <c:v>24</c:v>
                </c:pt>
                <c:pt idx="1239">
                  <c:v>42</c:v>
                </c:pt>
                <c:pt idx="1240">
                  <c:v>42</c:v>
                </c:pt>
                <c:pt idx="1241">
                  <c:v>38</c:v>
                </c:pt>
                <c:pt idx="1242">
                  <c:v>32</c:v>
                </c:pt>
                <c:pt idx="1243">
                  <c:v>36</c:v>
                </c:pt>
                <c:pt idx="1244">
                  <c:v>28</c:v>
                </c:pt>
                <c:pt idx="1245">
                  <c:v>28.8</c:v>
                </c:pt>
                <c:pt idx="1246">
                  <c:v>38.299999999999997</c:v>
                </c:pt>
                <c:pt idx="1247">
                  <c:v>29</c:v>
                </c:pt>
                <c:pt idx="1248">
                  <c:v>34.299999999999997</c:v>
                </c:pt>
                <c:pt idx="1249">
                  <c:v>37</c:v>
                </c:pt>
                <c:pt idx="1250">
                  <c:v>24</c:v>
                </c:pt>
                <c:pt idx="1251">
                  <c:v>36</c:v>
                </c:pt>
                <c:pt idx="1252">
                  <c:v>31</c:v>
                </c:pt>
                <c:pt idx="1253">
                  <c:v>18</c:v>
                </c:pt>
                <c:pt idx="1254">
                  <c:v>31</c:v>
                </c:pt>
                <c:pt idx="1255">
                  <c:v>36</c:v>
                </c:pt>
                <c:pt idx="1256">
                  <c:v>38</c:v>
                </c:pt>
                <c:pt idx="1257">
                  <c:v>28</c:v>
                </c:pt>
                <c:pt idx="1258">
                  <c:v>28</c:v>
                </c:pt>
                <c:pt idx="1259">
                  <c:v>21</c:v>
                </c:pt>
                <c:pt idx="1260">
                  <c:v>34</c:v>
                </c:pt>
                <c:pt idx="1261">
                  <c:v>21</c:v>
                </c:pt>
                <c:pt idx="1262">
                  <c:v>34</c:v>
                </c:pt>
                <c:pt idx="1263">
                  <c:v>23</c:v>
                </c:pt>
                <c:pt idx="1264">
                  <c:v>42</c:v>
                </c:pt>
                <c:pt idx="1265">
                  <c:v>30</c:v>
                </c:pt>
                <c:pt idx="1266">
                  <c:v>36</c:v>
                </c:pt>
                <c:pt idx="1267">
                  <c:v>26</c:v>
                </c:pt>
                <c:pt idx="1268">
                  <c:v>28</c:v>
                </c:pt>
                <c:pt idx="1269">
                  <c:v>31</c:v>
                </c:pt>
                <c:pt idx="1270">
                  <c:v>36</c:v>
                </c:pt>
                <c:pt idx="1271">
                  <c:v>27</c:v>
                </c:pt>
                <c:pt idx="1272">
                  <c:v>29</c:v>
                </c:pt>
                <c:pt idx="1273">
                  <c:v>32</c:v>
                </c:pt>
                <c:pt idx="1274">
                  <c:v>34</c:v>
                </c:pt>
                <c:pt idx="1275">
                  <c:v>25</c:v>
                </c:pt>
                <c:pt idx="1276">
                  <c:v>25</c:v>
                </c:pt>
                <c:pt idx="1277">
                  <c:v>35</c:v>
                </c:pt>
                <c:pt idx="1278">
                  <c:v>37</c:v>
                </c:pt>
                <c:pt idx="1279">
                  <c:v>25</c:v>
                </c:pt>
                <c:pt idx="1280">
                  <c:v>25</c:v>
                </c:pt>
                <c:pt idx="1281">
                  <c:v>26</c:v>
                </c:pt>
                <c:pt idx="1282">
                  <c:v>38</c:v>
                </c:pt>
                <c:pt idx="1283">
                  <c:v>27</c:v>
                </c:pt>
                <c:pt idx="1284">
                  <c:v>25</c:v>
                </c:pt>
                <c:pt idx="1285">
                  <c:v>22</c:v>
                </c:pt>
                <c:pt idx="1286">
                  <c:v>38</c:v>
                </c:pt>
                <c:pt idx="1287">
                  <c:v>37</c:v>
                </c:pt>
                <c:pt idx="1288">
                  <c:v>26</c:v>
                </c:pt>
                <c:pt idx="1289">
                  <c:v>30</c:v>
                </c:pt>
                <c:pt idx="1290">
                  <c:v>39</c:v>
                </c:pt>
                <c:pt idx="1291">
                  <c:v>35</c:v>
                </c:pt>
                <c:pt idx="1292">
                  <c:v>37</c:v>
                </c:pt>
                <c:pt idx="1293">
                  <c:v>35</c:v>
                </c:pt>
                <c:pt idx="1294">
                  <c:v>35</c:v>
                </c:pt>
                <c:pt idx="1295">
                  <c:v>32</c:v>
                </c:pt>
                <c:pt idx="1296">
                  <c:v>41</c:v>
                </c:pt>
                <c:pt idx="1297">
                  <c:v>44</c:v>
                </c:pt>
                <c:pt idx="1298">
                  <c:v>36</c:v>
                </c:pt>
                <c:pt idx="1299">
                  <c:v>30</c:v>
                </c:pt>
                <c:pt idx="1300">
                  <c:v>29</c:v>
                </c:pt>
                <c:pt idx="1301">
                  <c:v>35</c:v>
                </c:pt>
                <c:pt idx="1302">
                  <c:v>23</c:v>
                </c:pt>
                <c:pt idx="1303">
                  <c:v>43</c:v>
                </c:pt>
                <c:pt idx="1304">
                  <c:v>38</c:v>
                </c:pt>
                <c:pt idx="1305">
                  <c:v>34</c:v>
                </c:pt>
                <c:pt idx="1306">
                  <c:v>36</c:v>
                </c:pt>
                <c:pt idx="1307">
                  <c:v>32</c:v>
                </c:pt>
                <c:pt idx="1308">
                  <c:v>23</c:v>
                </c:pt>
                <c:pt idx="1309">
                  <c:v>43</c:v>
                </c:pt>
                <c:pt idx="1310">
                  <c:v>32</c:v>
                </c:pt>
                <c:pt idx="1311">
                  <c:v>30</c:v>
                </c:pt>
                <c:pt idx="1312">
                  <c:v>33.6</c:v>
                </c:pt>
                <c:pt idx="1313">
                  <c:v>28</c:v>
                </c:pt>
                <c:pt idx="1314">
                  <c:v>32</c:v>
                </c:pt>
                <c:pt idx="1315">
                  <c:v>34</c:v>
                </c:pt>
                <c:pt idx="1316">
                  <c:v>37.1</c:v>
                </c:pt>
                <c:pt idx="1317">
                  <c:v>27</c:v>
                </c:pt>
                <c:pt idx="1318">
                  <c:v>34</c:v>
                </c:pt>
                <c:pt idx="1319">
                  <c:v>38</c:v>
                </c:pt>
                <c:pt idx="1320">
                  <c:v>36</c:v>
                </c:pt>
                <c:pt idx="1321">
                  <c:v>34</c:v>
                </c:pt>
                <c:pt idx="1322">
                  <c:v>33</c:v>
                </c:pt>
                <c:pt idx="1323">
                  <c:v>23</c:v>
                </c:pt>
                <c:pt idx="1324">
                  <c:v>30</c:v>
                </c:pt>
                <c:pt idx="1325">
                  <c:v>39</c:v>
                </c:pt>
                <c:pt idx="1326">
                  <c:v>32</c:v>
                </c:pt>
                <c:pt idx="1327">
                  <c:v>48</c:v>
                </c:pt>
                <c:pt idx="1328">
                  <c:v>32.1</c:v>
                </c:pt>
                <c:pt idx="1329">
                  <c:v>40</c:v>
                </c:pt>
                <c:pt idx="1330">
                  <c:v>38</c:v>
                </c:pt>
                <c:pt idx="1331">
                  <c:v>38</c:v>
                </c:pt>
                <c:pt idx="1332">
                  <c:v>43</c:v>
                </c:pt>
                <c:pt idx="1333">
                  <c:v>34.4</c:v>
                </c:pt>
                <c:pt idx="1334">
                  <c:v>36</c:v>
                </c:pt>
                <c:pt idx="1335">
                  <c:v>35</c:v>
                </c:pt>
                <c:pt idx="1336">
                  <c:v>46</c:v>
                </c:pt>
                <c:pt idx="1337">
                  <c:v>34</c:v>
                </c:pt>
                <c:pt idx="1338">
                  <c:v>29</c:v>
                </c:pt>
                <c:pt idx="1339">
                  <c:v>27</c:v>
                </c:pt>
                <c:pt idx="1340">
                  <c:v>29</c:v>
                </c:pt>
                <c:pt idx="1341">
                  <c:v>37</c:v>
                </c:pt>
                <c:pt idx="1342">
                  <c:v>30</c:v>
                </c:pt>
                <c:pt idx="1343">
                  <c:v>45</c:v>
                </c:pt>
                <c:pt idx="1344">
                  <c:v>35</c:v>
                </c:pt>
                <c:pt idx="1345">
                  <c:v>29</c:v>
                </c:pt>
                <c:pt idx="1346">
                  <c:v>31</c:v>
                </c:pt>
                <c:pt idx="1347">
                  <c:v>34</c:v>
                </c:pt>
                <c:pt idx="1348">
                  <c:v>27</c:v>
                </c:pt>
                <c:pt idx="1349">
                  <c:v>25</c:v>
                </c:pt>
                <c:pt idx="1350">
                  <c:v>27</c:v>
                </c:pt>
                <c:pt idx="1351">
                  <c:v>25</c:v>
                </c:pt>
                <c:pt idx="1352">
                  <c:v>33</c:v>
                </c:pt>
                <c:pt idx="1353">
                  <c:v>32</c:v>
                </c:pt>
                <c:pt idx="1354">
                  <c:v>29</c:v>
                </c:pt>
                <c:pt idx="1355">
                  <c:v>25</c:v>
                </c:pt>
                <c:pt idx="1356">
                  <c:v>26</c:v>
                </c:pt>
                <c:pt idx="1357">
                  <c:v>26</c:v>
                </c:pt>
              </c:numCache>
            </c:numRef>
          </c:val>
          <c:smooth val="0"/>
          <c:extLst>
            <c:ext xmlns:c16="http://schemas.microsoft.com/office/drawing/2014/chart" uri="{C3380CC4-5D6E-409C-BE32-E72D297353CC}">
              <c16:uniqueId val="{00000001-064D-4942-90FF-9D81DB8C3BBA}"/>
            </c:ext>
          </c:extLst>
        </c:ser>
        <c:dLbls>
          <c:showLegendKey val="0"/>
          <c:showVal val="0"/>
          <c:showCatName val="0"/>
          <c:showSerName val="0"/>
          <c:showPercent val="0"/>
          <c:showBubbleSize val="0"/>
        </c:dLbls>
        <c:marker val="1"/>
        <c:smooth val="0"/>
        <c:axId val="405162368"/>
        <c:axId val="405167264"/>
      </c:lineChart>
      <c:catAx>
        <c:axId val="405155840"/>
        <c:scaling>
          <c:orientation val="minMax"/>
        </c:scaling>
        <c:delete val="0"/>
        <c:axPos val="b"/>
        <c:numFmt formatCode="General" sourceLinked="0"/>
        <c:majorTickMark val="none"/>
        <c:minorTickMark val="none"/>
        <c:tickLblPos val="nextTo"/>
        <c:txPr>
          <a:bodyPr/>
          <a:lstStyle/>
          <a:p>
            <a:pPr>
              <a:defRPr lang="ja-JP" sz="1000" b="0"/>
            </a:pPr>
            <a:endParaRPr lang="en-US"/>
          </a:p>
        </c:txPr>
        <c:crossAx val="405161824"/>
        <c:crosses val="autoZero"/>
        <c:auto val="1"/>
        <c:lblAlgn val="ctr"/>
        <c:lblOffset val="100"/>
        <c:tickMarkSkip val="1"/>
        <c:noMultiLvlLbl val="0"/>
      </c:catAx>
      <c:valAx>
        <c:axId val="405161824"/>
        <c:scaling>
          <c:orientation val="minMax"/>
          <c:max val="25"/>
          <c:min val="4"/>
        </c:scaling>
        <c:delete val="0"/>
        <c:axPos val="l"/>
        <c:majorGridlines/>
        <c:title>
          <c:tx>
            <c:rich>
              <a:bodyPr/>
              <a:lstStyle/>
              <a:p>
                <a:pPr>
                  <a:defRPr lang="ja-JP" sz="2800"/>
                </a:pPr>
                <a:r>
                  <a:rPr lang="en-US" sz="2800"/>
                  <a:t>Coke Moisture %</a:t>
                </a:r>
              </a:p>
            </c:rich>
          </c:tx>
          <c:overlay val="0"/>
        </c:title>
        <c:numFmt formatCode="General" sourceLinked="1"/>
        <c:majorTickMark val="none"/>
        <c:minorTickMark val="none"/>
        <c:tickLblPos val="nextTo"/>
        <c:txPr>
          <a:bodyPr/>
          <a:lstStyle/>
          <a:p>
            <a:pPr>
              <a:defRPr lang="ja-JP" sz="2000"/>
            </a:pPr>
            <a:endParaRPr lang="en-US"/>
          </a:p>
        </c:txPr>
        <c:crossAx val="405155840"/>
        <c:crosses val="autoZero"/>
        <c:crossBetween val="between"/>
        <c:majorUnit val="1"/>
      </c:valAx>
      <c:valAx>
        <c:axId val="405167264"/>
        <c:scaling>
          <c:orientation val="minMax"/>
          <c:max val="90"/>
          <c:min val="15"/>
        </c:scaling>
        <c:delete val="0"/>
        <c:axPos val="r"/>
        <c:numFmt formatCode="General" sourceLinked="1"/>
        <c:majorTickMark val="out"/>
        <c:minorTickMark val="none"/>
        <c:tickLblPos val="nextTo"/>
        <c:txPr>
          <a:bodyPr/>
          <a:lstStyle/>
          <a:p>
            <a:pPr>
              <a:defRPr lang="ja-JP" sz="1800"/>
            </a:pPr>
            <a:endParaRPr lang="en-US"/>
          </a:p>
        </c:txPr>
        <c:crossAx val="405162368"/>
        <c:crosses val="max"/>
        <c:crossBetween val="between"/>
        <c:majorUnit val="5"/>
      </c:valAx>
      <c:catAx>
        <c:axId val="405162368"/>
        <c:scaling>
          <c:orientation val="minMax"/>
        </c:scaling>
        <c:delete val="1"/>
        <c:axPos val="b"/>
        <c:numFmt formatCode="General" sourceLinked="1"/>
        <c:majorTickMark val="out"/>
        <c:minorTickMark val="none"/>
        <c:tickLblPos val="nextTo"/>
        <c:crossAx val="405167264"/>
        <c:crosses val="autoZero"/>
        <c:auto val="1"/>
        <c:lblAlgn val="ctr"/>
        <c:lblOffset val="100"/>
        <c:noMultiLvlLbl val="0"/>
      </c:catAx>
    </c:plotArea>
    <c:legend>
      <c:legendPos val="t"/>
      <c:overlay val="0"/>
      <c:txPr>
        <a:bodyPr/>
        <a:lstStyle/>
        <a:p>
          <a:pPr>
            <a:defRPr lang="ja-JP" sz="2000"/>
          </a:pPr>
          <a:endParaRPr lang="en-US"/>
        </a:p>
      </c:txPr>
    </c:legend>
    <c:plotVisOnly val="1"/>
    <c:dispBlanksAs val="zero"/>
    <c:showDLblsOverMax val="0"/>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ja-JP" sz="2400"/>
            </a:pPr>
            <a:r>
              <a:rPr lang="en-US" sz="2400"/>
              <a:t>MAX</a:t>
            </a:r>
            <a:r>
              <a:rPr lang="en-US" sz="2400" baseline="0"/>
              <a:t> </a:t>
            </a:r>
            <a:r>
              <a:rPr lang="en-US" sz="2400"/>
              <a:t>Coke Moisture</a:t>
            </a:r>
            <a:r>
              <a:rPr lang="en-US" sz="2400" baseline="0"/>
              <a:t> &amp; AV Temperature</a:t>
            </a:r>
            <a:endParaRPr lang="en-US" sz="2400"/>
          </a:p>
        </c:rich>
      </c:tx>
      <c:overlay val="0"/>
    </c:title>
    <c:autoTitleDeleted val="0"/>
    <c:plotArea>
      <c:layout/>
      <c:lineChart>
        <c:grouping val="stacked"/>
        <c:varyColors val="0"/>
        <c:ser>
          <c:idx val="0"/>
          <c:order val="0"/>
          <c:tx>
            <c:v>Max Coke Moisture</c:v>
          </c:tx>
          <c:spPr>
            <a:ln w="57150"/>
          </c:spPr>
          <c:marker>
            <c:symbol val="none"/>
          </c:marker>
          <c:cat>
            <c:multiLvlStrRef>
              <c:f>'Coke Moisture'!$C$17:$D$200</c:f>
              <c:multiLvlStrCache>
                <c:ptCount val="184"/>
                <c:lvl>
                  <c:pt idx="0">
                    <c:v>8:10</c:v>
                  </c:pt>
                  <c:pt idx="1">
                    <c:v>13:30</c:v>
                  </c:pt>
                  <c:pt idx="2">
                    <c:v>17:00</c:v>
                  </c:pt>
                  <c:pt idx="3">
                    <c:v>20:45</c:v>
                  </c:pt>
                  <c:pt idx="4">
                    <c:v>23:10</c:v>
                  </c:pt>
                  <c:pt idx="5">
                    <c:v>3:40</c:v>
                  </c:pt>
                  <c:pt idx="6">
                    <c:v>11:25</c:v>
                  </c:pt>
                  <c:pt idx="7">
                    <c:v>15:00</c:v>
                  </c:pt>
                  <c:pt idx="8">
                    <c:v>18:15</c:v>
                  </c:pt>
                  <c:pt idx="9">
                    <c:v>22:50</c:v>
                  </c:pt>
                  <c:pt idx="10">
                    <c:v>2:05</c:v>
                  </c:pt>
                  <c:pt idx="11">
                    <c:v>11:00</c:v>
                  </c:pt>
                  <c:pt idx="12">
                    <c:v>15:30</c:v>
                  </c:pt>
                  <c:pt idx="13">
                    <c:v>18:10</c:v>
                  </c:pt>
                  <c:pt idx="14">
                    <c:v>22:50</c:v>
                  </c:pt>
                  <c:pt idx="15">
                    <c:v>2:05</c:v>
                  </c:pt>
                  <c:pt idx="16">
                    <c:v>8:30</c:v>
                  </c:pt>
                  <c:pt idx="17">
                    <c:v>12:00</c:v>
                  </c:pt>
                  <c:pt idx="18">
                    <c:v>15:40</c:v>
                  </c:pt>
                  <c:pt idx="19">
                    <c:v>18:10</c:v>
                  </c:pt>
                  <c:pt idx="20">
                    <c:v>22:00</c:v>
                  </c:pt>
                  <c:pt idx="21">
                    <c:v>2:10</c:v>
                  </c:pt>
                  <c:pt idx="22">
                    <c:v>12:10</c:v>
                  </c:pt>
                  <c:pt idx="23">
                    <c:v>15:45</c:v>
                  </c:pt>
                  <c:pt idx="24">
                    <c:v>19:10</c:v>
                  </c:pt>
                  <c:pt idx="25">
                    <c:v>23:10</c:v>
                  </c:pt>
                  <c:pt idx="26">
                    <c:v>2:30</c:v>
                  </c:pt>
                  <c:pt idx="27">
                    <c:v>3:25</c:v>
                  </c:pt>
                  <c:pt idx="28">
                    <c:v>12:50</c:v>
                  </c:pt>
                  <c:pt idx="29">
                    <c:v>14:35</c:v>
                  </c:pt>
                  <c:pt idx="30">
                    <c:v>18:10</c:v>
                  </c:pt>
                  <c:pt idx="31">
                    <c:v>22:30</c:v>
                  </c:pt>
                  <c:pt idx="32">
                    <c:v>2:45</c:v>
                  </c:pt>
                  <c:pt idx="33">
                    <c:v>9:35</c:v>
                  </c:pt>
                  <c:pt idx="34">
                    <c:v>13:05</c:v>
                  </c:pt>
                  <c:pt idx="35">
                    <c:v>20:10</c:v>
                  </c:pt>
                  <c:pt idx="36">
                    <c:v>2:10</c:v>
                  </c:pt>
                  <c:pt idx="37">
                    <c:v>9:00</c:v>
                  </c:pt>
                  <c:pt idx="38">
                    <c:v>14:15</c:v>
                  </c:pt>
                  <c:pt idx="39">
                    <c:v>23:10</c:v>
                  </c:pt>
                  <c:pt idx="40">
                    <c:v>0:15</c:v>
                  </c:pt>
                  <c:pt idx="41">
                    <c:v>3:40</c:v>
                  </c:pt>
                  <c:pt idx="42">
                    <c:v>16:45</c:v>
                  </c:pt>
                  <c:pt idx="43">
                    <c:v>15:35</c:v>
                  </c:pt>
                  <c:pt idx="44">
                    <c:v>19:45</c:v>
                  </c:pt>
                  <c:pt idx="45">
                    <c:v>11:45</c:v>
                  </c:pt>
                  <c:pt idx="46">
                    <c:v>4:40</c:v>
                  </c:pt>
                  <c:pt idx="47">
                    <c:v>14:35</c:v>
                  </c:pt>
                  <c:pt idx="48">
                    <c:v>18:05</c:v>
                  </c:pt>
                  <c:pt idx="49">
                    <c:v>22:00</c:v>
                  </c:pt>
                  <c:pt idx="50">
                    <c:v>2:10</c:v>
                  </c:pt>
                  <c:pt idx="51">
                    <c:v>11:15</c:v>
                  </c:pt>
                  <c:pt idx="52">
                    <c:v>11:15</c:v>
                  </c:pt>
                  <c:pt idx="53">
                    <c:v>14:15</c:v>
                  </c:pt>
                  <c:pt idx="54">
                    <c:v>12:45</c:v>
                  </c:pt>
                  <c:pt idx="55">
                    <c:v>14:35</c:v>
                  </c:pt>
                  <c:pt idx="56">
                    <c:v>12:10</c:v>
                  </c:pt>
                  <c:pt idx="57">
                    <c:v>15:35</c:v>
                  </c:pt>
                  <c:pt idx="58">
                    <c:v>18:25</c:v>
                  </c:pt>
                  <c:pt idx="59">
                    <c:v>0:10</c:v>
                  </c:pt>
                  <c:pt idx="60">
                    <c:v>3:45</c:v>
                  </c:pt>
                  <c:pt idx="61">
                    <c:v>11:10</c:v>
                  </c:pt>
                  <c:pt idx="62">
                    <c:v>15:15</c:v>
                  </c:pt>
                  <c:pt idx="63">
                    <c:v>18:20</c:v>
                  </c:pt>
                  <c:pt idx="64">
                    <c:v>22:50</c:v>
                  </c:pt>
                  <c:pt idx="65">
                    <c:v>2:14</c:v>
                  </c:pt>
                  <c:pt idx="66">
                    <c:v>11:10</c:v>
                  </c:pt>
                  <c:pt idx="67">
                    <c:v>14:40</c:v>
                  </c:pt>
                  <c:pt idx="68">
                    <c:v>18:20</c:v>
                  </c:pt>
                  <c:pt idx="69">
                    <c:v>22:40</c:v>
                  </c:pt>
                  <c:pt idx="70">
                    <c:v>2:25</c:v>
                  </c:pt>
                  <c:pt idx="71">
                    <c:v>12:30</c:v>
                  </c:pt>
                  <c:pt idx="72">
                    <c:v>14:40</c:v>
                  </c:pt>
                  <c:pt idx="73">
                    <c:v>18:20</c:v>
                  </c:pt>
                  <c:pt idx="74">
                    <c:v>22:50</c:v>
                  </c:pt>
                  <c:pt idx="75">
                    <c:v>2:20</c:v>
                  </c:pt>
                  <c:pt idx="76">
                    <c:v>12:15</c:v>
                  </c:pt>
                  <c:pt idx="77">
                    <c:v>14:45</c:v>
                  </c:pt>
                  <c:pt idx="78">
                    <c:v>18:30</c:v>
                  </c:pt>
                  <c:pt idx="79">
                    <c:v>22:40</c:v>
                  </c:pt>
                  <c:pt idx="80">
                    <c:v>2:10</c:v>
                  </c:pt>
                  <c:pt idx="81">
                    <c:v>12:45</c:v>
                  </c:pt>
                  <c:pt idx="82">
                    <c:v>15:15</c:v>
                  </c:pt>
                  <c:pt idx="83">
                    <c:v>2:05</c:v>
                  </c:pt>
                  <c:pt idx="84">
                    <c:v>12:00</c:v>
                  </c:pt>
                  <c:pt idx="85">
                    <c:v>15:30</c:v>
                  </c:pt>
                  <c:pt idx="86">
                    <c:v>2:15</c:v>
                  </c:pt>
                  <c:pt idx="87">
                    <c:v>5:30</c:v>
                  </c:pt>
                  <c:pt idx="88">
                    <c:v>22:50</c:v>
                  </c:pt>
                  <c:pt idx="89">
                    <c:v>2:15</c:v>
                  </c:pt>
                  <c:pt idx="90">
                    <c:v>11:05</c:v>
                  </c:pt>
                  <c:pt idx="91">
                    <c:v>14:45</c:v>
                  </c:pt>
                  <c:pt idx="92">
                    <c:v>18:50</c:v>
                  </c:pt>
                  <c:pt idx="93">
                    <c:v>22:45</c:v>
                  </c:pt>
                  <c:pt idx="94">
                    <c:v>11:00</c:v>
                  </c:pt>
                  <c:pt idx="95">
                    <c:v>14:45</c:v>
                  </c:pt>
                  <c:pt idx="96">
                    <c:v>18:50</c:v>
                  </c:pt>
                  <c:pt idx="97">
                    <c:v>22:45</c:v>
                  </c:pt>
                  <c:pt idx="98">
                    <c:v>2:15</c:v>
                  </c:pt>
                  <c:pt idx="99">
                    <c:v>11:45</c:v>
                  </c:pt>
                  <c:pt idx="100">
                    <c:v>16:40</c:v>
                  </c:pt>
                  <c:pt idx="101">
                    <c:v>20:15</c:v>
                  </c:pt>
                  <c:pt idx="102">
                    <c:v>12:30</c:v>
                  </c:pt>
                  <c:pt idx="103">
                    <c:v>16:20</c:v>
                  </c:pt>
                  <c:pt idx="104">
                    <c:v>23:40</c:v>
                  </c:pt>
                  <c:pt idx="105">
                    <c:v>3:15</c:v>
                  </c:pt>
                  <c:pt idx="106">
                    <c:v>14:15</c:v>
                  </c:pt>
                  <c:pt idx="107">
                    <c:v>16:10</c:v>
                  </c:pt>
                  <c:pt idx="108">
                    <c:v>20:15</c:v>
                  </c:pt>
                  <c:pt idx="109">
                    <c:v>23:20</c:v>
                  </c:pt>
                  <c:pt idx="110">
                    <c:v>2:50</c:v>
                  </c:pt>
                  <c:pt idx="111">
                    <c:v>14:15</c:v>
                  </c:pt>
                  <c:pt idx="112">
                    <c:v>16:10</c:v>
                  </c:pt>
                  <c:pt idx="113">
                    <c:v>20:15</c:v>
                  </c:pt>
                  <c:pt idx="114">
                    <c:v>1:40</c:v>
                  </c:pt>
                  <c:pt idx="115">
                    <c:v>5:45</c:v>
                  </c:pt>
                  <c:pt idx="116">
                    <c:v>12:30</c:v>
                  </c:pt>
                  <c:pt idx="117">
                    <c:v>14:48</c:v>
                  </c:pt>
                  <c:pt idx="118">
                    <c:v>20:15</c:v>
                  </c:pt>
                  <c:pt idx="119">
                    <c:v>23:20</c:v>
                  </c:pt>
                  <c:pt idx="120">
                    <c:v>2:20</c:v>
                  </c:pt>
                  <c:pt idx="121">
                    <c:v>11:00</c:v>
                  </c:pt>
                  <c:pt idx="122">
                    <c:v>14:40</c:v>
                  </c:pt>
                  <c:pt idx="123">
                    <c:v>18:15</c:v>
                  </c:pt>
                  <c:pt idx="124">
                    <c:v>23:20</c:v>
                  </c:pt>
                  <c:pt idx="125">
                    <c:v>2:15</c:v>
                  </c:pt>
                  <c:pt idx="126">
                    <c:v>10:45</c:v>
                  </c:pt>
                  <c:pt idx="127">
                    <c:v>14:45</c:v>
                  </c:pt>
                  <c:pt idx="128">
                    <c:v>21:06</c:v>
                  </c:pt>
                  <c:pt idx="129">
                    <c:v>1:25</c:v>
                  </c:pt>
                  <c:pt idx="130">
                    <c:v>14:45</c:v>
                  </c:pt>
                  <c:pt idx="131">
                    <c:v>1:30</c:v>
                  </c:pt>
                  <c:pt idx="132">
                    <c:v>3:00</c:v>
                  </c:pt>
                  <c:pt idx="133">
                    <c:v>15:15</c:v>
                  </c:pt>
                  <c:pt idx="134">
                    <c:v>11:40</c:v>
                  </c:pt>
                  <c:pt idx="135">
                    <c:v>19:10</c:v>
                  </c:pt>
                  <c:pt idx="136">
                    <c:v>23:05</c:v>
                  </c:pt>
                  <c:pt idx="137">
                    <c:v>2:05</c:v>
                  </c:pt>
                  <c:pt idx="138">
                    <c:v>11:55</c:v>
                  </c:pt>
                  <c:pt idx="139">
                    <c:v>15:40</c:v>
                  </c:pt>
                  <c:pt idx="140">
                    <c:v>19:10</c:v>
                  </c:pt>
                  <c:pt idx="141">
                    <c:v>2:45</c:v>
                  </c:pt>
                  <c:pt idx="142">
                    <c:v>12:15</c:v>
                  </c:pt>
                  <c:pt idx="143">
                    <c:v>15:45</c:v>
                  </c:pt>
                  <c:pt idx="144">
                    <c:v>19:30</c:v>
                  </c:pt>
                  <c:pt idx="145">
                    <c:v>23:30</c:v>
                  </c:pt>
                  <c:pt idx="146">
                    <c:v>2:45</c:v>
                  </c:pt>
                  <c:pt idx="147">
                    <c:v>11:45</c:v>
                  </c:pt>
                  <c:pt idx="148">
                    <c:v>15:45</c:v>
                  </c:pt>
                  <c:pt idx="149">
                    <c:v>19:30</c:v>
                  </c:pt>
                  <c:pt idx="150">
                    <c:v>0:20</c:v>
                  </c:pt>
                  <c:pt idx="151">
                    <c:v>3:55</c:v>
                  </c:pt>
                  <c:pt idx="152">
                    <c:v>11:55</c:v>
                  </c:pt>
                  <c:pt idx="153">
                    <c:v>15:45</c:v>
                  </c:pt>
                  <c:pt idx="154">
                    <c:v>20:30</c:v>
                  </c:pt>
                  <c:pt idx="155">
                    <c:v>0:25</c:v>
                  </c:pt>
                  <c:pt idx="156">
                    <c:v>3:45</c:v>
                  </c:pt>
                  <c:pt idx="157">
                    <c:v>11:45</c:v>
                  </c:pt>
                  <c:pt idx="158">
                    <c:v>15:45</c:v>
                  </c:pt>
                  <c:pt idx="159">
                    <c:v>20:38</c:v>
                  </c:pt>
                  <c:pt idx="160">
                    <c:v>0:00</c:v>
                  </c:pt>
                  <c:pt idx="161">
                    <c:v>3:50</c:v>
                  </c:pt>
                  <c:pt idx="162">
                    <c:v>14:15</c:v>
                  </c:pt>
                  <c:pt idx="163">
                    <c:v>17:45</c:v>
                  </c:pt>
                  <c:pt idx="164">
                    <c:v>19:45</c:v>
                  </c:pt>
                  <c:pt idx="165">
                    <c:v>0:15</c:v>
                  </c:pt>
                  <c:pt idx="166">
                    <c:v>11:45</c:v>
                  </c:pt>
                  <c:pt idx="167">
                    <c:v>15:45</c:v>
                  </c:pt>
                  <c:pt idx="168">
                    <c:v>21:15</c:v>
                  </c:pt>
                  <c:pt idx="169">
                    <c:v>1:18</c:v>
                  </c:pt>
                  <c:pt idx="170">
                    <c:v>4:50</c:v>
                  </c:pt>
                  <c:pt idx="171">
                    <c:v>11:45</c:v>
                  </c:pt>
                  <c:pt idx="172">
                    <c:v>15:45</c:v>
                  </c:pt>
                  <c:pt idx="173">
                    <c:v>21:15</c:v>
                  </c:pt>
                  <c:pt idx="174">
                    <c:v>0:15</c:v>
                  </c:pt>
                  <c:pt idx="175">
                    <c:v>3:50</c:v>
                  </c:pt>
                  <c:pt idx="176">
                    <c:v>11:40</c:v>
                  </c:pt>
                  <c:pt idx="177">
                    <c:v>15:40</c:v>
                  </c:pt>
                  <c:pt idx="178">
                    <c:v>21:15</c:v>
                  </c:pt>
                  <c:pt idx="179">
                    <c:v>0:15</c:v>
                  </c:pt>
                  <c:pt idx="180">
                    <c:v>3:40</c:v>
                  </c:pt>
                  <c:pt idx="181">
                    <c:v>11:35</c:v>
                  </c:pt>
                  <c:pt idx="182">
                    <c:v>15:45</c:v>
                  </c:pt>
                  <c:pt idx="183">
                    <c:v>21:00</c:v>
                  </c:pt>
                </c:lvl>
                <c:lvl>
                  <c:pt idx="0">
                    <c:v>1-Jan-16</c:v>
                  </c:pt>
                  <c:pt idx="1">
                    <c:v>1-Jan-16</c:v>
                  </c:pt>
                  <c:pt idx="2">
                    <c:v>1-Jan-16</c:v>
                  </c:pt>
                  <c:pt idx="3">
                    <c:v>1-Jan-16</c:v>
                  </c:pt>
                  <c:pt idx="4">
                    <c:v>1-Jan-16</c:v>
                  </c:pt>
                  <c:pt idx="5">
                    <c:v>2-Jan-16</c:v>
                  </c:pt>
                  <c:pt idx="6">
                    <c:v>2-Jan-16</c:v>
                  </c:pt>
                  <c:pt idx="7">
                    <c:v>2-Jan-16</c:v>
                  </c:pt>
                  <c:pt idx="8">
                    <c:v>2-Jan-16</c:v>
                  </c:pt>
                  <c:pt idx="9">
                    <c:v>2-Jan-16</c:v>
                  </c:pt>
                  <c:pt idx="10">
                    <c:v>3-Jan-16</c:v>
                  </c:pt>
                  <c:pt idx="11">
                    <c:v>3-Jan-16</c:v>
                  </c:pt>
                  <c:pt idx="12">
                    <c:v>3-Jan-16</c:v>
                  </c:pt>
                  <c:pt idx="13">
                    <c:v>3-Jan-16</c:v>
                  </c:pt>
                  <c:pt idx="14">
                    <c:v>3-Jan-16</c:v>
                  </c:pt>
                  <c:pt idx="15">
                    <c:v>4-Jan-16</c:v>
                  </c:pt>
                  <c:pt idx="16">
                    <c:v>4-Jan-16</c:v>
                  </c:pt>
                  <c:pt idx="17">
                    <c:v>4-Jan-16</c:v>
                  </c:pt>
                  <c:pt idx="18">
                    <c:v>4-Jan-16</c:v>
                  </c:pt>
                  <c:pt idx="19">
                    <c:v>4-Jan-16</c:v>
                  </c:pt>
                  <c:pt idx="20">
                    <c:v>4-Jan-16</c:v>
                  </c:pt>
                  <c:pt idx="21">
                    <c:v>5-Jan-16</c:v>
                  </c:pt>
                  <c:pt idx="22">
                    <c:v>5-Jan-16</c:v>
                  </c:pt>
                  <c:pt idx="23">
                    <c:v>5-Jan-16</c:v>
                  </c:pt>
                  <c:pt idx="24">
                    <c:v>5-Jan-16</c:v>
                  </c:pt>
                  <c:pt idx="25">
                    <c:v>5-Jan-16</c:v>
                  </c:pt>
                  <c:pt idx="26">
                    <c:v>6-Jan-16</c:v>
                  </c:pt>
                  <c:pt idx="27">
                    <c:v>6-Jan-16</c:v>
                  </c:pt>
                  <c:pt idx="28">
                    <c:v>6-Jan-16</c:v>
                  </c:pt>
                  <c:pt idx="29">
                    <c:v>6-Jan-16</c:v>
                  </c:pt>
                  <c:pt idx="30">
                    <c:v>6-Jan-16</c:v>
                  </c:pt>
                  <c:pt idx="31">
                    <c:v>6-Jan-16</c:v>
                  </c:pt>
                  <c:pt idx="32">
                    <c:v>7-Jan-16</c:v>
                  </c:pt>
                  <c:pt idx="33">
                    <c:v>7-Jan-16</c:v>
                  </c:pt>
                  <c:pt idx="34">
                    <c:v>7-Jan-16</c:v>
                  </c:pt>
                  <c:pt idx="35">
                    <c:v>7-Jan-16</c:v>
                  </c:pt>
                  <c:pt idx="36">
                    <c:v>8-Jan-16</c:v>
                  </c:pt>
                  <c:pt idx="37">
                    <c:v>8-Jan-16</c:v>
                  </c:pt>
                  <c:pt idx="38">
                    <c:v>8-Jan-16</c:v>
                  </c:pt>
                  <c:pt idx="39">
                    <c:v>8-Jan-16</c:v>
                  </c:pt>
                  <c:pt idx="40">
                    <c:v>9-Jan-16</c:v>
                  </c:pt>
                  <c:pt idx="41">
                    <c:v>9-Jan-16</c:v>
                  </c:pt>
                  <c:pt idx="42">
                    <c:v>9-Jan-16</c:v>
                  </c:pt>
                  <c:pt idx="43">
                    <c:v>10-Jan-16</c:v>
                  </c:pt>
                  <c:pt idx="44">
                    <c:v>10-Jan-16</c:v>
                  </c:pt>
                  <c:pt idx="45">
                    <c:v>10-Jan-16</c:v>
                  </c:pt>
                  <c:pt idx="46">
                    <c:v>11-Jan-16</c:v>
                  </c:pt>
                  <c:pt idx="47">
                    <c:v>11-Jan-16</c:v>
                  </c:pt>
                  <c:pt idx="48">
                    <c:v>11-Jan-16</c:v>
                  </c:pt>
                  <c:pt idx="49">
                    <c:v>11-Jan-16</c:v>
                  </c:pt>
                  <c:pt idx="50">
                    <c:v>12-Jan-16</c:v>
                  </c:pt>
                  <c:pt idx="51">
                    <c:v>13-Jan-16</c:v>
                  </c:pt>
                  <c:pt idx="52">
                    <c:v>14-Jan-16</c:v>
                  </c:pt>
                  <c:pt idx="53">
                    <c:v>15-Jan-16</c:v>
                  </c:pt>
                  <c:pt idx="54">
                    <c:v>16-Jan-16</c:v>
                  </c:pt>
                  <c:pt idx="55">
                    <c:v>16-Jan-16</c:v>
                  </c:pt>
                  <c:pt idx="56">
                    <c:v>17-Jan-16</c:v>
                  </c:pt>
                  <c:pt idx="57">
                    <c:v>17-Jan-16</c:v>
                  </c:pt>
                  <c:pt idx="58">
                    <c:v>17-Jan-16</c:v>
                  </c:pt>
                  <c:pt idx="59">
                    <c:v>18-Jan-16</c:v>
                  </c:pt>
                  <c:pt idx="60">
                    <c:v>18-Jan-16</c:v>
                  </c:pt>
                  <c:pt idx="61">
                    <c:v>18-Jan-16</c:v>
                  </c:pt>
                  <c:pt idx="62">
                    <c:v>18-Jan-16</c:v>
                  </c:pt>
                  <c:pt idx="63">
                    <c:v>18-Jan-16</c:v>
                  </c:pt>
                  <c:pt idx="64">
                    <c:v>18-Jan-16</c:v>
                  </c:pt>
                  <c:pt idx="65">
                    <c:v>19-Jan-16</c:v>
                  </c:pt>
                  <c:pt idx="66">
                    <c:v>19-Jan-16</c:v>
                  </c:pt>
                  <c:pt idx="67">
                    <c:v>19-Jan-16</c:v>
                  </c:pt>
                  <c:pt idx="68">
                    <c:v>19-Jan-16</c:v>
                  </c:pt>
                  <c:pt idx="69">
                    <c:v>19-Jan-16</c:v>
                  </c:pt>
                  <c:pt idx="70">
                    <c:v>20-Jan-16</c:v>
                  </c:pt>
                  <c:pt idx="71">
                    <c:v>20-Jan-16</c:v>
                  </c:pt>
                  <c:pt idx="72">
                    <c:v>20-Jan-16</c:v>
                  </c:pt>
                  <c:pt idx="73">
                    <c:v>20-Jan-16</c:v>
                  </c:pt>
                  <c:pt idx="74">
                    <c:v>20-Jan-16</c:v>
                  </c:pt>
                  <c:pt idx="75">
                    <c:v>21-Jan-16</c:v>
                  </c:pt>
                  <c:pt idx="76">
                    <c:v>21-Jan-16</c:v>
                  </c:pt>
                  <c:pt idx="77">
                    <c:v>21-Jan-16</c:v>
                  </c:pt>
                  <c:pt idx="78">
                    <c:v>21-Jan-16</c:v>
                  </c:pt>
                  <c:pt idx="79">
                    <c:v>21-Jan-16</c:v>
                  </c:pt>
                  <c:pt idx="80">
                    <c:v>22-Jan-16</c:v>
                  </c:pt>
                  <c:pt idx="81">
                    <c:v>22-Jan-16</c:v>
                  </c:pt>
                  <c:pt idx="82">
                    <c:v>22-Jan-16</c:v>
                  </c:pt>
                  <c:pt idx="83">
                    <c:v>23-Jan-16</c:v>
                  </c:pt>
                  <c:pt idx="84">
                    <c:v>23-Jan-16</c:v>
                  </c:pt>
                  <c:pt idx="85">
                    <c:v>23-Jan-16</c:v>
                  </c:pt>
                  <c:pt idx="86">
                    <c:v>24-Jan-16</c:v>
                  </c:pt>
                  <c:pt idx="87">
                    <c:v>24-Jan-16</c:v>
                  </c:pt>
                  <c:pt idx="88">
                    <c:v>24-Jan-16</c:v>
                  </c:pt>
                  <c:pt idx="89">
                    <c:v>25-Jan-16</c:v>
                  </c:pt>
                  <c:pt idx="90">
                    <c:v>25-Jan-16</c:v>
                  </c:pt>
                  <c:pt idx="91">
                    <c:v>25-Jan-16</c:v>
                  </c:pt>
                  <c:pt idx="92">
                    <c:v>25-Jan-16</c:v>
                  </c:pt>
                  <c:pt idx="93">
                    <c:v>26-Jan-16</c:v>
                  </c:pt>
                  <c:pt idx="94">
                    <c:v>26-Jan-16</c:v>
                  </c:pt>
                  <c:pt idx="95">
                    <c:v>26-Jan-16</c:v>
                  </c:pt>
                  <c:pt idx="96">
                    <c:v>26-Jan-16</c:v>
                  </c:pt>
                  <c:pt idx="97">
                    <c:v>26-Jan-16</c:v>
                  </c:pt>
                  <c:pt idx="98">
                    <c:v>27-Jan-16</c:v>
                  </c:pt>
                  <c:pt idx="99">
                    <c:v>27-Jan-16</c:v>
                  </c:pt>
                  <c:pt idx="100">
                    <c:v>27-Jan-16</c:v>
                  </c:pt>
                  <c:pt idx="101">
                    <c:v>27-Jan-16</c:v>
                  </c:pt>
                  <c:pt idx="102">
                    <c:v>28-Jan-16</c:v>
                  </c:pt>
                  <c:pt idx="103">
                    <c:v>28-Jan-16</c:v>
                  </c:pt>
                  <c:pt idx="104">
                    <c:v>28-Jan-16</c:v>
                  </c:pt>
                  <c:pt idx="105">
                    <c:v>29-Jan-16</c:v>
                  </c:pt>
                  <c:pt idx="106">
                    <c:v>29-Jan-16</c:v>
                  </c:pt>
                  <c:pt idx="107">
                    <c:v>29-Jan-16</c:v>
                  </c:pt>
                  <c:pt idx="108">
                    <c:v>29-Jan-16</c:v>
                  </c:pt>
                  <c:pt idx="109">
                    <c:v>29-Jan-16</c:v>
                  </c:pt>
                  <c:pt idx="110">
                    <c:v>30-Jan-16</c:v>
                  </c:pt>
                  <c:pt idx="111">
                    <c:v>30-Jan-16</c:v>
                  </c:pt>
                  <c:pt idx="112">
                    <c:v>30-Jan-16</c:v>
                  </c:pt>
                  <c:pt idx="113">
                    <c:v>30-Jan-16</c:v>
                  </c:pt>
                  <c:pt idx="114">
                    <c:v>31-Jan-16</c:v>
                  </c:pt>
                  <c:pt idx="115">
                    <c:v>31-Jan-16</c:v>
                  </c:pt>
                  <c:pt idx="116">
                    <c:v>1-Feb-16</c:v>
                  </c:pt>
                  <c:pt idx="117">
                    <c:v>1-Feb-16</c:v>
                  </c:pt>
                  <c:pt idx="118">
                    <c:v>1-Feb-16</c:v>
                  </c:pt>
                  <c:pt idx="119">
                    <c:v>1-Feb-16</c:v>
                  </c:pt>
                  <c:pt idx="120">
                    <c:v>2-Feb-16</c:v>
                  </c:pt>
                  <c:pt idx="121">
                    <c:v>2-Feb-16</c:v>
                  </c:pt>
                  <c:pt idx="122">
                    <c:v>2-Feb-16</c:v>
                  </c:pt>
                  <c:pt idx="123">
                    <c:v>2-Feb-16</c:v>
                  </c:pt>
                  <c:pt idx="124">
                    <c:v>2-Feb-16</c:v>
                  </c:pt>
                  <c:pt idx="125">
                    <c:v>3-Feb-16</c:v>
                  </c:pt>
                  <c:pt idx="126">
                    <c:v>3-Feb-16</c:v>
                  </c:pt>
                  <c:pt idx="127">
                    <c:v>3-Feb-16</c:v>
                  </c:pt>
                  <c:pt idx="128">
                    <c:v>3-Feb-16</c:v>
                  </c:pt>
                  <c:pt idx="129">
                    <c:v>4-Feb-16</c:v>
                  </c:pt>
                  <c:pt idx="130">
                    <c:v>4-Feb-16</c:v>
                  </c:pt>
                  <c:pt idx="131">
                    <c:v>4-Feb-16</c:v>
                  </c:pt>
                  <c:pt idx="132">
                    <c:v>5-Feb-16</c:v>
                  </c:pt>
                  <c:pt idx="133">
                    <c:v>5-Feb-16</c:v>
                  </c:pt>
                  <c:pt idx="134">
                    <c:v>6-Feb-16</c:v>
                  </c:pt>
                  <c:pt idx="135">
                    <c:v>6-Feb-16</c:v>
                  </c:pt>
                  <c:pt idx="136">
                    <c:v>6-Feb-16</c:v>
                  </c:pt>
                  <c:pt idx="137">
                    <c:v>7-Feb-16</c:v>
                  </c:pt>
                  <c:pt idx="138">
                    <c:v>7-Feb-16</c:v>
                  </c:pt>
                  <c:pt idx="139">
                    <c:v>7-Feb-16</c:v>
                  </c:pt>
                  <c:pt idx="140">
                    <c:v>7-Feb-16</c:v>
                  </c:pt>
                  <c:pt idx="141">
                    <c:v>8-Feb-16</c:v>
                  </c:pt>
                  <c:pt idx="142">
                    <c:v>8-Feb-16</c:v>
                  </c:pt>
                  <c:pt idx="143">
                    <c:v>8-Feb-16</c:v>
                  </c:pt>
                  <c:pt idx="144">
                    <c:v>8-Feb-16</c:v>
                  </c:pt>
                  <c:pt idx="145">
                    <c:v>8-Feb-16</c:v>
                  </c:pt>
                  <c:pt idx="146">
                    <c:v>9-Feb-16</c:v>
                  </c:pt>
                  <c:pt idx="147">
                    <c:v>9-Feb-16</c:v>
                  </c:pt>
                  <c:pt idx="148">
                    <c:v>9-Feb-16</c:v>
                  </c:pt>
                  <c:pt idx="149">
                    <c:v>9-Feb-16</c:v>
                  </c:pt>
                  <c:pt idx="150">
                    <c:v>10-Feb-16</c:v>
                  </c:pt>
                  <c:pt idx="151">
                    <c:v>10-Feb-16</c:v>
                  </c:pt>
                  <c:pt idx="152">
                    <c:v>10-Feb-16</c:v>
                  </c:pt>
                  <c:pt idx="153">
                    <c:v>10-Feb-16</c:v>
                  </c:pt>
                  <c:pt idx="154">
                    <c:v>10-Feb-16</c:v>
                  </c:pt>
                  <c:pt idx="155">
                    <c:v>11-Feb-16</c:v>
                  </c:pt>
                  <c:pt idx="156">
                    <c:v>11-Feb-16</c:v>
                  </c:pt>
                  <c:pt idx="157">
                    <c:v>11-Feb-16</c:v>
                  </c:pt>
                  <c:pt idx="158">
                    <c:v>11-Feb-16</c:v>
                  </c:pt>
                  <c:pt idx="159">
                    <c:v>11-Feb-16</c:v>
                  </c:pt>
                  <c:pt idx="160">
                    <c:v>12-Feb-16</c:v>
                  </c:pt>
                  <c:pt idx="161">
                    <c:v>12-Feb-16</c:v>
                  </c:pt>
                  <c:pt idx="162">
                    <c:v>12-Feb-16</c:v>
                  </c:pt>
                  <c:pt idx="163">
                    <c:v>12-Feb-16</c:v>
                  </c:pt>
                  <c:pt idx="164">
                    <c:v>12-Feb-16</c:v>
                  </c:pt>
                  <c:pt idx="165">
                    <c:v>13-Feb-16</c:v>
                  </c:pt>
                  <c:pt idx="166">
                    <c:v>13-Feb-16</c:v>
                  </c:pt>
                  <c:pt idx="167">
                    <c:v>13-Feb-16</c:v>
                  </c:pt>
                  <c:pt idx="168">
                    <c:v>13-Feb-16</c:v>
                  </c:pt>
                  <c:pt idx="169">
                    <c:v>14-Feb-16</c:v>
                  </c:pt>
                  <c:pt idx="170">
                    <c:v>14-Feb-16</c:v>
                  </c:pt>
                  <c:pt idx="171">
                    <c:v>14-Feb-16</c:v>
                  </c:pt>
                  <c:pt idx="172">
                    <c:v>14-Feb-16</c:v>
                  </c:pt>
                  <c:pt idx="173">
                    <c:v>14-Feb-16</c:v>
                  </c:pt>
                  <c:pt idx="174">
                    <c:v>15-Feb-16</c:v>
                  </c:pt>
                  <c:pt idx="175">
                    <c:v>15-Feb-16</c:v>
                  </c:pt>
                  <c:pt idx="176">
                    <c:v>15-Feb-16</c:v>
                  </c:pt>
                  <c:pt idx="177">
                    <c:v>15-Feb-16</c:v>
                  </c:pt>
                  <c:pt idx="178">
                    <c:v>15-Feb-16</c:v>
                  </c:pt>
                  <c:pt idx="179">
                    <c:v>16-Feb-16</c:v>
                  </c:pt>
                  <c:pt idx="180">
                    <c:v>16-Feb-16</c:v>
                  </c:pt>
                  <c:pt idx="181">
                    <c:v>16-Feb-16</c:v>
                  </c:pt>
                  <c:pt idx="182">
                    <c:v>16-Feb-16</c:v>
                  </c:pt>
                  <c:pt idx="183">
                    <c:v>16-Feb-16</c:v>
                  </c:pt>
                </c:lvl>
              </c:multiLvlStrCache>
            </c:multiLvlStrRef>
          </c:cat>
          <c:val>
            <c:numRef>
              <c:f>'Coke Moisture'!$G$17:$G$1501</c:f>
              <c:numCache>
                <c:formatCode>General</c:formatCode>
                <c:ptCount val="1485"/>
                <c:pt idx="0">
                  <c:v>23.6</c:v>
                </c:pt>
                <c:pt idx="1">
                  <c:v>15.1</c:v>
                </c:pt>
                <c:pt idx="2">
                  <c:v>19.5</c:v>
                </c:pt>
                <c:pt idx="3">
                  <c:v>16.5</c:v>
                </c:pt>
                <c:pt idx="4">
                  <c:v>16</c:v>
                </c:pt>
                <c:pt idx="5">
                  <c:v>16</c:v>
                </c:pt>
                <c:pt idx="6">
                  <c:v>15.4</c:v>
                </c:pt>
                <c:pt idx="7">
                  <c:v>17.100000000000001</c:v>
                </c:pt>
                <c:pt idx="8">
                  <c:v>16.2</c:v>
                </c:pt>
                <c:pt idx="9">
                  <c:v>13.5</c:v>
                </c:pt>
                <c:pt idx="10">
                  <c:v>17.5</c:v>
                </c:pt>
                <c:pt idx="11">
                  <c:v>17.2</c:v>
                </c:pt>
                <c:pt idx="12">
                  <c:v>19</c:v>
                </c:pt>
                <c:pt idx="13">
                  <c:v>20.2</c:v>
                </c:pt>
                <c:pt idx="14">
                  <c:v>19.2</c:v>
                </c:pt>
                <c:pt idx="15">
                  <c:v>21.8</c:v>
                </c:pt>
                <c:pt idx="16">
                  <c:v>19.3</c:v>
                </c:pt>
                <c:pt idx="17">
                  <c:v>17.8</c:v>
                </c:pt>
                <c:pt idx="18">
                  <c:v>24.2</c:v>
                </c:pt>
                <c:pt idx="19">
                  <c:v>20.7</c:v>
                </c:pt>
                <c:pt idx="20">
                  <c:v>17.100000000000001</c:v>
                </c:pt>
                <c:pt idx="21">
                  <c:v>17.5</c:v>
                </c:pt>
                <c:pt idx="22">
                  <c:v>20.399999999999999</c:v>
                </c:pt>
                <c:pt idx="23">
                  <c:v>18.100000000000001</c:v>
                </c:pt>
                <c:pt idx="24">
                  <c:v>21.3</c:v>
                </c:pt>
                <c:pt idx="25">
                  <c:v>19.2</c:v>
                </c:pt>
                <c:pt idx="26">
                  <c:v>23.1</c:v>
                </c:pt>
                <c:pt idx="27">
                  <c:v>18.2</c:v>
                </c:pt>
                <c:pt idx="28">
                  <c:v>16.399999999999999</c:v>
                </c:pt>
                <c:pt idx="29">
                  <c:v>20.5</c:v>
                </c:pt>
                <c:pt idx="30">
                  <c:v>16.600000000000001</c:v>
                </c:pt>
                <c:pt idx="31">
                  <c:v>19.100000000000001</c:v>
                </c:pt>
                <c:pt idx="32">
                  <c:v>17.2</c:v>
                </c:pt>
                <c:pt idx="33">
                  <c:v>16.2</c:v>
                </c:pt>
                <c:pt idx="34">
                  <c:v>21.9</c:v>
                </c:pt>
                <c:pt idx="35">
                  <c:v>24.3</c:v>
                </c:pt>
                <c:pt idx="36">
                  <c:v>16.3</c:v>
                </c:pt>
                <c:pt idx="37">
                  <c:v>20.6</c:v>
                </c:pt>
                <c:pt idx="38">
                  <c:v>19.8</c:v>
                </c:pt>
                <c:pt idx="39">
                  <c:v>14</c:v>
                </c:pt>
                <c:pt idx="40">
                  <c:v>15.5</c:v>
                </c:pt>
                <c:pt idx="41">
                  <c:v>18.8</c:v>
                </c:pt>
                <c:pt idx="42">
                  <c:v>17</c:v>
                </c:pt>
                <c:pt idx="43">
                  <c:v>17.7</c:v>
                </c:pt>
                <c:pt idx="44">
                  <c:v>17.100000000000001</c:v>
                </c:pt>
                <c:pt idx="45">
                  <c:v>15.7</c:v>
                </c:pt>
                <c:pt idx="46">
                  <c:v>16.8</c:v>
                </c:pt>
                <c:pt idx="47">
                  <c:v>17.3</c:v>
                </c:pt>
                <c:pt idx="48">
                  <c:v>16.2</c:v>
                </c:pt>
                <c:pt idx="49">
                  <c:v>16.3</c:v>
                </c:pt>
                <c:pt idx="50">
                  <c:v>19.7</c:v>
                </c:pt>
                <c:pt idx="51">
                  <c:v>17</c:v>
                </c:pt>
                <c:pt idx="52">
                  <c:v>15</c:v>
                </c:pt>
                <c:pt idx="53">
                  <c:v>18.399999999999999</c:v>
                </c:pt>
                <c:pt idx="54">
                  <c:v>21.4</c:v>
                </c:pt>
                <c:pt idx="55">
                  <c:v>21</c:v>
                </c:pt>
                <c:pt idx="56">
                  <c:v>17.100000000000001</c:v>
                </c:pt>
                <c:pt idx="57">
                  <c:v>16.5</c:v>
                </c:pt>
                <c:pt idx="58">
                  <c:v>17.5</c:v>
                </c:pt>
                <c:pt idx="59">
                  <c:v>16.3</c:v>
                </c:pt>
                <c:pt idx="60">
                  <c:v>14.9</c:v>
                </c:pt>
                <c:pt idx="61">
                  <c:v>17.7</c:v>
                </c:pt>
                <c:pt idx="62">
                  <c:v>15.5</c:v>
                </c:pt>
                <c:pt idx="63">
                  <c:v>18.100000000000001</c:v>
                </c:pt>
                <c:pt idx="64">
                  <c:v>16.2</c:v>
                </c:pt>
                <c:pt idx="65">
                  <c:v>17.3</c:v>
                </c:pt>
                <c:pt idx="66">
                  <c:v>21.3</c:v>
                </c:pt>
                <c:pt idx="67">
                  <c:v>19.2</c:v>
                </c:pt>
                <c:pt idx="68">
                  <c:v>16.100000000000001</c:v>
                </c:pt>
                <c:pt idx="69">
                  <c:v>15.9</c:v>
                </c:pt>
                <c:pt idx="70">
                  <c:v>16.899999999999999</c:v>
                </c:pt>
                <c:pt idx="71">
                  <c:v>19.2</c:v>
                </c:pt>
                <c:pt idx="72">
                  <c:v>16.100000000000001</c:v>
                </c:pt>
                <c:pt idx="73">
                  <c:v>17.100000000000001</c:v>
                </c:pt>
                <c:pt idx="74">
                  <c:v>20.5</c:v>
                </c:pt>
                <c:pt idx="75">
                  <c:v>16.8</c:v>
                </c:pt>
                <c:pt idx="76">
                  <c:v>20</c:v>
                </c:pt>
                <c:pt idx="77">
                  <c:v>18.600000000000001</c:v>
                </c:pt>
                <c:pt idx="78">
                  <c:v>18.100000000000001</c:v>
                </c:pt>
                <c:pt idx="79">
                  <c:v>17.899999999999999</c:v>
                </c:pt>
                <c:pt idx="80">
                  <c:v>17.3</c:v>
                </c:pt>
                <c:pt idx="81">
                  <c:v>18.100000000000001</c:v>
                </c:pt>
                <c:pt idx="82">
                  <c:v>17.5</c:v>
                </c:pt>
                <c:pt idx="83">
                  <c:v>16.100000000000001</c:v>
                </c:pt>
                <c:pt idx="84">
                  <c:v>17.600000000000001</c:v>
                </c:pt>
                <c:pt idx="85">
                  <c:v>19</c:v>
                </c:pt>
                <c:pt idx="86">
                  <c:v>16.2</c:v>
                </c:pt>
                <c:pt idx="87">
                  <c:v>16.5</c:v>
                </c:pt>
                <c:pt idx="88">
                  <c:v>15.6</c:v>
                </c:pt>
                <c:pt idx="89">
                  <c:v>18.8</c:v>
                </c:pt>
                <c:pt idx="90">
                  <c:v>19.5</c:v>
                </c:pt>
                <c:pt idx="91">
                  <c:v>18.899999999999999</c:v>
                </c:pt>
                <c:pt idx="92">
                  <c:v>17.100000000000001</c:v>
                </c:pt>
                <c:pt idx="93">
                  <c:v>17.899999999999999</c:v>
                </c:pt>
                <c:pt idx="94">
                  <c:v>19.3</c:v>
                </c:pt>
                <c:pt idx="95">
                  <c:v>20</c:v>
                </c:pt>
                <c:pt idx="96">
                  <c:v>19.7</c:v>
                </c:pt>
                <c:pt idx="97">
                  <c:v>16.399999999999999</c:v>
                </c:pt>
                <c:pt idx="98">
                  <c:v>18.100000000000001</c:v>
                </c:pt>
                <c:pt idx="99">
                  <c:v>17.899999999999999</c:v>
                </c:pt>
                <c:pt idx="100">
                  <c:v>21</c:v>
                </c:pt>
                <c:pt idx="101">
                  <c:v>16</c:v>
                </c:pt>
                <c:pt idx="102">
                  <c:v>21.3</c:v>
                </c:pt>
                <c:pt idx="103">
                  <c:v>15.5</c:v>
                </c:pt>
                <c:pt idx="104">
                  <c:v>19.600000000000001</c:v>
                </c:pt>
                <c:pt idx="105">
                  <c:v>17.600000000000001</c:v>
                </c:pt>
                <c:pt idx="106">
                  <c:v>18.100000000000001</c:v>
                </c:pt>
                <c:pt idx="107">
                  <c:v>17.899999999999999</c:v>
                </c:pt>
                <c:pt idx="108">
                  <c:v>16.2</c:v>
                </c:pt>
                <c:pt idx="109">
                  <c:v>18.899999999999999</c:v>
                </c:pt>
                <c:pt idx="110">
                  <c:v>17.8</c:v>
                </c:pt>
                <c:pt idx="111">
                  <c:v>24</c:v>
                </c:pt>
                <c:pt idx="112">
                  <c:v>17.2</c:v>
                </c:pt>
                <c:pt idx="113">
                  <c:v>16</c:v>
                </c:pt>
                <c:pt idx="114">
                  <c:v>15.1</c:v>
                </c:pt>
                <c:pt idx="115">
                  <c:v>20</c:v>
                </c:pt>
                <c:pt idx="116">
                  <c:v>20.3</c:v>
                </c:pt>
                <c:pt idx="117">
                  <c:v>19.399999999999999</c:v>
                </c:pt>
                <c:pt idx="118">
                  <c:v>16.3</c:v>
                </c:pt>
                <c:pt idx="119">
                  <c:v>20.6</c:v>
                </c:pt>
                <c:pt idx="120">
                  <c:v>19.399999999999999</c:v>
                </c:pt>
                <c:pt idx="121">
                  <c:v>18.399999999999999</c:v>
                </c:pt>
                <c:pt idx="122">
                  <c:v>14.8</c:v>
                </c:pt>
                <c:pt idx="123">
                  <c:v>15.4</c:v>
                </c:pt>
                <c:pt idx="124">
                  <c:v>14.8</c:v>
                </c:pt>
                <c:pt idx="125">
                  <c:v>15.8</c:v>
                </c:pt>
                <c:pt idx="126">
                  <c:v>14.7</c:v>
                </c:pt>
                <c:pt idx="127">
                  <c:v>17.3</c:v>
                </c:pt>
                <c:pt idx="128">
                  <c:v>14.3</c:v>
                </c:pt>
                <c:pt idx="129">
                  <c:v>16.2</c:v>
                </c:pt>
                <c:pt idx="130">
                  <c:v>17.8</c:v>
                </c:pt>
                <c:pt idx="131">
                  <c:v>16.2</c:v>
                </c:pt>
                <c:pt idx="132">
                  <c:v>17.8</c:v>
                </c:pt>
                <c:pt idx="133">
                  <c:v>18</c:v>
                </c:pt>
                <c:pt idx="134">
                  <c:v>15.8</c:v>
                </c:pt>
                <c:pt idx="135">
                  <c:v>11.5</c:v>
                </c:pt>
                <c:pt idx="136">
                  <c:v>14.8</c:v>
                </c:pt>
                <c:pt idx="137">
                  <c:v>15.3</c:v>
                </c:pt>
                <c:pt idx="138">
                  <c:v>14.8</c:v>
                </c:pt>
                <c:pt idx="139">
                  <c:v>17.7</c:v>
                </c:pt>
                <c:pt idx="140">
                  <c:v>17</c:v>
                </c:pt>
                <c:pt idx="141">
                  <c:v>16.899999999999999</c:v>
                </c:pt>
                <c:pt idx="142">
                  <c:v>18.2</c:v>
                </c:pt>
                <c:pt idx="143">
                  <c:v>17.899999999999999</c:v>
                </c:pt>
                <c:pt idx="144">
                  <c:v>11.3</c:v>
                </c:pt>
                <c:pt idx="145">
                  <c:v>18.899999999999999</c:v>
                </c:pt>
                <c:pt idx="146">
                  <c:v>17</c:v>
                </c:pt>
                <c:pt idx="147">
                  <c:v>19</c:v>
                </c:pt>
                <c:pt idx="148">
                  <c:v>18.399999999999999</c:v>
                </c:pt>
                <c:pt idx="149">
                  <c:v>12</c:v>
                </c:pt>
                <c:pt idx="150">
                  <c:v>16.2</c:v>
                </c:pt>
                <c:pt idx="151">
                  <c:v>14.3</c:v>
                </c:pt>
                <c:pt idx="152">
                  <c:v>12.5</c:v>
                </c:pt>
                <c:pt idx="153">
                  <c:v>15.6</c:v>
                </c:pt>
                <c:pt idx="154">
                  <c:v>12.5</c:v>
                </c:pt>
                <c:pt idx="155">
                  <c:v>13.8</c:v>
                </c:pt>
                <c:pt idx="156">
                  <c:v>14.2</c:v>
                </c:pt>
                <c:pt idx="157">
                  <c:v>19.5</c:v>
                </c:pt>
                <c:pt idx="158">
                  <c:v>17.8</c:v>
                </c:pt>
                <c:pt idx="159">
                  <c:v>18.600000000000001</c:v>
                </c:pt>
                <c:pt idx="160">
                  <c:v>14.3</c:v>
                </c:pt>
                <c:pt idx="161">
                  <c:v>15.5</c:v>
                </c:pt>
                <c:pt idx="162">
                  <c:v>17.100000000000001</c:v>
                </c:pt>
                <c:pt idx="163">
                  <c:v>14.5</c:v>
                </c:pt>
                <c:pt idx="164">
                  <c:v>16.3</c:v>
                </c:pt>
                <c:pt idx="165">
                  <c:v>17.3</c:v>
                </c:pt>
                <c:pt idx="166">
                  <c:v>16.8</c:v>
                </c:pt>
                <c:pt idx="167">
                  <c:v>21</c:v>
                </c:pt>
                <c:pt idx="168">
                  <c:v>18.399999999999999</c:v>
                </c:pt>
                <c:pt idx="169">
                  <c:v>18.899999999999999</c:v>
                </c:pt>
                <c:pt idx="170">
                  <c:v>18</c:v>
                </c:pt>
                <c:pt idx="171">
                  <c:v>15.5</c:v>
                </c:pt>
                <c:pt idx="172">
                  <c:v>13.7</c:v>
                </c:pt>
                <c:pt idx="173">
                  <c:v>16.100000000000001</c:v>
                </c:pt>
                <c:pt idx="174">
                  <c:v>19.7</c:v>
                </c:pt>
                <c:pt idx="175">
                  <c:v>17.399999999999999</c:v>
                </c:pt>
                <c:pt idx="176">
                  <c:v>14.5</c:v>
                </c:pt>
                <c:pt idx="177">
                  <c:v>13.9</c:v>
                </c:pt>
                <c:pt idx="178">
                  <c:v>22.1</c:v>
                </c:pt>
                <c:pt idx="179">
                  <c:v>19.7</c:v>
                </c:pt>
                <c:pt idx="180">
                  <c:v>17.8</c:v>
                </c:pt>
                <c:pt idx="181">
                  <c:v>12.2</c:v>
                </c:pt>
                <c:pt idx="182">
                  <c:v>15.5</c:v>
                </c:pt>
                <c:pt idx="183">
                  <c:v>18.100000000000001</c:v>
                </c:pt>
                <c:pt idx="184">
                  <c:v>17.2</c:v>
                </c:pt>
                <c:pt idx="185">
                  <c:v>18.899999999999999</c:v>
                </c:pt>
                <c:pt idx="186">
                  <c:v>14.1</c:v>
                </c:pt>
                <c:pt idx="187">
                  <c:v>14.9</c:v>
                </c:pt>
                <c:pt idx="188">
                  <c:v>20.3</c:v>
                </c:pt>
                <c:pt idx="189">
                  <c:v>19.899999999999999</c:v>
                </c:pt>
                <c:pt idx="190">
                  <c:v>19.3</c:v>
                </c:pt>
                <c:pt idx="191">
                  <c:v>16.8</c:v>
                </c:pt>
                <c:pt idx="192">
                  <c:v>14.7</c:v>
                </c:pt>
                <c:pt idx="193">
                  <c:v>17.600000000000001</c:v>
                </c:pt>
                <c:pt idx="194">
                  <c:v>18.399999999999999</c:v>
                </c:pt>
                <c:pt idx="195">
                  <c:v>19.7</c:v>
                </c:pt>
                <c:pt idx="196">
                  <c:v>13</c:v>
                </c:pt>
                <c:pt idx="197">
                  <c:v>10.7</c:v>
                </c:pt>
                <c:pt idx="198">
                  <c:v>14.8</c:v>
                </c:pt>
                <c:pt idx="199">
                  <c:v>15.5</c:v>
                </c:pt>
                <c:pt idx="200">
                  <c:v>16.399999999999999</c:v>
                </c:pt>
                <c:pt idx="201">
                  <c:v>12.5</c:v>
                </c:pt>
                <c:pt idx="202">
                  <c:v>15.3</c:v>
                </c:pt>
                <c:pt idx="203">
                  <c:v>17.2</c:v>
                </c:pt>
                <c:pt idx="204">
                  <c:v>15.4</c:v>
                </c:pt>
                <c:pt idx="205">
                  <c:v>17.899999999999999</c:v>
                </c:pt>
                <c:pt idx="206">
                  <c:v>14.9</c:v>
                </c:pt>
                <c:pt idx="207">
                  <c:v>16.899999999999999</c:v>
                </c:pt>
                <c:pt idx="208">
                  <c:v>14.5</c:v>
                </c:pt>
                <c:pt idx="209">
                  <c:v>16.3</c:v>
                </c:pt>
                <c:pt idx="210">
                  <c:v>12.8</c:v>
                </c:pt>
                <c:pt idx="211">
                  <c:v>17.5</c:v>
                </c:pt>
                <c:pt idx="212">
                  <c:v>17</c:v>
                </c:pt>
                <c:pt idx="213">
                  <c:v>17.600000000000001</c:v>
                </c:pt>
                <c:pt idx="214">
                  <c:v>17.399999999999999</c:v>
                </c:pt>
                <c:pt idx="215">
                  <c:v>14.5</c:v>
                </c:pt>
                <c:pt idx="216">
                  <c:v>11.4</c:v>
                </c:pt>
                <c:pt idx="217">
                  <c:v>17.100000000000001</c:v>
                </c:pt>
                <c:pt idx="218">
                  <c:v>17.3</c:v>
                </c:pt>
                <c:pt idx="219">
                  <c:v>17.600000000000001</c:v>
                </c:pt>
                <c:pt idx="220">
                  <c:v>13</c:v>
                </c:pt>
                <c:pt idx="221">
                  <c:v>12.6</c:v>
                </c:pt>
                <c:pt idx="222">
                  <c:v>15.3</c:v>
                </c:pt>
                <c:pt idx="223">
                  <c:v>12.5</c:v>
                </c:pt>
                <c:pt idx="224">
                  <c:v>12.9</c:v>
                </c:pt>
                <c:pt idx="225">
                  <c:v>17.600000000000001</c:v>
                </c:pt>
                <c:pt idx="226">
                  <c:v>15.6</c:v>
                </c:pt>
                <c:pt idx="227">
                  <c:v>13.1</c:v>
                </c:pt>
                <c:pt idx="228">
                  <c:v>9.4</c:v>
                </c:pt>
                <c:pt idx="229">
                  <c:v>15</c:v>
                </c:pt>
                <c:pt idx="230">
                  <c:v>12.1</c:v>
                </c:pt>
                <c:pt idx="231">
                  <c:v>13.5</c:v>
                </c:pt>
                <c:pt idx="232">
                  <c:v>13.3</c:v>
                </c:pt>
                <c:pt idx="233">
                  <c:v>12.9</c:v>
                </c:pt>
                <c:pt idx="234">
                  <c:v>14</c:v>
                </c:pt>
                <c:pt idx="235">
                  <c:v>18.100000000000001</c:v>
                </c:pt>
                <c:pt idx="236">
                  <c:v>17.2</c:v>
                </c:pt>
                <c:pt idx="237">
                  <c:v>13.1</c:v>
                </c:pt>
                <c:pt idx="238">
                  <c:v>10.7</c:v>
                </c:pt>
                <c:pt idx="239">
                  <c:v>17.5</c:v>
                </c:pt>
                <c:pt idx="240">
                  <c:v>18.5</c:v>
                </c:pt>
                <c:pt idx="241">
                  <c:v>17.600000000000001</c:v>
                </c:pt>
                <c:pt idx="242">
                  <c:v>15.1</c:v>
                </c:pt>
                <c:pt idx="243">
                  <c:v>15.8</c:v>
                </c:pt>
                <c:pt idx="244">
                  <c:v>17.2</c:v>
                </c:pt>
                <c:pt idx="245">
                  <c:v>17.899999999999999</c:v>
                </c:pt>
                <c:pt idx="246">
                  <c:v>17.8</c:v>
                </c:pt>
                <c:pt idx="247">
                  <c:v>18.8</c:v>
                </c:pt>
                <c:pt idx="248">
                  <c:v>19.5</c:v>
                </c:pt>
                <c:pt idx="249">
                  <c:v>17.3</c:v>
                </c:pt>
                <c:pt idx="250">
                  <c:v>17.100000000000001</c:v>
                </c:pt>
                <c:pt idx="251">
                  <c:v>15.8</c:v>
                </c:pt>
                <c:pt idx="252">
                  <c:v>15.9</c:v>
                </c:pt>
                <c:pt idx="253">
                  <c:v>22.2</c:v>
                </c:pt>
                <c:pt idx="254">
                  <c:v>13.4</c:v>
                </c:pt>
                <c:pt idx="255">
                  <c:v>11.5</c:v>
                </c:pt>
                <c:pt idx="256">
                  <c:v>14.7</c:v>
                </c:pt>
                <c:pt idx="257">
                  <c:v>14.9</c:v>
                </c:pt>
                <c:pt idx="258">
                  <c:v>18.899999999999999</c:v>
                </c:pt>
                <c:pt idx="259">
                  <c:v>17</c:v>
                </c:pt>
                <c:pt idx="260">
                  <c:v>11.1</c:v>
                </c:pt>
                <c:pt idx="261">
                  <c:v>14.7</c:v>
                </c:pt>
                <c:pt idx="262">
                  <c:v>14.3</c:v>
                </c:pt>
                <c:pt idx="263">
                  <c:v>16.5</c:v>
                </c:pt>
                <c:pt idx="264">
                  <c:v>21</c:v>
                </c:pt>
                <c:pt idx="265">
                  <c:v>21</c:v>
                </c:pt>
                <c:pt idx="266">
                  <c:v>19.7</c:v>
                </c:pt>
                <c:pt idx="267">
                  <c:v>18.899999999999999</c:v>
                </c:pt>
                <c:pt idx="268">
                  <c:v>16.2</c:v>
                </c:pt>
                <c:pt idx="269">
                  <c:v>18</c:v>
                </c:pt>
                <c:pt idx="270">
                  <c:v>17.2</c:v>
                </c:pt>
                <c:pt idx="271">
                  <c:v>12.4</c:v>
                </c:pt>
                <c:pt idx="272">
                  <c:v>14.8</c:v>
                </c:pt>
                <c:pt idx="273">
                  <c:v>12.3</c:v>
                </c:pt>
                <c:pt idx="274">
                  <c:v>17.5</c:v>
                </c:pt>
                <c:pt idx="275">
                  <c:v>17.5</c:v>
                </c:pt>
                <c:pt idx="276">
                  <c:v>14.1</c:v>
                </c:pt>
                <c:pt idx="277">
                  <c:v>13.9</c:v>
                </c:pt>
                <c:pt idx="278">
                  <c:v>19.7</c:v>
                </c:pt>
                <c:pt idx="279">
                  <c:v>16.3</c:v>
                </c:pt>
                <c:pt idx="280">
                  <c:v>18.3</c:v>
                </c:pt>
                <c:pt idx="281">
                  <c:v>14.1</c:v>
                </c:pt>
                <c:pt idx="282">
                  <c:v>11.5</c:v>
                </c:pt>
                <c:pt idx="283">
                  <c:v>14.8</c:v>
                </c:pt>
                <c:pt idx="284">
                  <c:v>13.3</c:v>
                </c:pt>
                <c:pt idx="285">
                  <c:v>17.5</c:v>
                </c:pt>
                <c:pt idx="286">
                  <c:v>22.5</c:v>
                </c:pt>
                <c:pt idx="287">
                  <c:v>14.6</c:v>
                </c:pt>
                <c:pt idx="288">
                  <c:v>15.5</c:v>
                </c:pt>
                <c:pt idx="289">
                  <c:v>16.899999999999999</c:v>
                </c:pt>
                <c:pt idx="290">
                  <c:v>13.5</c:v>
                </c:pt>
                <c:pt idx="291">
                  <c:v>14.5</c:v>
                </c:pt>
                <c:pt idx="292">
                  <c:v>10.5</c:v>
                </c:pt>
                <c:pt idx="293">
                  <c:v>18.899999999999999</c:v>
                </c:pt>
                <c:pt idx="294">
                  <c:v>9.5</c:v>
                </c:pt>
                <c:pt idx="295">
                  <c:v>17.100000000000001</c:v>
                </c:pt>
                <c:pt idx="296">
                  <c:v>16.7</c:v>
                </c:pt>
                <c:pt idx="297">
                  <c:v>18.3</c:v>
                </c:pt>
                <c:pt idx="298">
                  <c:v>15.2</c:v>
                </c:pt>
                <c:pt idx="299">
                  <c:v>17.3</c:v>
                </c:pt>
                <c:pt idx="300">
                  <c:v>15.3</c:v>
                </c:pt>
                <c:pt idx="301">
                  <c:v>18.399999999999999</c:v>
                </c:pt>
                <c:pt idx="302">
                  <c:v>18.399999999999999</c:v>
                </c:pt>
                <c:pt idx="303">
                  <c:v>16.5</c:v>
                </c:pt>
                <c:pt idx="304">
                  <c:v>15.7</c:v>
                </c:pt>
                <c:pt idx="305">
                  <c:v>17</c:v>
                </c:pt>
                <c:pt idx="306">
                  <c:v>15.8</c:v>
                </c:pt>
                <c:pt idx="307">
                  <c:v>16.899999999999999</c:v>
                </c:pt>
                <c:pt idx="308">
                  <c:v>12.4</c:v>
                </c:pt>
                <c:pt idx="309">
                  <c:v>18.3</c:v>
                </c:pt>
                <c:pt idx="310">
                  <c:v>15.3</c:v>
                </c:pt>
                <c:pt idx="311">
                  <c:v>16.5</c:v>
                </c:pt>
                <c:pt idx="312">
                  <c:v>14.5</c:v>
                </c:pt>
                <c:pt idx="313">
                  <c:v>14.4</c:v>
                </c:pt>
                <c:pt idx="314">
                  <c:v>14.2</c:v>
                </c:pt>
                <c:pt idx="315">
                  <c:v>14.6</c:v>
                </c:pt>
                <c:pt idx="316">
                  <c:v>13.9</c:v>
                </c:pt>
                <c:pt idx="317">
                  <c:v>16.2</c:v>
                </c:pt>
                <c:pt idx="318">
                  <c:v>17.899999999999999</c:v>
                </c:pt>
                <c:pt idx="319">
                  <c:v>15.4</c:v>
                </c:pt>
                <c:pt idx="320">
                  <c:v>12.3</c:v>
                </c:pt>
                <c:pt idx="321">
                  <c:v>20.3</c:v>
                </c:pt>
                <c:pt idx="322">
                  <c:v>16.2</c:v>
                </c:pt>
                <c:pt idx="323">
                  <c:v>18.2</c:v>
                </c:pt>
                <c:pt idx="324">
                  <c:v>18.5</c:v>
                </c:pt>
                <c:pt idx="325">
                  <c:v>13.8</c:v>
                </c:pt>
                <c:pt idx="326">
                  <c:v>12</c:v>
                </c:pt>
                <c:pt idx="327">
                  <c:v>12.5</c:v>
                </c:pt>
                <c:pt idx="328">
                  <c:v>17.600000000000001</c:v>
                </c:pt>
                <c:pt idx="329">
                  <c:v>16.399999999999999</c:v>
                </c:pt>
                <c:pt idx="330">
                  <c:v>11.3</c:v>
                </c:pt>
                <c:pt idx="331">
                  <c:v>13.7</c:v>
                </c:pt>
                <c:pt idx="332">
                  <c:v>18.2</c:v>
                </c:pt>
                <c:pt idx="333">
                  <c:v>19.3</c:v>
                </c:pt>
                <c:pt idx="334">
                  <c:v>17.100000000000001</c:v>
                </c:pt>
                <c:pt idx="335">
                  <c:v>12.6</c:v>
                </c:pt>
                <c:pt idx="336">
                  <c:v>13.8</c:v>
                </c:pt>
                <c:pt idx="337">
                  <c:v>23.9</c:v>
                </c:pt>
                <c:pt idx="338">
                  <c:v>18.600000000000001</c:v>
                </c:pt>
                <c:pt idx="339">
                  <c:v>19.8</c:v>
                </c:pt>
                <c:pt idx="340">
                  <c:v>15.7</c:v>
                </c:pt>
                <c:pt idx="341">
                  <c:v>20.6</c:v>
                </c:pt>
                <c:pt idx="342">
                  <c:v>20.100000000000001</c:v>
                </c:pt>
                <c:pt idx="343">
                  <c:v>20.5</c:v>
                </c:pt>
                <c:pt idx="344">
                  <c:v>15.4</c:v>
                </c:pt>
                <c:pt idx="345">
                  <c:v>15.2</c:v>
                </c:pt>
                <c:pt idx="346">
                  <c:v>18.8</c:v>
                </c:pt>
                <c:pt idx="347">
                  <c:v>19.600000000000001</c:v>
                </c:pt>
                <c:pt idx="348">
                  <c:v>19.100000000000001</c:v>
                </c:pt>
                <c:pt idx="349">
                  <c:v>14.8</c:v>
                </c:pt>
                <c:pt idx="350">
                  <c:v>12.3</c:v>
                </c:pt>
                <c:pt idx="351">
                  <c:v>19.5</c:v>
                </c:pt>
                <c:pt idx="352">
                  <c:v>17</c:v>
                </c:pt>
                <c:pt idx="353">
                  <c:v>18.100000000000001</c:v>
                </c:pt>
                <c:pt idx="354">
                  <c:v>17.5</c:v>
                </c:pt>
                <c:pt idx="355">
                  <c:v>16.600000000000001</c:v>
                </c:pt>
                <c:pt idx="356">
                  <c:v>14.7</c:v>
                </c:pt>
                <c:pt idx="357">
                  <c:v>18.100000000000001</c:v>
                </c:pt>
                <c:pt idx="358">
                  <c:v>12</c:v>
                </c:pt>
                <c:pt idx="359">
                  <c:v>16.7</c:v>
                </c:pt>
                <c:pt idx="360">
                  <c:v>15.7</c:v>
                </c:pt>
                <c:pt idx="361">
                  <c:v>14</c:v>
                </c:pt>
                <c:pt idx="362">
                  <c:v>13.8</c:v>
                </c:pt>
                <c:pt idx="363">
                  <c:v>16</c:v>
                </c:pt>
                <c:pt idx="364">
                  <c:v>17.8</c:v>
                </c:pt>
                <c:pt idx="365">
                  <c:v>16.8</c:v>
                </c:pt>
                <c:pt idx="366">
                  <c:v>15.2</c:v>
                </c:pt>
                <c:pt idx="367">
                  <c:v>17</c:v>
                </c:pt>
                <c:pt idx="368">
                  <c:v>12.1</c:v>
                </c:pt>
                <c:pt idx="369">
                  <c:v>16.399999999999999</c:v>
                </c:pt>
                <c:pt idx="370">
                  <c:v>17.399999999999999</c:v>
                </c:pt>
                <c:pt idx="371">
                  <c:v>18.399999999999999</c:v>
                </c:pt>
                <c:pt idx="372">
                  <c:v>14.3</c:v>
                </c:pt>
                <c:pt idx="373">
                  <c:v>13.5</c:v>
                </c:pt>
                <c:pt idx="374">
                  <c:v>18.2</c:v>
                </c:pt>
                <c:pt idx="375">
                  <c:v>17.600000000000001</c:v>
                </c:pt>
                <c:pt idx="376">
                  <c:v>15.9</c:v>
                </c:pt>
                <c:pt idx="377">
                  <c:v>13.1</c:v>
                </c:pt>
                <c:pt idx="378">
                  <c:v>19.100000000000001</c:v>
                </c:pt>
                <c:pt idx="379">
                  <c:v>13.3</c:v>
                </c:pt>
                <c:pt idx="380">
                  <c:v>16.3</c:v>
                </c:pt>
                <c:pt idx="381">
                  <c:v>15.8</c:v>
                </c:pt>
                <c:pt idx="382">
                  <c:v>17.5</c:v>
                </c:pt>
                <c:pt idx="383">
                  <c:v>19.5</c:v>
                </c:pt>
                <c:pt idx="384">
                  <c:v>18.600000000000001</c:v>
                </c:pt>
                <c:pt idx="385">
                  <c:v>17.3</c:v>
                </c:pt>
                <c:pt idx="386">
                  <c:v>17.8</c:v>
                </c:pt>
                <c:pt idx="387">
                  <c:v>20.8</c:v>
                </c:pt>
                <c:pt idx="388">
                  <c:v>21.5</c:v>
                </c:pt>
                <c:pt idx="389">
                  <c:v>20</c:v>
                </c:pt>
                <c:pt idx="390">
                  <c:v>19.100000000000001</c:v>
                </c:pt>
                <c:pt idx="391">
                  <c:v>15.6</c:v>
                </c:pt>
                <c:pt idx="392">
                  <c:v>18.600000000000001</c:v>
                </c:pt>
                <c:pt idx="393">
                  <c:v>20.7</c:v>
                </c:pt>
                <c:pt idx="394">
                  <c:v>19.2</c:v>
                </c:pt>
                <c:pt idx="395">
                  <c:v>19.600000000000001</c:v>
                </c:pt>
                <c:pt idx="396">
                  <c:v>18.600000000000001</c:v>
                </c:pt>
                <c:pt idx="397">
                  <c:v>18.600000000000001</c:v>
                </c:pt>
                <c:pt idx="398">
                  <c:v>20.100000000000001</c:v>
                </c:pt>
                <c:pt idx="399">
                  <c:v>17.3</c:v>
                </c:pt>
                <c:pt idx="400">
                  <c:v>18.600000000000001</c:v>
                </c:pt>
                <c:pt idx="401">
                  <c:v>20.3</c:v>
                </c:pt>
                <c:pt idx="402">
                  <c:v>20.399999999999999</c:v>
                </c:pt>
                <c:pt idx="403">
                  <c:v>19.600000000000001</c:v>
                </c:pt>
                <c:pt idx="404">
                  <c:v>19.3</c:v>
                </c:pt>
                <c:pt idx="405">
                  <c:v>21.2</c:v>
                </c:pt>
                <c:pt idx="406">
                  <c:v>20.6</c:v>
                </c:pt>
                <c:pt idx="407">
                  <c:v>19.8</c:v>
                </c:pt>
                <c:pt idx="408">
                  <c:v>20.100000000000001</c:v>
                </c:pt>
                <c:pt idx="409">
                  <c:v>20.2</c:v>
                </c:pt>
                <c:pt idx="410">
                  <c:v>19.5</c:v>
                </c:pt>
                <c:pt idx="411">
                  <c:v>21.3</c:v>
                </c:pt>
                <c:pt idx="412">
                  <c:v>20.2</c:v>
                </c:pt>
                <c:pt idx="413">
                  <c:v>19.3</c:v>
                </c:pt>
                <c:pt idx="414">
                  <c:v>22.7</c:v>
                </c:pt>
                <c:pt idx="415">
                  <c:v>21.1</c:v>
                </c:pt>
                <c:pt idx="416">
                  <c:v>21.2</c:v>
                </c:pt>
                <c:pt idx="417">
                  <c:v>20.6</c:v>
                </c:pt>
                <c:pt idx="418">
                  <c:v>18.7</c:v>
                </c:pt>
                <c:pt idx="419">
                  <c:v>20.8</c:v>
                </c:pt>
                <c:pt idx="420">
                  <c:v>22</c:v>
                </c:pt>
                <c:pt idx="421">
                  <c:v>18.5</c:v>
                </c:pt>
                <c:pt idx="422">
                  <c:v>15.9</c:v>
                </c:pt>
                <c:pt idx="423">
                  <c:v>14.5</c:v>
                </c:pt>
                <c:pt idx="424">
                  <c:v>19.399999999999999</c:v>
                </c:pt>
                <c:pt idx="425">
                  <c:v>20.6</c:v>
                </c:pt>
                <c:pt idx="426">
                  <c:v>21.8</c:v>
                </c:pt>
                <c:pt idx="427">
                  <c:v>21</c:v>
                </c:pt>
                <c:pt idx="428">
                  <c:v>18.100000000000001</c:v>
                </c:pt>
                <c:pt idx="429">
                  <c:v>17.100000000000001</c:v>
                </c:pt>
                <c:pt idx="430">
                  <c:v>20.5</c:v>
                </c:pt>
                <c:pt idx="431">
                  <c:v>25.3</c:v>
                </c:pt>
                <c:pt idx="432">
                  <c:v>21.4</c:v>
                </c:pt>
                <c:pt idx="433">
                  <c:v>19.600000000000001</c:v>
                </c:pt>
                <c:pt idx="434">
                  <c:v>20.100000000000001</c:v>
                </c:pt>
                <c:pt idx="435">
                  <c:v>20.2</c:v>
                </c:pt>
                <c:pt idx="436">
                  <c:v>21.1</c:v>
                </c:pt>
                <c:pt idx="437">
                  <c:v>22.6</c:v>
                </c:pt>
                <c:pt idx="438">
                  <c:v>17.600000000000001</c:v>
                </c:pt>
                <c:pt idx="439">
                  <c:v>18.899999999999999</c:v>
                </c:pt>
                <c:pt idx="440">
                  <c:v>19.8</c:v>
                </c:pt>
                <c:pt idx="441">
                  <c:v>23.2</c:v>
                </c:pt>
                <c:pt idx="442">
                  <c:v>22.8</c:v>
                </c:pt>
                <c:pt idx="443">
                  <c:v>20.6</c:v>
                </c:pt>
                <c:pt idx="444">
                  <c:v>19.8</c:v>
                </c:pt>
                <c:pt idx="445">
                  <c:v>20.9</c:v>
                </c:pt>
                <c:pt idx="446">
                  <c:v>22.3</c:v>
                </c:pt>
                <c:pt idx="447">
                  <c:v>20.7</c:v>
                </c:pt>
                <c:pt idx="448">
                  <c:v>20.100000000000001</c:v>
                </c:pt>
                <c:pt idx="449">
                  <c:v>20.6</c:v>
                </c:pt>
                <c:pt idx="450">
                  <c:v>21.5</c:v>
                </c:pt>
                <c:pt idx="451">
                  <c:v>20.100000000000001</c:v>
                </c:pt>
                <c:pt idx="452">
                  <c:v>20.7</c:v>
                </c:pt>
                <c:pt idx="453">
                  <c:v>19.3</c:v>
                </c:pt>
                <c:pt idx="454">
                  <c:v>20.399999999999999</c:v>
                </c:pt>
                <c:pt idx="455">
                  <c:v>21.9</c:v>
                </c:pt>
                <c:pt idx="456">
                  <c:v>31.8</c:v>
                </c:pt>
                <c:pt idx="457">
                  <c:v>30.5</c:v>
                </c:pt>
                <c:pt idx="458">
                  <c:v>21.7</c:v>
                </c:pt>
                <c:pt idx="459">
                  <c:v>20.6</c:v>
                </c:pt>
                <c:pt idx="460">
                  <c:v>22.3</c:v>
                </c:pt>
                <c:pt idx="461">
                  <c:v>23.3</c:v>
                </c:pt>
                <c:pt idx="462">
                  <c:v>21.2</c:v>
                </c:pt>
                <c:pt idx="463">
                  <c:v>23.2</c:v>
                </c:pt>
                <c:pt idx="464">
                  <c:v>22.1</c:v>
                </c:pt>
                <c:pt idx="465">
                  <c:v>23.5</c:v>
                </c:pt>
                <c:pt idx="466">
                  <c:v>23.1</c:v>
                </c:pt>
                <c:pt idx="467">
                  <c:v>22.8</c:v>
                </c:pt>
                <c:pt idx="468">
                  <c:v>21.3</c:v>
                </c:pt>
                <c:pt idx="469">
                  <c:v>26.2</c:v>
                </c:pt>
                <c:pt idx="470">
                  <c:v>30.2</c:v>
                </c:pt>
                <c:pt idx="471">
                  <c:v>28.3</c:v>
                </c:pt>
                <c:pt idx="472">
                  <c:v>31.2</c:v>
                </c:pt>
                <c:pt idx="473">
                  <c:v>24.1</c:v>
                </c:pt>
                <c:pt idx="474">
                  <c:v>20.3</c:v>
                </c:pt>
                <c:pt idx="475">
                  <c:v>21.8</c:v>
                </c:pt>
                <c:pt idx="476">
                  <c:v>21</c:v>
                </c:pt>
                <c:pt idx="477">
                  <c:v>21.2</c:v>
                </c:pt>
                <c:pt idx="478">
                  <c:v>22.5</c:v>
                </c:pt>
                <c:pt idx="479">
                  <c:v>24.4</c:v>
                </c:pt>
                <c:pt idx="480">
                  <c:v>19.600000000000001</c:v>
                </c:pt>
                <c:pt idx="481">
                  <c:v>25.2</c:v>
                </c:pt>
                <c:pt idx="482">
                  <c:v>22.2</c:v>
                </c:pt>
                <c:pt idx="483">
                  <c:v>25.2</c:v>
                </c:pt>
                <c:pt idx="484">
                  <c:v>23.6</c:v>
                </c:pt>
                <c:pt idx="485">
                  <c:v>16.8</c:v>
                </c:pt>
                <c:pt idx="486">
                  <c:v>21.3</c:v>
                </c:pt>
                <c:pt idx="487">
                  <c:v>22.4</c:v>
                </c:pt>
                <c:pt idx="488">
                  <c:v>28.3</c:v>
                </c:pt>
                <c:pt idx="489">
                  <c:v>24.9</c:v>
                </c:pt>
                <c:pt idx="490">
                  <c:v>21.2</c:v>
                </c:pt>
                <c:pt idx="491">
                  <c:v>26.1</c:v>
                </c:pt>
                <c:pt idx="492">
                  <c:v>23.3</c:v>
                </c:pt>
                <c:pt idx="493">
                  <c:v>21</c:v>
                </c:pt>
                <c:pt idx="494">
                  <c:v>26.9</c:v>
                </c:pt>
                <c:pt idx="495">
                  <c:v>22.5</c:v>
                </c:pt>
                <c:pt idx="496">
                  <c:v>23.1</c:v>
                </c:pt>
                <c:pt idx="497">
                  <c:v>19.2</c:v>
                </c:pt>
                <c:pt idx="498">
                  <c:v>21.9</c:v>
                </c:pt>
                <c:pt idx="499">
                  <c:v>21</c:v>
                </c:pt>
                <c:pt idx="500">
                  <c:v>20.3</c:v>
                </c:pt>
                <c:pt idx="501">
                  <c:v>23</c:v>
                </c:pt>
                <c:pt idx="502">
                  <c:v>22.6</c:v>
                </c:pt>
                <c:pt idx="503">
                  <c:v>21</c:v>
                </c:pt>
                <c:pt idx="504">
                  <c:v>24.3</c:v>
                </c:pt>
                <c:pt idx="505">
                  <c:v>18.399999999999999</c:v>
                </c:pt>
                <c:pt idx="506">
                  <c:v>23.2</c:v>
                </c:pt>
                <c:pt idx="507">
                  <c:v>23.1</c:v>
                </c:pt>
                <c:pt idx="508">
                  <c:v>21.8</c:v>
                </c:pt>
                <c:pt idx="509">
                  <c:v>25.2</c:v>
                </c:pt>
                <c:pt idx="510">
                  <c:v>20.3</c:v>
                </c:pt>
                <c:pt idx="511">
                  <c:v>23.2</c:v>
                </c:pt>
                <c:pt idx="512">
                  <c:v>21.5</c:v>
                </c:pt>
                <c:pt idx="513">
                  <c:v>26.8</c:v>
                </c:pt>
                <c:pt idx="514">
                  <c:v>23.3</c:v>
                </c:pt>
                <c:pt idx="515">
                  <c:v>18.3</c:v>
                </c:pt>
                <c:pt idx="516">
                  <c:v>15.8</c:v>
                </c:pt>
                <c:pt idx="517">
                  <c:v>21.3</c:v>
                </c:pt>
                <c:pt idx="518">
                  <c:v>19.600000000000001</c:v>
                </c:pt>
                <c:pt idx="519">
                  <c:v>23.7</c:v>
                </c:pt>
                <c:pt idx="520">
                  <c:v>20.2</c:v>
                </c:pt>
                <c:pt idx="521">
                  <c:v>15.8</c:v>
                </c:pt>
                <c:pt idx="522">
                  <c:v>21.3</c:v>
                </c:pt>
                <c:pt idx="523">
                  <c:v>19.600000000000001</c:v>
                </c:pt>
                <c:pt idx="524">
                  <c:v>22.3</c:v>
                </c:pt>
                <c:pt idx="525">
                  <c:v>25.3</c:v>
                </c:pt>
                <c:pt idx="526">
                  <c:v>19.7</c:v>
                </c:pt>
                <c:pt idx="527">
                  <c:v>20.100000000000001</c:v>
                </c:pt>
                <c:pt idx="528">
                  <c:v>20.6</c:v>
                </c:pt>
                <c:pt idx="529">
                  <c:v>22.3</c:v>
                </c:pt>
                <c:pt idx="530">
                  <c:v>22.5</c:v>
                </c:pt>
                <c:pt idx="531">
                  <c:v>22.2</c:v>
                </c:pt>
                <c:pt idx="532">
                  <c:v>21.5</c:v>
                </c:pt>
                <c:pt idx="533">
                  <c:v>20.3</c:v>
                </c:pt>
                <c:pt idx="534">
                  <c:v>22.5</c:v>
                </c:pt>
                <c:pt idx="535">
                  <c:v>26.2</c:v>
                </c:pt>
                <c:pt idx="536">
                  <c:v>22.2</c:v>
                </c:pt>
                <c:pt idx="537">
                  <c:v>20.2</c:v>
                </c:pt>
                <c:pt idx="538">
                  <c:v>23</c:v>
                </c:pt>
                <c:pt idx="539">
                  <c:v>23.8</c:v>
                </c:pt>
                <c:pt idx="540">
                  <c:v>23</c:v>
                </c:pt>
                <c:pt idx="541">
                  <c:v>21.2</c:v>
                </c:pt>
                <c:pt idx="542">
                  <c:v>21.4</c:v>
                </c:pt>
                <c:pt idx="543">
                  <c:v>21</c:v>
                </c:pt>
                <c:pt idx="544">
                  <c:v>20.9</c:v>
                </c:pt>
                <c:pt idx="545">
                  <c:v>20.9</c:v>
                </c:pt>
                <c:pt idx="546">
                  <c:v>20.9</c:v>
                </c:pt>
                <c:pt idx="547">
                  <c:v>20.9</c:v>
                </c:pt>
                <c:pt idx="548">
                  <c:v>20</c:v>
                </c:pt>
                <c:pt idx="549">
                  <c:v>20.9</c:v>
                </c:pt>
                <c:pt idx="550">
                  <c:v>20.7</c:v>
                </c:pt>
                <c:pt idx="551">
                  <c:v>20.9</c:v>
                </c:pt>
                <c:pt idx="552">
                  <c:v>20.9</c:v>
                </c:pt>
                <c:pt idx="553">
                  <c:v>25</c:v>
                </c:pt>
                <c:pt idx="554">
                  <c:v>20.2</c:v>
                </c:pt>
                <c:pt idx="555">
                  <c:v>20.3</c:v>
                </c:pt>
                <c:pt idx="556">
                  <c:v>19.2</c:v>
                </c:pt>
                <c:pt idx="557">
                  <c:v>25.4</c:v>
                </c:pt>
                <c:pt idx="558">
                  <c:v>19</c:v>
                </c:pt>
                <c:pt idx="559">
                  <c:v>15.3</c:v>
                </c:pt>
                <c:pt idx="560">
                  <c:v>19.3</c:v>
                </c:pt>
                <c:pt idx="561">
                  <c:v>18.899999999999999</c:v>
                </c:pt>
                <c:pt idx="562">
                  <c:v>14.4</c:v>
                </c:pt>
                <c:pt idx="563">
                  <c:v>18.2</c:v>
                </c:pt>
                <c:pt idx="564">
                  <c:v>16.600000000000001</c:v>
                </c:pt>
                <c:pt idx="565">
                  <c:v>16.600000000000001</c:v>
                </c:pt>
                <c:pt idx="566">
                  <c:v>24.3</c:v>
                </c:pt>
                <c:pt idx="567">
                  <c:v>19</c:v>
                </c:pt>
                <c:pt idx="568">
                  <c:v>20.9</c:v>
                </c:pt>
                <c:pt idx="569">
                  <c:v>21.9</c:v>
                </c:pt>
                <c:pt idx="570">
                  <c:v>24.1</c:v>
                </c:pt>
                <c:pt idx="571">
                  <c:v>21.1</c:v>
                </c:pt>
                <c:pt idx="572">
                  <c:v>22.3</c:v>
                </c:pt>
                <c:pt idx="573">
                  <c:v>25.7</c:v>
                </c:pt>
                <c:pt idx="574">
                  <c:v>18.600000000000001</c:v>
                </c:pt>
                <c:pt idx="575">
                  <c:v>19.7</c:v>
                </c:pt>
                <c:pt idx="576">
                  <c:v>18.899999999999999</c:v>
                </c:pt>
                <c:pt idx="577">
                  <c:v>24.6</c:v>
                </c:pt>
                <c:pt idx="578">
                  <c:v>20.9</c:v>
                </c:pt>
                <c:pt idx="579">
                  <c:v>17.2</c:v>
                </c:pt>
                <c:pt idx="580">
                  <c:v>23.3</c:v>
                </c:pt>
                <c:pt idx="581">
                  <c:v>14.4</c:v>
                </c:pt>
                <c:pt idx="582">
                  <c:v>21.5</c:v>
                </c:pt>
                <c:pt idx="583">
                  <c:v>21.7</c:v>
                </c:pt>
                <c:pt idx="584">
                  <c:v>23.4</c:v>
                </c:pt>
                <c:pt idx="585">
                  <c:v>27.5</c:v>
                </c:pt>
                <c:pt idx="586">
                  <c:v>23.5</c:v>
                </c:pt>
                <c:pt idx="587">
                  <c:v>25.2</c:v>
                </c:pt>
                <c:pt idx="588">
                  <c:v>26.4</c:v>
                </c:pt>
                <c:pt idx="589">
                  <c:v>22.8</c:v>
                </c:pt>
                <c:pt idx="590">
                  <c:v>15.5</c:v>
                </c:pt>
                <c:pt idx="591">
                  <c:v>19.5</c:v>
                </c:pt>
                <c:pt idx="592">
                  <c:v>19.100000000000001</c:v>
                </c:pt>
                <c:pt idx="593">
                  <c:v>19.8</c:v>
                </c:pt>
                <c:pt idx="594">
                  <c:v>24</c:v>
                </c:pt>
                <c:pt idx="595">
                  <c:v>13.6</c:v>
                </c:pt>
                <c:pt idx="596">
                  <c:v>11.6</c:v>
                </c:pt>
                <c:pt idx="597">
                  <c:v>18.2</c:v>
                </c:pt>
                <c:pt idx="598">
                  <c:v>21.1</c:v>
                </c:pt>
                <c:pt idx="599">
                  <c:v>21.5</c:v>
                </c:pt>
                <c:pt idx="600">
                  <c:v>20.5</c:v>
                </c:pt>
                <c:pt idx="601">
                  <c:v>18.8</c:v>
                </c:pt>
                <c:pt idx="602">
                  <c:v>17.2</c:v>
                </c:pt>
                <c:pt idx="603">
                  <c:v>20.100000000000001</c:v>
                </c:pt>
                <c:pt idx="604">
                  <c:v>17.2</c:v>
                </c:pt>
                <c:pt idx="605">
                  <c:v>15.5</c:v>
                </c:pt>
                <c:pt idx="606">
                  <c:v>22.3</c:v>
                </c:pt>
                <c:pt idx="607">
                  <c:v>22.1</c:v>
                </c:pt>
                <c:pt idx="608">
                  <c:v>21.9</c:v>
                </c:pt>
                <c:pt idx="609">
                  <c:v>18.2</c:v>
                </c:pt>
                <c:pt idx="610">
                  <c:v>19.7</c:v>
                </c:pt>
                <c:pt idx="611">
                  <c:v>18.899999999999999</c:v>
                </c:pt>
                <c:pt idx="612">
                  <c:v>21.3</c:v>
                </c:pt>
                <c:pt idx="613">
                  <c:v>11.7</c:v>
                </c:pt>
                <c:pt idx="614">
                  <c:v>10.8</c:v>
                </c:pt>
                <c:pt idx="615">
                  <c:v>14.1</c:v>
                </c:pt>
                <c:pt idx="616">
                  <c:v>18.7</c:v>
                </c:pt>
                <c:pt idx="617">
                  <c:v>20.100000000000001</c:v>
                </c:pt>
                <c:pt idx="618">
                  <c:v>19.5</c:v>
                </c:pt>
                <c:pt idx="619">
                  <c:v>18.3</c:v>
                </c:pt>
                <c:pt idx="620">
                  <c:v>14.1</c:v>
                </c:pt>
                <c:pt idx="621">
                  <c:v>25.3</c:v>
                </c:pt>
                <c:pt idx="622">
                  <c:v>24.5</c:v>
                </c:pt>
                <c:pt idx="623">
                  <c:v>15.9</c:v>
                </c:pt>
                <c:pt idx="624">
                  <c:v>10.199999999999999</c:v>
                </c:pt>
                <c:pt idx="625">
                  <c:v>22.1</c:v>
                </c:pt>
                <c:pt idx="626">
                  <c:v>21.2</c:v>
                </c:pt>
                <c:pt idx="627">
                  <c:v>20.6</c:v>
                </c:pt>
                <c:pt idx="628">
                  <c:v>13.9</c:v>
                </c:pt>
                <c:pt idx="629">
                  <c:v>17</c:v>
                </c:pt>
                <c:pt idx="630">
                  <c:v>21.2</c:v>
                </c:pt>
                <c:pt idx="631">
                  <c:v>17.600000000000001</c:v>
                </c:pt>
                <c:pt idx="632">
                  <c:v>17.2</c:v>
                </c:pt>
                <c:pt idx="633">
                  <c:v>19.399999999999999</c:v>
                </c:pt>
                <c:pt idx="634">
                  <c:v>19.899999999999999</c:v>
                </c:pt>
                <c:pt idx="635">
                  <c:v>17.3</c:v>
                </c:pt>
                <c:pt idx="636">
                  <c:v>20.3</c:v>
                </c:pt>
                <c:pt idx="637">
                  <c:v>23.3</c:v>
                </c:pt>
                <c:pt idx="638">
                  <c:v>18.100000000000001</c:v>
                </c:pt>
                <c:pt idx="639">
                  <c:v>15.4</c:v>
                </c:pt>
                <c:pt idx="640">
                  <c:v>21.2</c:v>
                </c:pt>
                <c:pt idx="641">
                  <c:v>26.3</c:v>
                </c:pt>
                <c:pt idx="642">
                  <c:v>20.6</c:v>
                </c:pt>
                <c:pt idx="643">
                  <c:v>17.100000000000001</c:v>
                </c:pt>
                <c:pt idx="644">
                  <c:v>15.2</c:v>
                </c:pt>
                <c:pt idx="645">
                  <c:v>22.8</c:v>
                </c:pt>
                <c:pt idx="646">
                  <c:v>19</c:v>
                </c:pt>
                <c:pt idx="647">
                  <c:v>25.3</c:v>
                </c:pt>
                <c:pt idx="648">
                  <c:v>24.6</c:v>
                </c:pt>
                <c:pt idx="649">
                  <c:v>20.9</c:v>
                </c:pt>
                <c:pt idx="650">
                  <c:v>17.8</c:v>
                </c:pt>
                <c:pt idx="651">
                  <c:v>22.3</c:v>
                </c:pt>
                <c:pt idx="652">
                  <c:v>17.399999999999999</c:v>
                </c:pt>
                <c:pt idx="653">
                  <c:v>17.7</c:v>
                </c:pt>
                <c:pt idx="654">
                  <c:v>22.3</c:v>
                </c:pt>
                <c:pt idx="655">
                  <c:v>19.8</c:v>
                </c:pt>
                <c:pt idx="656">
                  <c:v>19.399999999999999</c:v>
                </c:pt>
                <c:pt idx="657">
                  <c:v>21.6</c:v>
                </c:pt>
                <c:pt idx="658">
                  <c:v>16.899999999999999</c:v>
                </c:pt>
                <c:pt idx="659">
                  <c:v>22.1</c:v>
                </c:pt>
                <c:pt idx="660">
                  <c:v>23.1</c:v>
                </c:pt>
                <c:pt idx="661">
                  <c:v>22.3</c:v>
                </c:pt>
                <c:pt idx="662">
                  <c:v>17.5</c:v>
                </c:pt>
                <c:pt idx="663">
                  <c:v>17.3</c:v>
                </c:pt>
                <c:pt idx="664">
                  <c:v>23.1</c:v>
                </c:pt>
                <c:pt idx="665">
                  <c:v>27.5</c:v>
                </c:pt>
                <c:pt idx="666">
                  <c:v>18.2</c:v>
                </c:pt>
                <c:pt idx="667">
                  <c:v>17.5</c:v>
                </c:pt>
                <c:pt idx="668">
                  <c:v>18.899999999999999</c:v>
                </c:pt>
                <c:pt idx="669">
                  <c:v>18.7</c:v>
                </c:pt>
                <c:pt idx="670">
                  <c:v>21.4</c:v>
                </c:pt>
                <c:pt idx="671">
                  <c:v>21.2</c:v>
                </c:pt>
                <c:pt idx="672">
                  <c:v>21.8</c:v>
                </c:pt>
                <c:pt idx="673">
                  <c:v>21.9</c:v>
                </c:pt>
                <c:pt idx="674">
                  <c:v>20.5</c:v>
                </c:pt>
                <c:pt idx="675">
                  <c:v>20</c:v>
                </c:pt>
                <c:pt idx="676">
                  <c:v>19.5</c:v>
                </c:pt>
                <c:pt idx="677">
                  <c:v>20.8</c:v>
                </c:pt>
                <c:pt idx="678">
                  <c:v>19.3</c:v>
                </c:pt>
                <c:pt idx="679">
                  <c:v>20.5</c:v>
                </c:pt>
                <c:pt idx="680">
                  <c:v>17.7</c:v>
                </c:pt>
                <c:pt idx="681">
                  <c:v>18</c:v>
                </c:pt>
                <c:pt idx="682">
                  <c:v>21.8</c:v>
                </c:pt>
                <c:pt idx="683">
                  <c:v>20.6</c:v>
                </c:pt>
                <c:pt idx="684">
                  <c:v>21.5</c:v>
                </c:pt>
                <c:pt idx="685">
                  <c:v>22.6</c:v>
                </c:pt>
                <c:pt idx="686">
                  <c:v>22.8</c:v>
                </c:pt>
                <c:pt idx="687">
                  <c:v>19.600000000000001</c:v>
                </c:pt>
                <c:pt idx="688">
                  <c:v>22.8</c:v>
                </c:pt>
                <c:pt idx="689">
                  <c:v>21</c:v>
                </c:pt>
                <c:pt idx="690">
                  <c:v>22.6</c:v>
                </c:pt>
                <c:pt idx="691">
                  <c:v>20.6</c:v>
                </c:pt>
                <c:pt idx="692">
                  <c:v>23.1</c:v>
                </c:pt>
                <c:pt idx="693">
                  <c:v>21.8</c:v>
                </c:pt>
                <c:pt idx="694">
                  <c:v>25.4</c:v>
                </c:pt>
                <c:pt idx="695">
                  <c:v>20.6</c:v>
                </c:pt>
                <c:pt idx="696">
                  <c:v>23.2</c:v>
                </c:pt>
                <c:pt idx="697">
                  <c:v>22.3</c:v>
                </c:pt>
                <c:pt idx="698">
                  <c:v>24.7</c:v>
                </c:pt>
                <c:pt idx="699">
                  <c:v>19.399999999999999</c:v>
                </c:pt>
                <c:pt idx="700">
                  <c:v>23.1</c:v>
                </c:pt>
                <c:pt idx="701">
                  <c:v>22.1</c:v>
                </c:pt>
                <c:pt idx="702">
                  <c:v>19.100000000000001</c:v>
                </c:pt>
                <c:pt idx="703">
                  <c:v>20.2</c:v>
                </c:pt>
                <c:pt idx="704">
                  <c:v>23.4</c:v>
                </c:pt>
                <c:pt idx="705">
                  <c:v>22.2</c:v>
                </c:pt>
                <c:pt idx="706">
                  <c:v>23.1</c:v>
                </c:pt>
                <c:pt idx="707">
                  <c:v>22.9</c:v>
                </c:pt>
                <c:pt idx="708">
                  <c:v>23.7</c:v>
                </c:pt>
                <c:pt idx="709">
                  <c:v>21.2</c:v>
                </c:pt>
                <c:pt idx="710">
                  <c:v>22.8</c:v>
                </c:pt>
                <c:pt idx="711">
                  <c:v>22.8</c:v>
                </c:pt>
                <c:pt idx="712">
                  <c:v>23.3</c:v>
                </c:pt>
                <c:pt idx="713">
                  <c:v>24.2</c:v>
                </c:pt>
                <c:pt idx="714">
                  <c:v>23.2</c:v>
                </c:pt>
                <c:pt idx="715">
                  <c:v>20.6</c:v>
                </c:pt>
                <c:pt idx="716">
                  <c:v>20.6</c:v>
                </c:pt>
                <c:pt idx="717">
                  <c:v>18.5</c:v>
                </c:pt>
                <c:pt idx="718">
                  <c:v>19.3</c:v>
                </c:pt>
                <c:pt idx="719">
                  <c:v>16.5</c:v>
                </c:pt>
                <c:pt idx="720">
                  <c:v>20.3</c:v>
                </c:pt>
                <c:pt idx="721">
                  <c:v>20.2</c:v>
                </c:pt>
                <c:pt idx="722">
                  <c:v>17.8</c:v>
                </c:pt>
                <c:pt idx="723">
                  <c:v>18.600000000000001</c:v>
                </c:pt>
                <c:pt idx="724">
                  <c:v>18.8</c:v>
                </c:pt>
                <c:pt idx="725">
                  <c:v>23.2</c:v>
                </c:pt>
                <c:pt idx="726">
                  <c:v>18.100000000000001</c:v>
                </c:pt>
                <c:pt idx="727">
                  <c:v>17.7</c:v>
                </c:pt>
                <c:pt idx="728">
                  <c:v>20.399999999999999</c:v>
                </c:pt>
                <c:pt idx="729">
                  <c:v>14.6</c:v>
                </c:pt>
                <c:pt idx="730">
                  <c:v>17.8</c:v>
                </c:pt>
                <c:pt idx="731">
                  <c:v>19.600000000000001</c:v>
                </c:pt>
                <c:pt idx="732">
                  <c:v>11</c:v>
                </c:pt>
                <c:pt idx="733">
                  <c:v>15.6</c:v>
                </c:pt>
                <c:pt idx="734">
                  <c:v>17.8</c:v>
                </c:pt>
                <c:pt idx="735">
                  <c:v>17.2</c:v>
                </c:pt>
                <c:pt idx="736">
                  <c:v>23.1</c:v>
                </c:pt>
                <c:pt idx="737">
                  <c:v>13.4</c:v>
                </c:pt>
                <c:pt idx="738">
                  <c:v>12</c:v>
                </c:pt>
                <c:pt idx="739">
                  <c:v>21.8</c:v>
                </c:pt>
                <c:pt idx="740">
                  <c:v>13.3</c:v>
                </c:pt>
                <c:pt idx="741">
                  <c:v>20.6</c:v>
                </c:pt>
                <c:pt idx="742">
                  <c:v>24.4</c:v>
                </c:pt>
                <c:pt idx="743">
                  <c:v>15.8</c:v>
                </c:pt>
                <c:pt idx="744">
                  <c:v>21.6</c:v>
                </c:pt>
                <c:pt idx="745">
                  <c:v>18.7</c:v>
                </c:pt>
                <c:pt idx="746">
                  <c:v>15.2</c:v>
                </c:pt>
                <c:pt idx="747">
                  <c:v>23.6</c:v>
                </c:pt>
                <c:pt idx="748">
                  <c:v>20.3</c:v>
                </c:pt>
                <c:pt idx="749">
                  <c:v>23.1</c:v>
                </c:pt>
                <c:pt idx="750">
                  <c:v>23.2</c:v>
                </c:pt>
                <c:pt idx="751">
                  <c:v>21.3</c:v>
                </c:pt>
                <c:pt idx="752">
                  <c:v>18.7</c:v>
                </c:pt>
                <c:pt idx="753">
                  <c:v>16.8</c:v>
                </c:pt>
                <c:pt idx="754">
                  <c:v>23.2</c:v>
                </c:pt>
                <c:pt idx="755">
                  <c:v>19.899999999999999</c:v>
                </c:pt>
                <c:pt idx="756">
                  <c:v>14.9</c:v>
                </c:pt>
                <c:pt idx="757">
                  <c:v>23.2</c:v>
                </c:pt>
                <c:pt idx="758">
                  <c:v>21.4</c:v>
                </c:pt>
                <c:pt idx="759">
                  <c:v>23.6</c:v>
                </c:pt>
                <c:pt idx="760">
                  <c:v>19.2</c:v>
                </c:pt>
                <c:pt idx="761">
                  <c:v>14.8</c:v>
                </c:pt>
                <c:pt idx="762">
                  <c:v>21.8</c:v>
                </c:pt>
                <c:pt idx="763">
                  <c:v>23.3</c:v>
                </c:pt>
                <c:pt idx="764">
                  <c:v>18.100000000000001</c:v>
                </c:pt>
                <c:pt idx="765">
                  <c:v>22.8</c:v>
                </c:pt>
                <c:pt idx="766">
                  <c:v>22.1</c:v>
                </c:pt>
                <c:pt idx="767">
                  <c:v>20.7</c:v>
                </c:pt>
                <c:pt idx="768">
                  <c:v>18.5</c:v>
                </c:pt>
                <c:pt idx="769">
                  <c:v>22.5</c:v>
                </c:pt>
                <c:pt idx="770">
                  <c:v>22.8</c:v>
                </c:pt>
                <c:pt idx="771">
                  <c:v>20.100000000000001</c:v>
                </c:pt>
                <c:pt idx="772">
                  <c:v>20</c:v>
                </c:pt>
                <c:pt idx="773">
                  <c:v>21.6</c:v>
                </c:pt>
                <c:pt idx="774">
                  <c:v>21.7</c:v>
                </c:pt>
                <c:pt idx="775">
                  <c:v>22.2</c:v>
                </c:pt>
                <c:pt idx="776">
                  <c:v>21.6</c:v>
                </c:pt>
                <c:pt idx="777">
                  <c:v>19.100000000000001</c:v>
                </c:pt>
                <c:pt idx="778">
                  <c:v>21.3</c:v>
                </c:pt>
                <c:pt idx="779">
                  <c:v>21.8</c:v>
                </c:pt>
                <c:pt idx="780">
                  <c:v>18.3</c:v>
                </c:pt>
                <c:pt idx="781">
                  <c:v>23.6</c:v>
                </c:pt>
                <c:pt idx="782">
                  <c:v>24.1</c:v>
                </c:pt>
                <c:pt idx="783">
                  <c:v>19.100000000000001</c:v>
                </c:pt>
                <c:pt idx="784">
                  <c:v>20.6</c:v>
                </c:pt>
                <c:pt idx="785">
                  <c:v>21.6</c:v>
                </c:pt>
                <c:pt idx="786">
                  <c:v>18.600000000000001</c:v>
                </c:pt>
                <c:pt idx="787">
                  <c:v>21.4</c:v>
                </c:pt>
                <c:pt idx="788">
                  <c:v>15</c:v>
                </c:pt>
                <c:pt idx="789">
                  <c:v>23.8</c:v>
                </c:pt>
                <c:pt idx="790">
                  <c:v>22.3</c:v>
                </c:pt>
                <c:pt idx="791">
                  <c:v>20.5</c:v>
                </c:pt>
                <c:pt idx="792">
                  <c:v>25.4</c:v>
                </c:pt>
                <c:pt idx="793">
                  <c:v>19</c:v>
                </c:pt>
                <c:pt idx="794">
                  <c:v>22.8</c:v>
                </c:pt>
                <c:pt idx="795">
                  <c:v>23.2</c:v>
                </c:pt>
                <c:pt idx="796">
                  <c:v>22.6</c:v>
                </c:pt>
                <c:pt idx="797">
                  <c:v>23.6</c:v>
                </c:pt>
                <c:pt idx="798">
                  <c:v>19.899999999999999</c:v>
                </c:pt>
                <c:pt idx="799">
                  <c:v>17.3</c:v>
                </c:pt>
                <c:pt idx="800">
                  <c:v>18.5</c:v>
                </c:pt>
                <c:pt idx="801">
                  <c:v>20.3</c:v>
                </c:pt>
                <c:pt idx="802">
                  <c:v>24.5</c:v>
                </c:pt>
                <c:pt idx="803">
                  <c:v>20.3</c:v>
                </c:pt>
                <c:pt idx="804">
                  <c:v>20.3</c:v>
                </c:pt>
                <c:pt idx="805">
                  <c:v>20.3</c:v>
                </c:pt>
                <c:pt idx="806">
                  <c:v>20.3</c:v>
                </c:pt>
                <c:pt idx="807">
                  <c:v>23</c:v>
                </c:pt>
                <c:pt idx="808">
                  <c:v>18.600000000000001</c:v>
                </c:pt>
                <c:pt idx="809">
                  <c:v>22.7</c:v>
                </c:pt>
                <c:pt idx="810">
                  <c:v>17.399999999999999</c:v>
                </c:pt>
                <c:pt idx="811">
                  <c:v>19.899999999999999</c:v>
                </c:pt>
                <c:pt idx="812">
                  <c:v>20.399999999999999</c:v>
                </c:pt>
                <c:pt idx="813">
                  <c:v>20.3</c:v>
                </c:pt>
                <c:pt idx="814">
                  <c:v>18.600000000000001</c:v>
                </c:pt>
                <c:pt idx="815">
                  <c:v>22.2</c:v>
                </c:pt>
                <c:pt idx="816">
                  <c:v>13.6</c:v>
                </c:pt>
                <c:pt idx="817">
                  <c:v>20.399999999999999</c:v>
                </c:pt>
                <c:pt idx="818">
                  <c:v>22.7</c:v>
                </c:pt>
                <c:pt idx="819">
                  <c:v>18.2</c:v>
                </c:pt>
                <c:pt idx="820">
                  <c:v>21.5</c:v>
                </c:pt>
                <c:pt idx="821">
                  <c:v>16.899999999999999</c:v>
                </c:pt>
                <c:pt idx="822">
                  <c:v>18.899999999999999</c:v>
                </c:pt>
                <c:pt idx="823">
                  <c:v>22.3</c:v>
                </c:pt>
                <c:pt idx="824">
                  <c:v>24.3</c:v>
                </c:pt>
                <c:pt idx="825">
                  <c:v>19.5</c:v>
                </c:pt>
                <c:pt idx="826">
                  <c:v>17.3</c:v>
                </c:pt>
                <c:pt idx="827">
                  <c:v>22.6</c:v>
                </c:pt>
                <c:pt idx="828">
                  <c:v>21.3</c:v>
                </c:pt>
                <c:pt idx="829">
                  <c:v>19.600000000000001</c:v>
                </c:pt>
                <c:pt idx="830">
                  <c:v>23.3</c:v>
                </c:pt>
                <c:pt idx="831">
                  <c:v>15</c:v>
                </c:pt>
                <c:pt idx="832">
                  <c:v>22.7</c:v>
                </c:pt>
                <c:pt idx="833">
                  <c:v>19.600000000000001</c:v>
                </c:pt>
                <c:pt idx="834">
                  <c:v>19.8</c:v>
                </c:pt>
                <c:pt idx="835">
                  <c:v>14.8</c:v>
                </c:pt>
                <c:pt idx="836">
                  <c:v>17.2</c:v>
                </c:pt>
                <c:pt idx="837">
                  <c:v>19.2</c:v>
                </c:pt>
                <c:pt idx="838">
                  <c:v>20.100000000000001</c:v>
                </c:pt>
                <c:pt idx="839">
                  <c:v>17.600000000000001</c:v>
                </c:pt>
                <c:pt idx="840">
                  <c:v>21.4</c:v>
                </c:pt>
                <c:pt idx="841">
                  <c:v>22.5</c:v>
                </c:pt>
                <c:pt idx="842">
                  <c:v>21.3</c:v>
                </c:pt>
                <c:pt idx="843">
                  <c:v>26.4</c:v>
                </c:pt>
                <c:pt idx="844">
                  <c:v>22.2</c:v>
                </c:pt>
                <c:pt idx="845">
                  <c:v>25.4</c:v>
                </c:pt>
                <c:pt idx="846">
                  <c:v>24.9</c:v>
                </c:pt>
                <c:pt idx="847">
                  <c:v>16.600000000000001</c:v>
                </c:pt>
                <c:pt idx="848">
                  <c:v>19.399999999999999</c:v>
                </c:pt>
                <c:pt idx="849">
                  <c:v>18.2</c:v>
                </c:pt>
                <c:pt idx="850">
                  <c:v>24.9</c:v>
                </c:pt>
                <c:pt idx="851">
                  <c:v>22</c:v>
                </c:pt>
                <c:pt idx="852">
                  <c:v>14.9</c:v>
                </c:pt>
                <c:pt idx="853">
                  <c:v>20.399999999999999</c:v>
                </c:pt>
                <c:pt idx="854">
                  <c:v>19.399999999999999</c:v>
                </c:pt>
                <c:pt idx="855">
                  <c:v>23</c:v>
                </c:pt>
                <c:pt idx="856">
                  <c:v>20.7</c:v>
                </c:pt>
                <c:pt idx="857">
                  <c:v>20.3</c:v>
                </c:pt>
                <c:pt idx="858">
                  <c:v>19.3</c:v>
                </c:pt>
                <c:pt idx="859">
                  <c:v>18.399999999999999</c:v>
                </c:pt>
                <c:pt idx="860">
                  <c:v>17.100000000000001</c:v>
                </c:pt>
                <c:pt idx="861">
                  <c:v>13.6</c:v>
                </c:pt>
                <c:pt idx="862">
                  <c:v>20.3</c:v>
                </c:pt>
                <c:pt idx="863">
                  <c:v>19.3</c:v>
                </c:pt>
                <c:pt idx="864">
                  <c:v>18.5</c:v>
                </c:pt>
                <c:pt idx="865">
                  <c:v>18.399999999999999</c:v>
                </c:pt>
                <c:pt idx="866">
                  <c:v>20.9</c:v>
                </c:pt>
                <c:pt idx="867">
                  <c:v>23.7</c:v>
                </c:pt>
                <c:pt idx="868">
                  <c:v>22.6</c:v>
                </c:pt>
                <c:pt idx="869">
                  <c:v>20.3</c:v>
                </c:pt>
                <c:pt idx="870">
                  <c:v>22.1</c:v>
                </c:pt>
                <c:pt idx="871">
                  <c:v>14.3</c:v>
                </c:pt>
                <c:pt idx="872">
                  <c:v>22.1</c:v>
                </c:pt>
                <c:pt idx="873">
                  <c:v>17.5</c:v>
                </c:pt>
                <c:pt idx="874">
                  <c:v>22.1</c:v>
                </c:pt>
                <c:pt idx="875">
                  <c:v>23.7</c:v>
                </c:pt>
                <c:pt idx="876">
                  <c:v>26.3</c:v>
                </c:pt>
                <c:pt idx="877">
                  <c:v>19.3</c:v>
                </c:pt>
                <c:pt idx="878">
                  <c:v>22.1</c:v>
                </c:pt>
                <c:pt idx="879">
                  <c:v>22.1</c:v>
                </c:pt>
                <c:pt idx="880">
                  <c:v>24.8</c:v>
                </c:pt>
                <c:pt idx="881">
                  <c:v>21.6</c:v>
                </c:pt>
                <c:pt idx="882">
                  <c:v>22.4</c:v>
                </c:pt>
                <c:pt idx="883">
                  <c:v>23.1</c:v>
                </c:pt>
                <c:pt idx="884">
                  <c:v>25.6</c:v>
                </c:pt>
                <c:pt idx="885">
                  <c:v>14</c:v>
                </c:pt>
                <c:pt idx="886">
                  <c:v>20.3</c:v>
                </c:pt>
                <c:pt idx="887">
                  <c:v>16.7</c:v>
                </c:pt>
                <c:pt idx="888">
                  <c:v>21.6</c:v>
                </c:pt>
                <c:pt idx="889">
                  <c:v>21.5</c:v>
                </c:pt>
                <c:pt idx="890">
                  <c:v>19.899999999999999</c:v>
                </c:pt>
                <c:pt idx="891">
                  <c:v>22.3</c:v>
                </c:pt>
                <c:pt idx="892">
                  <c:v>19.5</c:v>
                </c:pt>
                <c:pt idx="893">
                  <c:v>19.8</c:v>
                </c:pt>
                <c:pt idx="894">
                  <c:v>19.100000000000001</c:v>
                </c:pt>
                <c:pt idx="895">
                  <c:v>22.4</c:v>
                </c:pt>
                <c:pt idx="896">
                  <c:v>24.2</c:v>
                </c:pt>
                <c:pt idx="897">
                  <c:v>19.7</c:v>
                </c:pt>
                <c:pt idx="898">
                  <c:v>22.8</c:v>
                </c:pt>
                <c:pt idx="899">
                  <c:v>17.5</c:v>
                </c:pt>
                <c:pt idx="900">
                  <c:v>14.5</c:v>
                </c:pt>
                <c:pt idx="901">
                  <c:v>19.600000000000001</c:v>
                </c:pt>
                <c:pt idx="902">
                  <c:v>19.3</c:v>
                </c:pt>
                <c:pt idx="903">
                  <c:v>21.2</c:v>
                </c:pt>
                <c:pt idx="904">
                  <c:v>21.6</c:v>
                </c:pt>
                <c:pt idx="905">
                  <c:v>17</c:v>
                </c:pt>
                <c:pt idx="906">
                  <c:v>21.6</c:v>
                </c:pt>
                <c:pt idx="907">
                  <c:v>21.3</c:v>
                </c:pt>
                <c:pt idx="908">
                  <c:v>19.2</c:v>
                </c:pt>
                <c:pt idx="909">
                  <c:v>15</c:v>
                </c:pt>
                <c:pt idx="910">
                  <c:v>20.5</c:v>
                </c:pt>
                <c:pt idx="911">
                  <c:v>22</c:v>
                </c:pt>
                <c:pt idx="912">
                  <c:v>21.3</c:v>
                </c:pt>
                <c:pt idx="913">
                  <c:v>18.3</c:v>
                </c:pt>
                <c:pt idx="914">
                  <c:v>20.6</c:v>
                </c:pt>
                <c:pt idx="915">
                  <c:v>21.8</c:v>
                </c:pt>
                <c:pt idx="916">
                  <c:v>19.3</c:v>
                </c:pt>
                <c:pt idx="917">
                  <c:v>19.2</c:v>
                </c:pt>
                <c:pt idx="918">
                  <c:v>18.3</c:v>
                </c:pt>
                <c:pt idx="919">
                  <c:v>24.2</c:v>
                </c:pt>
                <c:pt idx="920">
                  <c:v>17.600000000000001</c:v>
                </c:pt>
                <c:pt idx="921">
                  <c:v>19.2</c:v>
                </c:pt>
                <c:pt idx="922">
                  <c:v>20.3</c:v>
                </c:pt>
                <c:pt idx="923">
                  <c:v>19.899999999999999</c:v>
                </c:pt>
                <c:pt idx="924">
                  <c:v>19</c:v>
                </c:pt>
                <c:pt idx="925">
                  <c:v>22.6</c:v>
                </c:pt>
                <c:pt idx="926">
                  <c:v>18.5</c:v>
                </c:pt>
                <c:pt idx="927">
                  <c:v>19.3</c:v>
                </c:pt>
                <c:pt idx="928">
                  <c:v>15.6</c:v>
                </c:pt>
                <c:pt idx="929">
                  <c:v>18.8</c:v>
                </c:pt>
                <c:pt idx="930">
                  <c:v>25.2</c:v>
                </c:pt>
                <c:pt idx="931">
                  <c:v>21.3</c:v>
                </c:pt>
                <c:pt idx="932">
                  <c:v>22.2</c:v>
                </c:pt>
                <c:pt idx="933">
                  <c:v>22.2</c:v>
                </c:pt>
                <c:pt idx="934">
                  <c:v>21.3</c:v>
                </c:pt>
                <c:pt idx="935">
                  <c:v>14.5</c:v>
                </c:pt>
                <c:pt idx="936">
                  <c:v>16.5</c:v>
                </c:pt>
                <c:pt idx="937">
                  <c:v>22.6</c:v>
                </c:pt>
                <c:pt idx="938">
                  <c:v>17.5</c:v>
                </c:pt>
                <c:pt idx="939">
                  <c:v>21.6</c:v>
                </c:pt>
                <c:pt idx="940">
                  <c:v>24.6</c:v>
                </c:pt>
                <c:pt idx="941">
                  <c:v>23.6</c:v>
                </c:pt>
                <c:pt idx="942">
                  <c:v>22.3</c:v>
                </c:pt>
                <c:pt idx="943">
                  <c:v>25.8</c:v>
                </c:pt>
                <c:pt idx="944">
                  <c:v>20.9</c:v>
                </c:pt>
                <c:pt idx="945">
                  <c:v>18.600000000000001</c:v>
                </c:pt>
                <c:pt idx="946">
                  <c:v>20.399999999999999</c:v>
                </c:pt>
                <c:pt idx="947">
                  <c:v>21.8</c:v>
                </c:pt>
                <c:pt idx="948">
                  <c:v>16.2</c:v>
                </c:pt>
                <c:pt idx="949">
                  <c:v>22</c:v>
                </c:pt>
                <c:pt idx="950">
                  <c:v>14.5</c:v>
                </c:pt>
                <c:pt idx="951">
                  <c:v>19.5</c:v>
                </c:pt>
                <c:pt idx="952">
                  <c:v>16.399999999999999</c:v>
                </c:pt>
                <c:pt idx="953">
                  <c:v>18.600000000000001</c:v>
                </c:pt>
                <c:pt idx="954">
                  <c:v>21.5</c:v>
                </c:pt>
                <c:pt idx="955">
                  <c:v>21.6</c:v>
                </c:pt>
                <c:pt idx="956">
                  <c:v>21.1</c:v>
                </c:pt>
                <c:pt idx="957">
                  <c:v>15.9</c:v>
                </c:pt>
                <c:pt idx="958">
                  <c:v>22.6</c:v>
                </c:pt>
                <c:pt idx="959">
                  <c:v>18.100000000000001</c:v>
                </c:pt>
                <c:pt idx="960">
                  <c:v>20.5</c:v>
                </c:pt>
                <c:pt idx="961">
                  <c:v>22.4</c:v>
                </c:pt>
                <c:pt idx="962">
                  <c:v>19.600000000000001</c:v>
                </c:pt>
                <c:pt idx="963">
                  <c:v>14.8</c:v>
                </c:pt>
                <c:pt idx="964">
                  <c:v>20.100000000000001</c:v>
                </c:pt>
                <c:pt idx="965">
                  <c:v>20.2</c:v>
                </c:pt>
                <c:pt idx="966">
                  <c:v>23.5</c:v>
                </c:pt>
                <c:pt idx="967">
                  <c:v>21.6</c:v>
                </c:pt>
                <c:pt idx="968">
                  <c:v>17.2</c:v>
                </c:pt>
                <c:pt idx="969">
                  <c:v>21.2</c:v>
                </c:pt>
                <c:pt idx="970">
                  <c:v>23.2</c:v>
                </c:pt>
                <c:pt idx="971">
                  <c:v>18.8</c:v>
                </c:pt>
                <c:pt idx="972">
                  <c:v>13.8</c:v>
                </c:pt>
                <c:pt idx="973">
                  <c:v>16.899999999999999</c:v>
                </c:pt>
                <c:pt idx="974">
                  <c:v>18.399999999999999</c:v>
                </c:pt>
                <c:pt idx="975">
                  <c:v>22.6</c:v>
                </c:pt>
                <c:pt idx="976">
                  <c:v>17.600000000000001</c:v>
                </c:pt>
                <c:pt idx="977">
                  <c:v>15.7</c:v>
                </c:pt>
                <c:pt idx="978">
                  <c:v>17.399999999999999</c:v>
                </c:pt>
                <c:pt idx="979">
                  <c:v>21.4</c:v>
                </c:pt>
                <c:pt idx="980">
                  <c:v>24.2</c:v>
                </c:pt>
                <c:pt idx="981">
                  <c:v>20.399999999999999</c:v>
                </c:pt>
                <c:pt idx="982">
                  <c:v>20.7</c:v>
                </c:pt>
                <c:pt idx="983">
                  <c:v>18.600000000000001</c:v>
                </c:pt>
                <c:pt idx="984">
                  <c:v>19.100000000000001</c:v>
                </c:pt>
                <c:pt idx="985">
                  <c:v>19.5</c:v>
                </c:pt>
                <c:pt idx="986">
                  <c:v>25.3</c:v>
                </c:pt>
                <c:pt idx="987">
                  <c:v>25.3</c:v>
                </c:pt>
                <c:pt idx="988">
                  <c:v>15.8</c:v>
                </c:pt>
                <c:pt idx="989">
                  <c:v>22.2</c:v>
                </c:pt>
                <c:pt idx="990">
                  <c:v>20.5</c:v>
                </c:pt>
                <c:pt idx="991">
                  <c:v>22.2</c:v>
                </c:pt>
                <c:pt idx="992">
                  <c:v>22.4</c:v>
                </c:pt>
                <c:pt idx="993">
                  <c:v>11.1</c:v>
                </c:pt>
                <c:pt idx="994">
                  <c:v>11.1</c:v>
                </c:pt>
                <c:pt idx="995">
                  <c:v>11.1</c:v>
                </c:pt>
                <c:pt idx="996">
                  <c:v>11.1</c:v>
                </c:pt>
                <c:pt idx="997">
                  <c:v>20.9</c:v>
                </c:pt>
                <c:pt idx="998">
                  <c:v>25.4</c:v>
                </c:pt>
                <c:pt idx="999">
                  <c:v>18.8</c:v>
                </c:pt>
                <c:pt idx="1000">
                  <c:v>15.7</c:v>
                </c:pt>
                <c:pt idx="1001">
                  <c:v>16.899999999999999</c:v>
                </c:pt>
                <c:pt idx="1002">
                  <c:v>19.7</c:v>
                </c:pt>
                <c:pt idx="1003">
                  <c:v>22.6</c:v>
                </c:pt>
                <c:pt idx="1004">
                  <c:v>20.3</c:v>
                </c:pt>
                <c:pt idx="1005">
                  <c:v>19.2</c:v>
                </c:pt>
                <c:pt idx="1006">
                  <c:v>22.1</c:v>
                </c:pt>
                <c:pt idx="1007">
                  <c:v>19.600000000000001</c:v>
                </c:pt>
                <c:pt idx="1008">
                  <c:v>20.2</c:v>
                </c:pt>
                <c:pt idx="1009">
                  <c:v>23.6</c:v>
                </c:pt>
                <c:pt idx="1010">
                  <c:v>24.3</c:v>
                </c:pt>
                <c:pt idx="1011">
                  <c:v>20.3</c:v>
                </c:pt>
                <c:pt idx="1012">
                  <c:v>21.8</c:v>
                </c:pt>
                <c:pt idx="1013">
                  <c:v>21.3</c:v>
                </c:pt>
                <c:pt idx="1014">
                  <c:v>23.2</c:v>
                </c:pt>
                <c:pt idx="1015">
                  <c:v>23.4</c:v>
                </c:pt>
                <c:pt idx="1016">
                  <c:v>19.2</c:v>
                </c:pt>
                <c:pt idx="1017">
                  <c:v>21.2</c:v>
                </c:pt>
                <c:pt idx="1018">
                  <c:v>18.399999999999999</c:v>
                </c:pt>
                <c:pt idx="1019">
                  <c:v>21.2</c:v>
                </c:pt>
                <c:pt idx="1020">
                  <c:v>21.2</c:v>
                </c:pt>
                <c:pt idx="1021">
                  <c:v>22.4</c:v>
                </c:pt>
                <c:pt idx="1022">
                  <c:v>20.3</c:v>
                </c:pt>
                <c:pt idx="1023">
                  <c:v>20.9</c:v>
                </c:pt>
                <c:pt idx="1024">
                  <c:v>17.7</c:v>
                </c:pt>
                <c:pt idx="1025">
                  <c:v>24.5</c:v>
                </c:pt>
                <c:pt idx="1026">
                  <c:v>20</c:v>
                </c:pt>
                <c:pt idx="1027">
                  <c:v>22.4</c:v>
                </c:pt>
                <c:pt idx="1028">
                  <c:v>18.3</c:v>
                </c:pt>
                <c:pt idx="1029">
                  <c:v>17.399999999999999</c:v>
                </c:pt>
                <c:pt idx="1030">
                  <c:v>18.600000000000001</c:v>
                </c:pt>
                <c:pt idx="1031">
                  <c:v>15</c:v>
                </c:pt>
                <c:pt idx="1032">
                  <c:v>18.5</c:v>
                </c:pt>
                <c:pt idx="1033">
                  <c:v>19.8</c:v>
                </c:pt>
                <c:pt idx="1034">
                  <c:v>17.899999999999999</c:v>
                </c:pt>
                <c:pt idx="1035">
                  <c:v>17.3</c:v>
                </c:pt>
                <c:pt idx="1036">
                  <c:v>21.5</c:v>
                </c:pt>
                <c:pt idx="1037">
                  <c:v>20.2</c:v>
                </c:pt>
                <c:pt idx="1038">
                  <c:v>21.4</c:v>
                </c:pt>
                <c:pt idx="1039">
                  <c:v>16.600000000000001</c:v>
                </c:pt>
                <c:pt idx="1040">
                  <c:v>16.5</c:v>
                </c:pt>
                <c:pt idx="1041">
                  <c:v>20.2</c:v>
                </c:pt>
                <c:pt idx="1042">
                  <c:v>19.8</c:v>
                </c:pt>
                <c:pt idx="1043">
                  <c:v>19.5</c:v>
                </c:pt>
                <c:pt idx="1044">
                  <c:v>16.100000000000001</c:v>
                </c:pt>
                <c:pt idx="1045">
                  <c:v>16.399999999999999</c:v>
                </c:pt>
                <c:pt idx="1046">
                  <c:v>16.899999999999999</c:v>
                </c:pt>
                <c:pt idx="1047">
                  <c:v>17.8</c:v>
                </c:pt>
                <c:pt idx="1048">
                  <c:v>23.6</c:v>
                </c:pt>
                <c:pt idx="1049">
                  <c:v>17.7</c:v>
                </c:pt>
                <c:pt idx="1050">
                  <c:v>16.2</c:v>
                </c:pt>
                <c:pt idx="1051">
                  <c:v>18.3</c:v>
                </c:pt>
                <c:pt idx="1052">
                  <c:v>21.2</c:v>
                </c:pt>
                <c:pt idx="1053">
                  <c:v>17.399999999999999</c:v>
                </c:pt>
                <c:pt idx="1054">
                  <c:v>17.3</c:v>
                </c:pt>
                <c:pt idx="1055">
                  <c:v>21.1</c:v>
                </c:pt>
                <c:pt idx="1056">
                  <c:v>23.7</c:v>
                </c:pt>
                <c:pt idx="1057">
                  <c:v>23.1</c:v>
                </c:pt>
                <c:pt idx="1058">
                  <c:v>22.1</c:v>
                </c:pt>
                <c:pt idx="1059">
                  <c:v>19.399999999999999</c:v>
                </c:pt>
                <c:pt idx="1060">
                  <c:v>21.1</c:v>
                </c:pt>
                <c:pt idx="1061">
                  <c:v>18.2</c:v>
                </c:pt>
                <c:pt idx="1062">
                  <c:v>22.6</c:v>
                </c:pt>
                <c:pt idx="1063">
                  <c:v>14.7</c:v>
                </c:pt>
                <c:pt idx="1064">
                  <c:v>28.2</c:v>
                </c:pt>
                <c:pt idx="1065">
                  <c:v>19.600000000000001</c:v>
                </c:pt>
                <c:pt idx="1066">
                  <c:v>20.2</c:v>
                </c:pt>
                <c:pt idx="1067">
                  <c:v>16.8</c:v>
                </c:pt>
                <c:pt idx="1068">
                  <c:v>19.5</c:v>
                </c:pt>
                <c:pt idx="1069">
                  <c:v>15.8</c:v>
                </c:pt>
                <c:pt idx="1070">
                  <c:v>19.600000000000001</c:v>
                </c:pt>
                <c:pt idx="1071">
                  <c:v>18.600000000000001</c:v>
                </c:pt>
                <c:pt idx="1072">
                  <c:v>17.2</c:v>
                </c:pt>
                <c:pt idx="1073">
                  <c:v>23.2</c:v>
                </c:pt>
                <c:pt idx="1074">
                  <c:v>19.100000000000001</c:v>
                </c:pt>
                <c:pt idx="1075">
                  <c:v>15.5</c:v>
                </c:pt>
                <c:pt idx="1076">
                  <c:v>16.8</c:v>
                </c:pt>
                <c:pt idx="1077">
                  <c:v>19.899999999999999</c:v>
                </c:pt>
                <c:pt idx="1078">
                  <c:v>18.2</c:v>
                </c:pt>
                <c:pt idx="1079">
                  <c:v>22.1</c:v>
                </c:pt>
                <c:pt idx="1080">
                  <c:v>20.2</c:v>
                </c:pt>
                <c:pt idx="1081">
                  <c:v>17.399999999999999</c:v>
                </c:pt>
                <c:pt idx="1082">
                  <c:v>24.5</c:v>
                </c:pt>
                <c:pt idx="1083">
                  <c:v>22.9</c:v>
                </c:pt>
                <c:pt idx="1084">
                  <c:v>22.2</c:v>
                </c:pt>
                <c:pt idx="1085">
                  <c:v>20.3</c:v>
                </c:pt>
                <c:pt idx="1086">
                  <c:v>17.600000000000001</c:v>
                </c:pt>
                <c:pt idx="1087">
                  <c:v>21.5</c:v>
                </c:pt>
                <c:pt idx="1088">
                  <c:v>19.7</c:v>
                </c:pt>
                <c:pt idx="1089">
                  <c:v>19.2</c:v>
                </c:pt>
                <c:pt idx="1090">
                  <c:v>22.6</c:v>
                </c:pt>
                <c:pt idx="1091">
                  <c:v>23.1</c:v>
                </c:pt>
                <c:pt idx="1092">
                  <c:v>16.399999999999999</c:v>
                </c:pt>
                <c:pt idx="1093">
                  <c:v>24.4</c:v>
                </c:pt>
                <c:pt idx="1094">
                  <c:v>23.1</c:v>
                </c:pt>
                <c:pt idx="1095">
                  <c:v>21.5</c:v>
                </c:pt>
                <c:pt idx="1096">
                  <c:v>15.4</c:v>
                </c:pt>
                <c:pt idx="1097">
                  <c:v>20.3</c:v>
                </c:pt>
                <c:pt idx="1098">
                  <c:v>16.399999999999999</c:v>
                </c:pt>
                <c:pt idx="1099">
                  <c:v>13.8</c:v>
                </c:pt>
                <c:pt idx="1100">
                  <c:v>18.100000000000001</c:v>
                </c:pt>
                <c:pt idx="1101">
                  <c:v>19.399999999999999</c:v>
                </c:pt>
                <c:pt idx="1102">
                  <c:v>21.9</c:v>
                </c:pt>
                <c:pt idx="1103">
                  <c:v>16.600000000000001</c:v>
                </c:pt>
                <c:pt idx="1104">
                  <c:v>21.2</c:v>
                </c:pt>
                <c:pt idx="1105">
                  <c:v>22.1</c:v>
                </c:pt>
                <c:pt idx="1106">
                  <c:v>22.5</c:v>
                </c:pt>
                <c:pt idx="1107">
                  <c:v>19.3</c:v>
                </c:pt>
                <c:pt idx="1108">
                  <c:v>19.600000000000001</c:v>
                </c:pt>
                <c:pt idx="1109">
                  <c:v>19.7</c:v>
                </c:pt>
                <c:pt idx="1110">
                  <c:v>20.6</c:v>
                </c:pt>
                <c:pt idx="1111">
                  <c:v>14.5</c:v>
                </c:pt>
                <c:pt idx="1112">
                  <c:v>19.399999999999999</c:v>
                </c:pt>
                <c:pt idx="1113">
                  <c:v>20.3</c:v>
                </c:pt>
                <c:pt idx="1114">
                  <c:v>19.399999999999999</c:v>
                </c:pt>
                <c:pt idx="1115">
                  <c:v>20.3</c:v>
                </c:pt>
                <c:pt idx="1116">
                  <c:v>22.6</c:v>
                </c:pt>
                <c:pt idx="1117">
                  <c:v>16.899999999999999</c:v>
                </c:pt>
                <c:pt idx="1118">
                  <c:v>16</c:v>
                </c:pt>
                <c:pt idx="1119">
                  <c:v>21.7</c:v>
                </c:pt>
                <c:pt idx="1120">
                  <c:v>23.4</c:v>
                </c:pt>
                <c:pt idx="1121">
                  <c:v>23.6</c:v>
                </c:pt>
                <c:pt idx="1122">
                  <c:v>21.3</c:v>
                </c:pt>
                <c:pt idx="1123">
                  <c:v>20.100000000000001</c:v>
                </c:pt>
                <c:pt idx="1124">
                  <c:v>21.4</c:v>
                </c:pt>
                <c:pt idx="1125">
                  <c:v>22.4</c:v>
                </c:pt>
                <c:pt idx="1126">
                  <c:v>15.8</c:v>
                </c:pt>
                <c:pt idx="1127">
                  <c:v>24</c:v>
                </c:pt>
                <c:pt idx="1128">
                  <c:v>19.7</c:v>
                </c:pt>
                <c:pt idx="1129">
                  <c:v>16.8</c:v>
                </c:pt>
                <c:pt idx="1130">
                  <c:v>17.5</c:v>
                </c:pt>
                <c:pt idx="1131">
                  <c:v>20.399999999999999</c:v>
                </c:pt>
                <c:pt idx="1132">
                  <c:v>23.2</c:v>
                </c:pt>
                <c:pt idx="1133">
                  <c:v>21</c:v>
                </c:pt>
                <c:pt idx="1134">
                  <c:v>21.3</c:v>
                </c:pt>
                <c:pt idx="1135">
                  <c:v>18.2</c:v>
                </c:pt>
                <c:pt idx="1136">
                  <c:v>19.5</c:v>
                </c:pt>
                <c:pt idx="1137">
                  <c:v>16.7</c:v>
                </c:pt>
                <c:pt idx="1138">
                  <c:v>19.399999999999999</c:v>
                </c:pt>
                <c:pt idx="1139">
                  <c:v>14.1</c:v>
                </c:pt>
                <c:pt idx="1140">
                  <c:v>21</c:v>
                </c:pt>
                <c:pt idx="1141">
                  <c:v>15.3</c:v>
                </c:pt>
                <c:pt idx="1142">
                  <c:v>17.899999999999999</c:v>
                </c:pt>
                <c:pt idx="1143">
                  <c:v>13.6</c:v>
                </c:pt>
                <c:pt idx="1144">
                  <c:v>19.7</c:v>
                </c:pt>
                <c:pt idx="1145">
                  <c:v>17.600000000000001</c:v>
                </c:pt>
                <c:pt idx="1146">
                  <c:v>19.3</c:v>
                </c:pt>
                <c:pt idx="1147">
                  <c:v>17.2</c:v>
                </c:pt>
                <c:pt idx="1148">
                  <c:v>23.3</c:v>
                </c:pt>
                <c:pt idx="1149">
                  <c:v>17.399999999999999</c:v>
                </c:pt>
                <c:pt idx="1150">
                  <c:v>19.8</c:v>
                </c:pt>
                <c:pt idx="1151">
                  <c:v>22.3</c:v>
                </c:pt>
                <c:pt idx="1152">
                  <c:v>19.399999999999999</c:v>
                </c:pt>
                <c:pt idx="1153">
                  <c:v>20.399999999999999</c:v>
                </c:pt>
                <c:pt idx="1154">
                  <c:v>21.4</c:v>
                </c:pt>
                <c:pt idx="1155">
                  <c:v>20.8</c:v>
                </c:pt>
                <c:pt idx="1156">
                  <c:v>20</c:v>
                </c:pt>
                <c:pt idx="1157">
                  <c:v>20.9</c:v>
                </c:pt>
                <c:pt idx="1158">
                  <c:v>21.5</c:v>
                </c:pt>
                <c:pt idx="1159">
                  <c:v>24.2</c:v>
                </c:pt>
                <c:pt idx="1160">
                  <c:v>22.6</c:v>
                </c:pt>
                <c:pt idx="1161">
                  <c:v>22.2</c:v>
                </c:pt>
                <c:pt idx="1162">
                  <c:v>23.3</c:v>
                </c:pt>
                <c:pt idx="1163">
                  <c:v>18.8</c:v>
                </c:pt>
                <c:pt idx="1164">
                  <c:v>18</c:v>
                </c:pt>
                <c:pt idx="1165">
                  <c:v>19.7</c:v>
                </c:pt>
                <c:pt idx="1166">
                  <c:v>21.3</c:v>
                </c:pt>
                <c:pt idx="1167">
                  <c:v>19.600000000000001</c:v>
                </c:pt>
                <c:pt idx="1168">
                  <c:v>18.3</c:v>
                </c:pt>
                <c:pt idx="1169">
                  <c:v>17.600000000000001</c:v>
                </c:pt>
                <c:pt idx="1170">
                  <c:v>18.600000000000001</c:v>
                </c:pt>
                <c:pt idx="1171">
                  <c:v>21.1</c:v>
                </c:pt>
                <c:pt idx="1172">
                  <c:v>18.2</c:v>
                </c:pt>
                <c:pt idx="1173">
                  <c:v>21.5</c:v>
                </c:pt>
                <c:pt idx="1174">
                  <c:v>16.7</c:v>
                </c:pt>
                <c:pt idx="1175">
                  <c:v>17.600000000000001</c:v>
                </c:pt>
                <c:pt idx="1176">
                  <c:v>19.399999999999999</c:v>
                </c:pt>
                <c:pt idx="1177">
                  <c:v>18.100000000000001</c:v>
                </c:pt>
                <c:pt idx="1178">
                  <c:v>18.3</c:v>
                </c:pt>
                <c:pt idx="1179">
                  <c:v>19.5</c:v>
                </c:pt>
                <c:pt idx="1180">
                  <c:v>19.600000000000001</c:v>
                </c:pt>
                <c:pt idx="1181">
                  <c:v>22.4</c:v>
                </c:pt>
                <c:pt idx="1182">
                  <c:v>16.7</c:v>
                </c:pt>
                <c:pt idx="1183">
                  <c:v>20.2</c:v>
                </c:pt>
                <c:pt idx="1184">
                  <c:v>22.1</c:v>
                </c:pt>
                <c:pt idx="1185">
                  <c:v>20.9</c:v>
                </c:pt>
                <c:pt idx="1186">
                  <c:v>18.2</c:v>
                </c:pt>
                <c:pt idx="1187">
                  <c:v>17.5</c:v>
                </c:pt>
                <c:pt idx="1188">
                  <c:v>12.7</c:v>
                </c:pt>
                <c:pt idx="1189">
                  <c:v>25.3</c:v>
                </c:pt>
                <c:pt idx="1190">
                  <c:v>17.899999999999999</c:v>
                </c:pt>
                <c:pt idx="1191">
                  <c:v>15.7</c:v>
                </c:pt>
                <c:pt idx="1192">
                  <c:v>28.3</c:v>
                </c:pt>
                <c:pt idx="1193">
                  <c:v>22.5</c:v>
                </c:pt>
                <c:pt idx="1194">
                  <c:v>17</c:v>
                </c:pt>
                <c:pt idx="1195">
                  <c:v>18.5</c:v>
                </c:pt>
                <c:pt idx="1196">
                  <c:v>18.2</c:v>
                </c:pt>
                <c:pt idx="1197">
                  <c:v>20.6</c:v>
                </c:pt>
                <c:pt idx="1198">
                  <c:v>18.3</c:v>
                </c:pt>
                <c:pt idx="1199">
                  <c:v>15.1</c:v>
                </c:pt>
                <c:pt idx="1200">
                  <c:v>18.8</c:v>
                </c:pt>
                <c:pt idx="1201">
                  <c:v>21.6</c:v>
                </c:pt>
                <c:pt idx="1202">
                  <c:v>17.8</c:v>
                </c:pt>
                <c:pt idx="1203">
                  <c:v>17.3</c:v>
                </c:pt>
                <c:pt idx="1204">
                  <c:v>17.899999999999999</c:v>
                </c:pt>
                <c:pt idx="1205">
                  <c:v>19.600000000000001</c:v>
                </c:pt>
                <c:pt idx="1206">
                  <c:v>17.399999999999999</c:v>
                </c:pt>
                <c:pt idx="1207">
                  <c:v>19.3</c:v>
                </c:pt>
                <c:pt idx="1208">
                  <c:v>17.5</c:v>
                </c:pt>
                <c:pt idx="1209">
                  <c:v>17</c:v>
                </c:pt>
                <c:pt idx="1210">
                  <c:v>14.4</c:v>
                </c:pt>
                <c:pt idx="1211">
                  <c:v>14.2</c:v>
                </c:pt>
                <c:pt idx="1212">
                  <c:v>13.5</c:v>
                </c:pt>
                <c:pt idx="1213">
                  <c:v>19.7</c:v>
                </c:pt>
                <c:pt idx="1214">
                  <c:v>13.3</c:v>
                </c:pt>
                <c:pt idx="1215">
                  <c:v>19.899999999999999</c:v>
                </c:pt>
                <c:pt idx="1216">
                  <c:v>16.2</c:v>
                </c:pt>
                <c:pt idx="1217">
                  <c:v>17.600000000000001</c:v>
                </c:pt>
                <c:pt idx="1218">
                  <c:v>18</c:v>
                </c:pt>
                <c:pt idx="1219">
                  <c:v>17.8</c:v>
                </c:pt>
                <c:pt idx="1220">
                  <c:v>17.600000000000001</c:v>
                </c:pt>
                <c:pt idx="1221">
                  <c:v>13.7</c:v>
                </c:pt>
                <c:pt idx="1222">
                  <c:v>17.7</c:v>
                </c:pt>
                <c:pt idx="1223">
                  <c:v>15.7</c:v>
                </c:pt>
                <c:pt idx="1224">
                  <c:v>13.5</c:v>
                </c:pt>
                <c:pt idx="1225">
                  <c:v>14.7</c:v>
                </c:pt>
                <c:pt idx="1226">
                  <c:v>13.4</c:v>
                </c:pt>
                <c:pt idx="1227">
                  <c:v>12.4</c:v>
                </c:pt>
                <c:pt idx="1228">
                  <c:v>18.600000000000001</c:v>
                </c:pt>
                <c:pt idx="1229">
                  <c:v>14.9</c:v>
                </c:pt>
                <c:pt idx="1230">
                  <c:v>10.4</c:v>
                </c:pt>
                <c:pt idx="1231">
                  <c:v>15.5</c:v>
                </c:pt>
                <c:pt idx="1232">
                  <c:v>15.6</c:v>
                </c:pt>
                <c:pt idx="1233">
                  <c:v>18.899999999999999</c:v>
                </c:pt>
                <c:pt idx="1234">
                  <c:v>17.3</c:v>
                </c:pt>
                <c:pt idx="1235">
                  <c:v>17.100000000000001</c:v>
                </c:pt>
                <c:pt idx="1236">
                  <c:v>16.5</c:v>
                </c:pt>
                <c:pt idx="1237">
                  <c:v>13.8</c:v>
                </c:pt>
                <c:pt idx="1238">
                  <c:v>14.5</c:v>
                </c:pt>
                <c:pt idx="1239">
                  <c:v>19.399999999999999</c:v>
                </c:pt>
                <c:pt idx="1240">
                  <c:v>17.2</c:v>
                </c:pt>
                <c:pt idx="1241">
                  <c:v>17.8</c:v>
                </c:pt>
                <c:pt idx="1242">
                  <c:v>18.7</c:v>
                </c:pt>
                <c:pt idx="1243">
                  <c:v>12.8</c:v>
                </c:pt>
                <c:pt idx="1244">
                  <c:v>14.3</c:v>
                </c:pt>
                <c:pt idx="1245">
                  <c:v>16.8</c:v>
                </c:pt>
                <c:pt idx="1246">
                  <c:v>11</c:v>
                </c:pt>
                <c:pt idx="1247">
                  <c:v>11</c:v>
                </c:pt>
                <c:pt idx="1248">
                  <c:v>12.7</c:v>
                </c:pt>
                <c:pt idx="1249">
                  <c:v>14.7</c:v>
                </c:pt>
                <c:pt idx="1250">
                  <c:v>17.2</c:v>
                </c:pt>
                <c:pt idx="1251">
                  <c:v>17.600000000000001</c:v>
                </c:pt>
                <c:pt idx="1252">
                  <c:v>15.3</c:v>
                </c:pt>
                <c:pt idx="1253">
                  <c:v>15.5</c:v>
                </c:pt>
                <c:pt idx="1254">
                  <c:v>18.899999999999999</c:v>
                </c:pt>
                <c:pt idx="1255">
                  <c:v>19.899999999999999</c:v>
                </c:pt>
                <c:pt idx="1256">
                  <c:v>12.7</c:v>
                </c:pt>
                <c:pt idx="1257">
                  <c:v>16.8</c:v>
                </c:pt>
                <c:pt idx="1258">
                  <c:v>11.4</c:v>
                </c:pt>
                <c:pt idx="1259">
                  <c:v>13.5</c:v>
                </c:pt>
                <c:pt idx="1260">
                  <c:v>15.3</c:v>
                </c:pt>
                <c:pt idx="1261">
                  <c:v>17.2</c:v>
                </c:pt>
                <c:pt idx="1262">
                  <c:v>14.5</c:v>
                </c:pt>
                <c:pt idx="1263">
                  <c:v>15.5</c:v>
                </c:pt>
                <c:pt idx="1264">
                  <c:v>14.5</c:v>
                </c:pt>
                <c:pt idx="1265">
                  <c:v>10.8</c:v>
                </c:pt>
                <c:pt idx="1266">
                  <c:v>17.899999999999999</c:v>
                </c:pt>
                <c:pt idx="1267">
                  <c:v>20.100000000000001</c:v>
                </c:pt>
                <c:pt idx="1268">
                  <c:v>16.899999999999999</c:v>
                </c:pt>
                <c:pt idx="1269">
                  <c:v>13.9</c:v>
                </c:pt>
                <c:pt idx="1270">
                  <c:v>17.8</c:v>
                </c:pt>
                <c:pt idx="1271">
                  <c:v>16.899999999999999</c:v>
                </c:pt>
                <c:pt idx="1272">
                  <c:v>17.5</c:v>
                </c:pt>
                <c:pt idx="1273">
                  <c:v>12.8</c:v>
                </c:pt>
                <c:pt idx="1274">
                  <c:v>16.2</c:v>
                </c:pt>
                <c:pt idx="1275">
                  <c:v>15.7</c:v>
                </c:pt>
                <c:pt idx="1276">
                  <c:v>18.7</c:v>
                </c:pt>
                <c:pt idx="1277">
                  <c:v>12.4</c:v>
                </c:pt>
                <c:pt idx="1278">
                  <c:v>15.9</c:v>
                </c:pt>
                <c:pt idx="1279">
                  <c:v>18.100000000000001</c:v>
                </c:pt>
                <c:pt idx="1280">
                  <c:v>15.5</c:v>
                </c:pt>
                <c:pt idx="1281">
                  <c:v>18.899999999999999</c:v>
                </c:pt>
                <c:pt idx="1282">
                  <c:v>13.9</c:v>
                </c:pt>
                <c:pt idx="1283">
                  <c:v>10.5</c:v>
                </c:pt>
                <c:pt idx="1284">
                  <c:v>12</c:v>
                </c:pt>
                <c:pt idx="1285">
                  <c:v>15.9</c:v>
                </c:pt>
                <c:pt idx="1286">
                  <c:v>15.6</c:v>
                </c:pt>
                <c:pt idx="1287">
                  <c:v>18.7</c:v>
                </c:pt>
                <c:pt idx="1288">
                  <c:v>18.7</c:v>
                </c:pt>
                <c:pt idx="1289">
                  <c:v>12.2</c:v>
                </c:pt>
                <c:pt idx="1290">
                  <c:v>13.6</c:v>
                </c:pt>
                <c:pt idx="1291">
                  <c:v>10.5</c:v>
                </c:pt>
                <c:pt idx="1292">
                  <c:v>16.2</c:v>
                </c:pt>
                <c:pt idx="1293">
                  <c:v>7.3</c:v>
                </c:pt>
                <c:pt idx="1294">
                  <c:v>11.6</c:v>
                </c:pt>
                <c:pt idx="1295">
                  <c:v>11.6</c:v>
                </c:pt>
                <c:pt idx="1296">
                  <c:v>10.1</c:v>
                </c:pt>
                <c:pt idx="1297">
                  <c:v>20.9</c:v>
                </c:pt>
                <c:pt idx="1298">
                  <c:v>10.7</c:v>
                </c:pt>
                <c:pt idx="1299">
                  <c:v>8.3000000000000007</c:v>
                </c:pt>
                <c:pt idx="1300">
                  <c:v>9.6</c:v>
                </c:pt>
                <c:pt idx="1301">
                  <c:v>7.9</c:v>
                </c:pt>
                <c:pt idx="1302">
                  <c:v>16.899999999999999</c:v>
                </c:pt>
                <c:pt idx="1303">
                  <c:v>10.4</c:v>
                </c:pt>
                <c:pt idx="1304">
                  <c:v>11.5</c:v>
                </c:pt>
                <c:pt idx="1305">
                  <c:v>17</c:v>
                </c:pt>
                <c:pt idx="1306">
                  <c:v>16.899999999999999</c:v>
                </c:pt>
                <c:pt idx="1307">
                  <c:v>9.3000000000000007</c:v>
                </c:pt>
                <c:pt idx="1308">
                  <c:v>8.1999999999999993</c:v>
                </c:pt>
                <c:pt idx="1309">
                  <c:v>8.1999999999999993</c:v>
                </c:pt>
                <c:pt idx="1310">
                  <c:v>13.6</c:v>
                </c:pt>
                <c:pt idx="1311">
                  <c:v>11.6</c:v>
                </c:pt>
                <c:pt idx="1312">
                  <c:v>16.5</c:v>
                </c:pt>
                <c:pt idx="1313">
                  <c:v>10.6</c:v>
                </c:pt>
                <c:pt idx="1314">
                  <c:v>11.5</c:v>
                </c:pt>
                <c:pt idx="1315">
                  <c:v>10.8</c:v>
                </c:pt>
                <c:pt idx="1316">
                  <c:v>18.5</c:v>
                </c:pt>
                <c:pt idx="1317">
                  <c:v>12.2</c:v>
                </c:pt>
                <c:pt idx="1318">
                  <c:v>8.6</c:v>
                </c:pt>
                <c:pt idx="1319">
                  <c:v>8.1999999999999993</c:v>
                </c:pt>
                <c:pt idx="1320">
                  <c:v>12.2</c:v>
                </c:pt>
                <c:pt idx="1321">
                  <c:v>10.4</c:v>
                </c:pt>
                <c:pt idx="1322">
                  <c:v>17.8</c:v>
                </c:pt>
                <c:pt idx="1323">
                  <c:v>15.5</c:v>
                </c:pt>
                <c:pt idx="1324">
                  <c:v>17.899999999999999</c:v>
                </c:pt>
                <c:pt idx="1325">
                  <c:v>10.3</c:v>
                </c:pt>
                <c:pt idx="1326">
                  <c:v>17.2</c:v>
                </c:pt>
                <c:pt idx="1327">
                  <c:v>14.8</c:v>
                </c:pt>
                <c:pt idx="1328">
                  <c:v>9.1</c:v>
                </c:pt>
                <c:pt idx="1329">
                  <c:v>10</c:v>
                </c:pt>
                <c:pt idx="1330">
                  <c:v>11.3</c:v>
                </c:pt>
                <c:pt idx="1331">
                  <c:v>9.6</c:v>
                </c:pt>
                <c:pt idx="1332">
                  <c:v>11.6</c:v>
                </c:pt>
                <c:pt idx="1333">
                  <c:v>12.5</c:v>
                </c:pt>
                <c:pt idx="1334">
                  <c:v>9.8000000000000007</c:v>
                </c:pt>
                <c:pt idx="1335">
                  <c:v>9.8000000000000007</c:v>
                </c:pt>
                <c:pt idx="1336">
                  <c:v>12.1</c:v>
                </c:pt>
                <c:pt idx="1337">
                  <c:v>10.5</c:v>
                </c:pt>
                <c:pt idx="1338">
                  <c:v>8.6</c:v>
                </c:pt>
                <c:pt idx="1339">
                  <c:v>9.6</c:v>
                </c:pt>
                <c:pt idx="1340">
                  <c:v>12.9</c:v>
                </c:pt>
                <c:pt idx="1341">
                  <c:v>9.5</c:v>
                </c:pt>
                <c:pt idx="1342">
                  <c:v>12.5</c:v>
                </c:pt>
                <c:pt idx="1343">
                  <c:v>12.2</c:v>
                </c:pt>
                <c:pt idx="1344">
                  <c:v>11.8</c:v>
                </c:pt>
                <c:pt idx="1345">
                  <c:v>13.6</c:v>
                </c:pt>
                <c:pt idx="1346">
                  <c:v>11.3</c:v>
                </c:pt>
                <c:pt idx="1347">
                  <c:v>10.8</c:v>
                </c:pt>
                <c:pt idx="1348">
                  <c:v>9.5</c:v>
                </c:pt>
                <c:pt idx="1349">
                  <c:v>9.6999999999999993</c:v>
                </c:pt>
                <c:pt idx="1350">
                  <c:v>10.3</c:v>
                </c:pt>
                <c:pt idx="1351">
                  <c:v>11.6</c:v>
                </c:pt>
                <c:pt idx="1352">
                  <c:v>15.7</c:v>
                </c:pt>
                <c:pt idx="1353">
                  <c:v>10.3</c:v>
                </c:pt>
                <c:pt idx="1354">
                  <c:v>16</c:v>
                </c:pt>
                <c:pt idx="1355">
                  <c:v>10.9</c:v>
                </c:pt>
                <c:pt idx="1356">
                  <c:v>15.4</c:v>
                </c:pt>
                <c:pt idx="1357">
                  <c:v>8.1999999999999993</c:v>
                </c:pt>
              </c:numCache>
            </c:numRef>
          </c:val>
          <c:smooth val="0"/>
          <c:extLst>
            <c:ext xmlns:c16="http://schemas.microsoft.com/office/drawing/2014/chart" uri="{C3380CC4-5D6E-409C-BE32-E72D297353CC}">
              <c16:uniqueId val="{00000000-9834-4D49-913A-CE4930672E29}"/>
            </c:ext>
          </c:extLst>
        </c:ser>
        <c:dLbls>
          <c:showLegendKey val="0"/>
          <c:showVal val="0"/>
          <c:showCatName val="0"/>
          <c:showSerName val="0"/>
          <c:showPercent val="0"/>
          <c:showBubbleSize val="0"/>
        </c:dLbls>
        <c:marker val="1"/>
        <c:smooth val="0"/>
        <c:axId val="405154752"/>
        <c:axId val="405164000"/>
      </c:lineChart>
      <c:lineChart>
        <c:grouping val="stacked"/>
        <c:varyColors val="0"/>
        <c:ser>
          <c:idx val="1"/>
          <c:order val="1"/>
          <c:tx>
            <c:v>AV Coke Temperature</c:v>
          </c:tx>
          <c:spPr>
            <a:ln w="57150">
              <a:solidFill>
                <a:srgbClr val="FF0000"/>
              </a:solidFill>
            </a:ln>
          </c:spPr>
          <c:marker>
            <c:symbol val="none"/>
          </c:marker>
          <c:cat>
            <c:multiLvlStrRef>
              <c:f>'Coke Moisture'!$C$17:$D$500</c:f>
              <c:multiLvlStrCache>
                <c:ptCount val="484"/>
                <c:lvl>
                  <c:pt idx="0">
                    <c:v>8:10</c:v>
                  </c:pt>
                  <c:pt idx="1">
                    <c:v>13:30</c:v>
                  </c:pt>
                  <c:pt idx="2">
                    <c:v>17:00</c:v>
                  </c:pt>
                  <c:pt idx="3">
                    <c:v>20:45</c:v>
                  </c:pt>
                  <c:pt idx="4">
                    <c:v>23:10</c:v>
                  </c:pt>
                  <c:pt idx="5">
                    <c:v>3:40</c:v>
                  </c:pt>
                  <c:pt idx="6">
                    <c:v>11:25</c:v>
                  </c:pt>
                  <c:pt idx="7">
                    <c:v>15:00</c:v>
                  </c:pt>
                  <c:pt idx="8">
                    <c:v>18:15</c:v>
                  </c:pt>
                  <c:pt idx="9">
                    <c:v>22:50</c:v>
                  </c:pt>
                  <c:pt idx="10">
                    <c:v>2:05</c:v>
                  </c:pt>
                  <c:pt idx="11">
                    <c:v>11:00</c:v>
                  </c:pt>
                  <c:pt idx="12">
                    <c:v>15:30</c:v>
                  </c:pt>
                  <c:pt idx="13">
                    <c:v>18:10</c:v>
                  </c:pt>
                  <c:pt idx="14">
                    <c:v>22:50</c:v>
                  </c:pt>
                  <c:pt idx="15">
                    <c:v>2:05</c:v>
                  </c:pt>
                  <c:pt idx="16">
                    <c:v>8:30</c:v>
                  </c:pt>
                  <c:pt idx="17">
                    <c:v>12:00</c:v>
                  </c:pt>
                  <c:pt idx="18">
                    <c:v>15:40</c:v>
                  </c:pt>
                  <c:pt idx="19">
                    <c:v>18:10</c:v>
                  </c:pt>
                  <c:pt idx="20">
                    <c:v>22:00</c:v>
                  </c:pt>
                  <c:pt idx="21">
                    <c:v>2:10</c:v>
                  </c:pt>
                  <c:pt idx="22">
                    <c:v>12:10</c:v>
                  </c:pt>
                  <c:pt idx="23">
                    <c:v>15:45</c:v>
                  </c:pt>
                  <c:pt idx="24">
                    <c:v>19:10</c:v>
                  </c:pt>
                  <c:pt idx="25">
                    <c:v>23:10</c:v>
                  </c:pt>
                  <c:pt idx="26">
                    <c:v>2:30</c:v>
                  </c:pt>
                  <c:pt idx="27">
                    <c:v>3:25</c:v>
                  </c:pt>
                  <c:pt idx="28">
                    <c:v>12:50</c:v>
                  </c:pt>
                  <c:pt idx="29">
                    <c:v>14:35</c:v>
                  </c:pt>
                  <c:pt idx="30">
                    <c:v>18:10</c:v>
                  </c:pt>
                  <c:pt idx="31">
                    <c:v>22:30</c:v>
                  </c:pt>
                  <c:pt idx="32">
                    <c:v>2:45</c:v>
                  </c:pt>
                  <c:pt idx="33">
                    <c:v>9:35</c:v>
                  </c:pt>
                  <c:pt idx="34">
                    <c:v>13:05</c:v>
                  </c:pt>
                  <c:pt idx="35">
                    <c:v>20:10</c:v>
                  </c:pt>
                  <c:pt idx="36">
                    <c:v>2:10</c:v>
                  </c:pt>
                  <c:pt idx="37">
                    <c:v>9:00</c:v>
                  </c:pt>
                  <c:pt idx="38">
                    <c:v>14:15</c:v>
                  </c:pt>
                  <c:pt idx="39">
                    <c:v>23:10</c:v>
                  </c:pt>
                  <c:pt idx="40">
                    <c:v>0:15</c:v>
                  </c:pt>
                  <c:pt idx="41">
                    <c:v>3:40</c:v>
                  </c:pt>
                  <c:pt idx="42">
                    <c:v>16:45</c:v>
                  </c:pt>
                  <c:pt idx="43">
                    <c:v>15:35</c:v>
                  </c:pt>
                  <c:pt idx="44">
                    <c:v>19:45</c:v>
                  </c:pt>
                  <c:pt idx="45">
                    <c:v>11:45</c:v>
                  </c:pt>
                  <c:pt idx="46">
                    <c:v>4:40</c:v>
                  </c:pt>
                  <c:pt idx="47">
                    <c:v>14:35</c:v>
                  </c:pt>
                  <c:pt idx="48">
                    <c:v>18:05</c:v>
                  </c:pt>
                  <c:pt idx="49">
                    <c:v>22:00</c:v>
                  </c:pt>
                  <c:pt idx="50">
                    <c:v>2:10</c:v>
                  </c:pt>
                  <c:pt idx="51">
                    <c:v>11:15</c:v>
                  </c:pt>
                  <c:pt idx="52">
                    <c:v>11:15</c:v>
                  </c:pt>
                  <c:pt idx="53">
                    <c:v>14:15</c:v>
                  </c:pt>
                  <c:pt idx="54">
                    <c:v>12:45</c:v>
                  </c:pt>
                  <c:pt idx="55">
                    <c:v>14:35</c:v>
                  </c:pt>
                  <c:pt idx="56">
                    <c:v>12:10</c:v>
                  </c:pt>
                  <c:pt idx="57">
                    <c:v>15:35</c:v>
                  </c:pt>
                  <c:pt idx="58">
                    <c:v>18:25</c:v>
                  </c:pt>
                  <c:pt idx="59">
                    <c:v>0:10</c:v>
                  </c:pt>
                  <c:pt idx="60">
                    <c:v>3:45</c:v>
                  </c:pt>
                  <c:pt idx="61">
                    <c:v>11:10</c:v>
                  </c:pt>
                  <c:pt idx="62">
                    <c:v>15:15</c:v>
                  </c:pt>
                  <c:pt idx="63">
                    <c:v>18:20</c:v>
                  </c:pt>
                  <c:pt idx="64">
                    <c:v>22:50</c:v>
                  </c:pt>
                  <c:pt idx="65">
                    <c:v>2:14</c:v>
                  </c:pt>
                  <c:pt idx="66">
                    <c:v>11:10</c:v>
                  </c:pt>
                  <c:pt idx="67">
                    <c:v>14:40</c:v>
                  </c:pt>
                  <c:pt idx="68">
                    <c:v>18:20</c:v>
                  </c:pt>
                  <c:pt idx="69">
                    <c:v>22:40</c:v>
                  </c:pt>
                  <c:pt idx="70">
                    <c:v>2:25</c:v>
                  </c:pt>
                  <c:pt idx="71">
                    <c:v>12:30</c:v>
                  </c:pt>
                  <c:pt idx="72">
                    <c:v>14:40</c:v>
                  </c:pt>
                  <c:pt idx="73">
                    <c:v>18:20</c:v>
                  </c:pt>
                  <c:pt idx="74">
                    <c:v>22:50</c:v>
                  </c:pt>
                  <c:pt idx="75">
                    <c:v>2:20</c:v>
                  </c:pt>
                  <c:pt idx="76">
                    <c:v>12:15</c:v>
                  </c:pt>
                  <c:pt idx="77">
                    <c:v>14:45</c:v>
                  </c:pt>
                  <c:pt idx="78">
                    <c:v>18:30</c:v>
                  </c:pt>
                  <c:pt idx="79">
                    <c:v>22:40</c:v>
                  </c:pt>
                  <c:pt idx="80">
                    <c:v>2:10</c:v>
                  </c:pt>
                  <c:pt idx="81">
                    <c:v>12:45</c:v>
                  </c:pt>
                  <c:pt idx="82">
                    <c:v>15:15</c:v>
                  </c:pt>
                  <c:pt idx="83">
                    <c:v>2:05</c:v>
                  </c:pt>
                  <c:pt idx="84">
                    <c:v>12:00</c:v>
                  </c:pt>
                  <c:pt idx="85">
                    <c:v>15:30</c:v>
                  </c:pt>
                  <c:pt idx="86">
                    <c:v>2:15</c:v>
                  </c:pt>
                  <c:pt idx="87">
                    <c:v>5:30</c:v>
                  </c:pt>
                  <c:pt idx="88">
                    <c:v>22:50</c:v>
                  </c:pt>
                  <c:pt idx="89">
                    <c:v>2:15</c:v>
                  </c:pt>
                  <c:pt idx="90">
                    <c:v>11:05</c:v>
                  </c:pt>
                  <c:pt idx="91">
                    <c:v>14:45</c:v>
                  </c:pt>
                  <c:pt idx="92">
                    <c:v>18:50</c:v>
                  </c:pt>
                  <c:pt idx="93">
                    <c:v>22:45</c:v>
                  </c:pt>
                  <c:pt idx="94">
                    <c:v>11:00</c:v>
                  </c:pt>
                  <c:pt idx="95">
                    <c:v>14:45</c:v>
                  </c:pt>
                  <c:pt idx="96">
                    <c:v>18:50</c:v>
                  </c:pt>
                  <c:pt idx="97">
                    <c:v>22:45</c:v>
                  </c:pt>
                  <c:pt idx="98">
                    <c:v>2:15</c:v>
                  </c:pt>
                  <c:pt idx="99">
                    <c:v>11:45</c:v>
                  </c:pt>
                  <c:pt idx="100">
                    <c:v>16:40</c:v>
                  </c:pt>
                  <c:pt idx="101">
                    <c:v>20:15</c:v>
                  </c:pt>
                  <c:pt idx="102">
                    <c:v>12:30</c:v>
                  </c:pt>
                  <c:pt idx="103">
                    <c:v>16:20</c:v>
                  </c:pt>
                  <c:pt idx="104">
                    <c:v>23:40</c:v>
                  </c:pt>
                  <c:pt idx="105">
                    <c:v>3:15</c:v>
                  </c:pt>
                  <c:pt idx="106">
                    <c:v>14:15</c:v>
                  </c:pt>
                  <c:pt idx="107">
                    <c:v>16:10</c:v>
                  </c:pt>
                  <c:pt idx="108">
                    <c:v>20:15</c:v>
                  </c:pt>
                  <c:pt idx="109">
                    <c:v>23:20</c:v>
                  </c:pt>
                  <c:pt idx="110">
                    <c:v>2:50</c:v>
                  </c:pt>
                  <c:pt idx="111">
                    <c:v>14:15</c:v>
                  </c:pt>
                  <c:pt idx="112">
                    <c:v>16:10</c:v>
                  </c:pt>
                  <c:pt idx="113">
                    <c:v>20:15</c:v>
                  </c:pt>
                  <c:pt idx="114">
                    <c:v>1:40</c:v>
                  </c:pt>
                  <c:pt idx="115">
                    <c:v>5:45</c:v>
                  </c:pt>
                  <c:pt idx="116">
                    <c:v>12:30</c:v>
                  </c:pt>
                  <c:pt idx="117">
                    <c:v>14:48</c:v>
                  </c:pt>
                  <c:pt idx="118">
                    <c:v>20:15</c:v>
                  </c:pt>
                  <c:pt idx="119">
                    <c:v>23:20</c:v>
                  </c:pt>
                  <c:pt idx="120">
                    <c:v>2:20</c:v>
                  </c:pt>
                  <c:pt idx="121">
                    <c:v>11:00</c:v>
                  </c:pt>
                  <c:pt idx="122">
                    <c:v>14:40</c:v>
                  </c:pt>
                  <c:pt idx="123">
                    <c:v>18:15</c:v>
                  </c:pt>
                  <c:pt idx="124">
                    <c:v>23:20</c:v>
                  </c:pt>
                  <c:pt idx="125">
                    <c:v>2:15</c:v>
                  </c:pt>
                  <c:pt idx="126">
                    <c:v>10:45</c:v>
                  </c:pt>
                  <c:pt idx="127">
                    <c:v>14:45</c:v>
                  </c:pt>
                  <c:pt idx="128">
                    <c:v>21:06</c:v>
                  </c:pt>
                  <c:pt idx="129">
                    <c:v>1:25</c:v>
                  </c:pt>
                  <c:pt idx="130">
                    <c:v>14:45</c:v>
                  </c:pt>
                  <c:pt idx="131">
                    <c:v>1:30</c:v>
                  </c:pt>
                  <c:pt idx="132">
                    <c:v>3:00</c:v>
                  </c:pt>
                  <c:pt idx="133">
                    <c:v>15:15</c:v>
                  </c:pt>
                  <c:pt idx="134">
                    <c:v>11:40</c:v>
                  </c:pt>
                  <c:pt idx="135">
                    <c:v>19:10</c:v>
                  </c:pt>
                  <c:pt idx="136">
                    <c:v>23:05</c:v>
                  </c:pt>
                  <c:pt idx="137">
                    <c:v>2:05</c:v>
                  </c:pt>
                  <c:pt idx="138">
                    <c:v>11:55</c:v>
                  </c:pt>
                  <c:pt idx="139">
                    <c:v>15:40</c:v>
                  </c:pt>
                  <c:pt idx="140">
                    <c:v>19:10</c:v>
                  </c:pt>
                  <c:pt idx="141">
                    <c:v>2:45</c:v>
                  </c:pt>
                  <c:pt idx="142">
                    <c:v>12:15</c:v>
                  </c:pt>
                  <c:pt idx="143">
                    <c:v>15:45</c:v>
                  </c:pt>
                  <c:pt idx="144">
                    <c:v>19:30</c:v>
                  </c:pt>
                  <c:pt idx="145">
                    <c:v>23:30</c:v>
                  </c:pt>
                  <c:pt idx="146">
                    <c:v>2:45</c:v>
                  </c:pt>
                  <c:pt idx="147">
                    <c:v>11:45</c:v>
                  </c:pt>
                  <c:pt idx="148">
                    <c:v>15:45</c:v>
                  </c:pt>
                  <c:pt idx="149">
                    <c:v>19:30</c:v>
                  </c:pt>
                  <c:pt idx="150">
                    <c:v>0:20</c:v>
                  </c:pt>
                  <c:pt idx="151">
                    <c:v>3:55</c:v>
                  </c:pt>
                  <c:pt idx="152">
                    <c:v>11:55</c:v>
                  </c:pt>
                  <c:pt idx="153">
                    <c:v>15:45</c:v>
                  </c:pt>
                  <c:pt idx="154">
                    <c:v>20:30</c:v>
                  </c:pt>
                  <c:pt idx="155">
                    <c:v>0:25</c:v>
                  </c:pt>
                  <c:pt idx="156">
                    <c:v>3:45</c:v>
                  </c:pt>
                  <c:pt idx="157">
                    <c:v>11:45</c:v>
                  </c:pt>
                  <c:pt idx="158">
                    <c:v>15:45</c:v>
                  </c:pt>
                  <c:pt idx="159">
                    <c:v>20:38</c:v>
                  </c:pt>
                  <c:pt idx="160">
                    <c:v>0:00</c:v>
                  </c:pt>
                  <c:pt idx="161">
                    <c:v>3:50</c:v>
                  </c:pt>
                  <c:pt idx="162">
                    <c:v>14:15</c:v>
                  </c:pt>
                  <c:pt idx="163">
                    <c:v>17:45</c:v>
                  </c:pt>
                  <c:pt idx="164">
                    <c:v>19:45</c:v>
                  </c:pt>
                  <c:pt idx="165">
                    <c:v>0:15</c:v>
                  </c:pt>
                  <c:pt idx="166">
                    <c:v>11:45</c:v>
                  </c:pt>
                  <c:pt idx="167">
                    <c:v>15:45</c:v>
                  </c:pt>
                  <c:pt idx="168">
                    <c:v>21:15</c:v>
                  </c:pt>
                  <c:pt idx="169">
                    <c:v>1:18</c:v>
                  </c:pt>
                  <c:pt idx="170">
                    <c:v>4:50</c:v>
                  </c:pt>
                  <c:pt idx="171">
                    <c:v>11:45</c:v>
                  </c:pt>
                  <c:pt idx="172">
                    <c:v>15:45</c:v>
                  </c:pt>
                  <c:pt idx="173">
                    <c:v>21:15</c:v>
                  </c:pt>
                  <c:pt idx="174">
                    <c:v>0:15</c:v>
                  </c:pt>
                  <c:pt idx="175">
                    <c:v>3:50</c:v>
                  </c:pt>
                  <c:pt idx="176">
                    <c:v>11:40</c:v>
                  </c:pt>
                  <c:pt idx="177">
                    <c:v>15:40</c:v>
                  </c:pt>
                  <c:pt idx="178">
                    <c:v>21:15</c:v>
                  </c:pt>
                  <c:pt idx="179">
                    <c:v>0:15</c:v>
                  </c:pt>
                  <c:pt idx="180">
                    <c:v>3:40</c:v>
                  </c:pt>
                  <c:pt idx="181">
                    <c:v>11:35</c:v>
                  </c:pt>
                  <c:pt idx="182">
                    <c:v>15:45</c:v>
                  </c:pt>
                  <c:pt idx="183">
                    <c:v>21:00</c:v>
                  </c:pt>
                  <c:pt idx="184">
                    <c:v>0:15</c:v>
                  </c:pt>
                  <c:pt idx="185">
                    <c:v>3:50</c:v>
                  </c:pt>
                  <c:pt idx="186">
                    <c:v>11:40</c:v>
                  </c:pt>
                  <c:pt idx="187">
                    <c:v>16:00</c:v>
                  </c:pt>
                  <c:pt idx="188">
                    <c:v>21:00</c:v>
                  </c:pt>
                  <c:pt idx="189">
                    <c:v>0:15</c:v>
                  </c:pt>
                  <c:pt idx="190">
                    <c:v>3:40</c:v>
                  </c:pt>
                  <c:pt idx="191">
                    <c:v>11:40</c:v>
                  </c:pt>
                  <c:pt idx="192">
                    <c:v>15:40</c:v>
                  </c:pt>
                  <c:pt idx="193">
                    <c:v>20:44</c:v>
                  </c:pt>
                  <c:pt idx="194">
                    <c:v>0:15</c:v>
                  </c:pt>
                  <c:pt idx="195">
                    <c:v>3:45</c:v>
                  </c:pt>
                  <c:pt idx="196">
                    <c:v>11:30</c:v>
                  </c:pt>
                  <c:pt idx="197">
                    <c:v>15:55</c:v>
                  </c:pt>
                  <c:pt idx="198">
                    <c:v>0:15</c:v>
                  </c:pt>
                  <c:pt idx="199">
                    <c:v>3:45</c:v>
                  </c:pt>
                  <c:pt idx="200">
                    <c:v>11:30</c:v>
                  </c:pt>
                  <c:pt idx="201">
                    <c:v>15:45</c:v>
                  </c:pt>
                  <c:pt idx="202">
                    <c:v>0:20</c:v>
                  </c:pt>
                  <c:pt idx="203">
                    <c:v>11:30</c:v>
                  </c:pt>
                  <c:pt idx="204">
                    <c:v>15:42</c:v>
                  </c:pt>
                  <c:pt idx="205">
                    <c:v>20:50</c:v>
                  </c:pt>
                  <c:pt idx="206">
                    <c:v>0:20</c:v>
                  </c:pt>
                  <c:pt idx="207">
                    <c:v>15:45</c:v>
                  </c:pt>
                  <c:pt idx="208">
                    <c:v>0:20</c:v>
                  </c:pt>
                  <c:pt idx="209">
                    <c:v>11:30</c:v>
                  </c:pt>
                  <c:pt idx="210">
                    <c:v>15:45</c:v>
                  </c:pt>
                  <c:pt idx="211">
                    <c:v>19:15</c:v>
                  </c:pt>
                  <c:pt idx="212">
                    <c:v>0:20</c:v>
                  </c:pt>
                  <c:pt idx="213">
                    <c:v>3:43</c:v>
                  </c:pt>
                  <c:pt idx="214">
                    <c:v>10:30</c:v>
                  </c:pt>
                  <c:pt idx="215">
                    <c:v>14:45</c:v>
                  </c:pt>
                  <c:pt idx="216">
                    <c:v>18:15</c:v>
                  </c:pt>
                  <c:pt idx="217">
                    <c:v>23:15</c:v>
                  </c:pt>
                  <c:pt idx="218">
                    <c:v>2:43</c:v>
                  </c:pt>
                  <c:pt idx="219">
                    <c:v>10:45</c:v>
                  </c:pt>
                  <c:pt idx="220">
                    <c:v>14:45</c:v>
                  </c:pt>
                  <c:pt idx="221">
                    <c:v>18:15</c:v>
                  </c:pt>
                  <c:pt idx="222">
                    <c:v>22:50</c:v>
                  </c:pt>
                  <c:pt idx="223">
                    <c:v>2:55</c:v>
                  </c:pt>
                  <c:pt idx="224">
                    <c:v>10:30</c:v>
                  </c:pt>
                  <c:pt idx="225">
                    <c:v>14:40</c:v>
                  </c:pt>
                  <c:pt idx="226">
                    <c:v>18:15</c:v>
                  </c:pt>
                  <c:pt idx="227">
                    <c:v>23:20</c:v>
                  </c:pt>
                  <c:pt idx="228">
                    <c:v>2:50</c:v>
                  </c:pt>
                  <c:pt idx="229">
                    <c:v>9:40</c:v>
                  </c:pt>
                  <c:pt idx="230">
                    <c:v>16:05</c:v>
                  </c:pt>
                  <c:pt idx="231">
                    <c:v>18:15</c:v>
                  </c:pt>
                  <c:pt idx="232">
                    <c:v>23:20</c:v>
                  </c:pt>
                  <c:pt idx="233">
                    <c:v>2:50</c:v>
                  </c:pt>
                  <c:pt idx="234">
                    <c:v>9:10</c:v>
                  </c:pt>
                  <c:pt idx="235">
                    <c:v>13:45</c:v>
                  </c:pt>
                  <c:pt idx="236">
                    <c:v>17:45</c:v>
                  </c:pt>
                  <c:pt idx="237">
                    <c:v>23:29</c:v>
                  </c:pt>
                  <c:pt idx="238">
                    <c:v>2:45</c:v>
                  </c:pt>
                  <c:pt idx="239">
                    <c:v>11:45</c:v>
                  </c:pt>
                  <c:pt idx="240">
                    <c:v>14:45</c:v>
                  </c:pt>
                  <c:pt idx="241">
                    <c:v>18:15</c:v>
                  </c:pt>
                  <c:pt idx="242">
                    <c:v>23:28</c:v>
                  </c:pt>
                  <c:pt idx="243">
                    <c:v>2:45</c:v>
                  </c:pt>
                  <c:pt idx="244">
                    <c:v>11:45</c:v>
                  </c:pt>
                  <c:pt idx="245">
                    <c:v>14:45</c:v>
                  </c:pt>
                  <c:pt idx="246">
                    <c:v>18:15</c:v>
                  </c:pt>
                  <c:pt idx="247">
                    <c:v>23:28</c:v>
                  </c:pt>
                  <c:pt idx="248">
                    <c:v>2:48</c:v>
                  </c:pt>
                  <c:pt idx="249">
                    <c:v>14:30</c:v>
                  </c:pt>
                  <c:pt idx="250">
                    <c:v>18:15</c:v>
                  </c:pt>
                  <c:pt idx="251">
                    <c:v>2:35</c:v>
                  </c:pt>
                  <c:pt idx="252">
                    <c:v>15:30</c:v>
                  </c:pt>
                  <c:pt idx="253">
                    <c:v>12:30</c:v>
                  </c:pt>
                  <c:pt idx="254">
                    <c:v>16:20</c:v>
                  </c:pt>
                  <c:pt idx="255">
                    <c:v>19:45</c:v>
                  </c:pt>
                  <c:pt idx="256">
                    <c:v>23:45</c:v>
                  </c:pt>
                  <c:pt idx="257">
                    <c:v>3:20</c:v>
                  </c:pt>
                  <c:pt idx="258">
                    <c:v>11:40</c:v>
                  </c:pt>
                  <c:pt idx="259">
                    <c:v>15:25</c:v>
                  </c:pt>
                  <c:pt idx="260">
                    <c:v>20:45</c:v>
                  </c:pt>
                  <c:pt idx="261">
                    <c:v>0:10</c:v>
                  </c:pt>
                  <c:pt idx="262">
                    <c:v>5:00</c:v>
                  </c:pt>
                  <c:pt idx="263">
                    <c:v>15:00</c:v>
                  </c:pt>
                  <c:pt idx="264">
                    <c:v>18:20</c:v>
                  </c:pt>
                  <c:pt idx="265">
                    <c:v>23:15</c:v>
                  </c:pt>
                  <c:pt idx="266">
                    <c:v>2:50</c:v>
                  </c:pt>
                  <c:pt idx="267">
                    <c:v>14:40</c:v>
                  </c:pt>
                  <c:pt idx="268">
                    <c:v>18:30</c:v>
                  </c:pt>
                  <c:pt idx="269">
                    <c:v>23:50</c:v>
                  </c:pt>
                  <c:pt idx="270">
                    <c:v>2:45</c:v>
                  </c:pt>
                  <c:pt idx="271">
                    <c:v>14:40</c:v>
                  </c:pt>
                  <c:pt idx="272">
                    <c:v>18:30</c:v>
                  </c:pt>
                  <c:pt idx="273">
                    <c:v>23:20</c:v>
                  </c:pt>
                  <c:pt idx="274">
                    <c:v>2:45</c:v>
                  </c:pt>
                  <c:pt idx="275">
                    <c:v>15:00</c:v>
                  </c:pt>
                  <c:pt idx="276">
                    <c:v>18:30</c:v>
                  </c:pt>
                  <c:pt idx="277">
                    <c:v>21:45</c:v>
                  </c:pt>
                  <c:pt idx="278">
                    <c:v>1:20</c:v>
                  </c:pt>
                  <c:pt idx="279">
                    <c:v>3:45</c:v>
                  </c:pt>
                  <c:pt idx="280">
                    <c:v>16:30</c:v>
                  </c:pt>
                  <c:pt idx="281">
                    <c:v>20:15</c:v>
                  </c:pt>
                  <c:pt idx="282">
                    <c:v>23:25</c:v>
                  </c:pt>
                  <c:pt idx="283">
                    <c:v>2:40</c:v>
                  </c:pt>
                  <c:pt idx="284">
                    <c:v>16:30</c:v>
                  </c:pt>
                  <c:pt idx="285">
                    <c:v>20:15</c:v>
                  </c:pt>
                  <c:pt idx="286">
                    <c:v>1:20</c:v>
                  </c:pt>
                  <c:pt idx="287">
                    <c:v>4:50</c:v>
                  </c:pt>
                  <c:pt idx="288">
                    <c:v>16:50</c:v>
                  </c:pt>
                  <c:pt idx="289">
                    <c:v>20:10</c:v>
                  </c:pt>
                  <c:pt idx="290">
                    <c:v>1:25</c:v>
                  </c:pt>
                  <c:pt idx="291">
                    <c:v>4:50</c:v>
                  </c:pt>
                  <c:pt idx="292">
                    <c:v>12:45</c:v>
                  </c:pt>
                  <c:pt idx="293">
                    <c:v>16:03</c:v>
                  </c:pt>
                  <c:pt idx="294">
                    <c:v>21:10</c:v>
                  </c:pt>
                  <c:pt idx="295">
                    <c:v>0:45</c:v>
                  </c:pt>
                  <c:pt idx="296">
                    <c:v>4:50</c:v>
                  </c:pt>
                  <c:pt idx="297">
                    <c:v>23:35</c:v>
                  </c:pt>
                  <c:pt idx="298">
                    <c:v>15:10</c:v>
                  </c:pt>
                  <c:pt idx="299">
                    <c:v>18:45</c:v>
                  </c:pt>
                  <c:pt idx="300">
                    <c:v>0:50</c:v>
                  </c:pt>
                  <c:pt idx="301">
                    <c:v>3:25</c:v>
                  </c:pt>
                  <c:pt idx="302">
                    <c:v>12:35</c:v>
                  </c:pt>
                  <c:pt idx="303">
                    <c:v>15:30</c:v>
                  </c:pt>
                  <c:pt idx="304">
                    <c:v>18:55</c:v>
                  </c:pt>
                  <c:pt idx="305">
                    <c:v>23:45</c:v>
                  </c:pt>
                  <c:pt idx="306">
                    <c:v>3:00</c:v>
                  </c:pt>
                  <c:pt idx="307">
                    <c:v>11:45</c:v>
                  </c:pt>
                  <c:pt idx="308">
                    <c:v>16:05</c:v>
                  </c:pt>
                  <c:pt idx="309">
                    <c:v>18:50</c:v>
                  </c:pt>
                  <c:pt idx="310">
                    <c:v>23:50</c:v>
                  </c:pt>
                  <c:pt idx="311">
                    <c:v>3:15</c:v>
                  </c:pt>
                  <c:pt idx="312">
                    <c:v>11:45</c:v>
                  </c:pt>
                  <c:pt idx="313">
                    <c:v>16:05</c:v>
                  </c:pt>
                  <c:pt idx="314">
                    <c:v>18:50</c:v>
                  </c:pt>
                  <c:pt idx="315">
                    <c:v>23:40</c:v>
                  </c:pt>
                  <c:pt idx="316">
                    <c:v>3:15</c:v>
                  </c:pt>
                  <c:pt idx="317">
                    <c:v>11:45</c:v>
                  </c:pt>
                  <c:pt idx="318">
                    <c:v>18:58</c:v>
                  </c:pt>
                  <c:pt idx="319">
                    <c:v>23:50</c:v>
                  </c:pt>
                  <c:pt idx="320">
                    <c:v>3:15</c:v>
                  </c:pt>
                  <c:pt idx="321">
                    <c:v>10:40</c:v>
                  </c:pt>
                  <c:pt idx="322">
                    <c:v>15:15</c:v>
                  </c:pt>
                  <c:pt idx="323">
                    <c:v>18:35</c:v>
                  </c:pt>
                  <c:pt idx="324">
                    <c:v>23:55</c:v>
                  </c:pt>
                  <c:pt idx="325">
                    <c:v>3:10</c:v>
                  </c:pt>
                  <c:pt idx="326">
                    <c:v>11:45</c:v>
                  </c:pt>
                  <c:pt idx="327">
                    <c:v>15:15</c:v>
                  </c:pt>
                  <c:pt idx="328">
                    <c:v>18:35</c:v>
                  </c:pt>
                  <c:pt idx="329">
                    <c:v>23:58</c:v>
                  </c:pt>
                  <c:pt idx="330">
                    <c:v>3:10</c:v>
                  </c:pt>
                  <c:pt idx="331">
                    <c:v>11:45</c:v>
                  </c:pt>
                  <c:pt idx="332">
                    <c:v>15:35</c:v>
                  </c:pt>
                  <c:pt idx="333">
                    <c:v>20:10</c:v>
                  </c:pt>
                  <c:pt idx="334">
                    <c:v>1:15</c:v>
                  </c:pt>
                  <c:pt idx="335">
                    <c:v>4:40</c:v>
                  </c:pt>
                  <c:pt idx="336">
                    <c:v>11:45</c:v>
                  </c:pt>
                  <c:pt idx="337">
                    <c:v>15:10</c:v>
                  </c:pt>
                  <c:pt idx="338">
                    <c:v>18:35</c:v>
                  </c:pt>
                  <c:pt idx="339">
                    <c:v>23:58</c:v>
                  </c:pt>
                  <c:pt idx="340">
                    <c:v>3:10</c:v>
                  </c:pt>
                  <c:pt idx="341">
                    <c:v>10:15</c:v>
                  </c:pt>
                  <c:pt idx="342">
                    <c:v>14:45</c:v>
                  </c:pt>
                  <c:pt idx="343">
                    <c:v>20:10</c:v>
                  </c:pt>
                  <c:pt idx="344">
                    <c:v>23:40</c:v>
                  </c:pt>
                  <c:pt idx="345">
                    <c:v>3:20</c:v>
                  </c:pt>
                  <c:pt idx="346">
                    <c:v>10:15</c:v>
                  </c:pt>
                  <c:pt idx="347">
                    <c:v>14:45</c:v>
                  </c:pt>
                  <c:pt idx="348">
                    <c:v>20:10</c:v>
                  </c:pt>
                  <c:pt idx="349">
                    <c:v>23:40</c:v>
                  </c:pt>
                  <c:pt idx="350">
                    <c:v>2:40</c:v>
                  </c:pt>
                  <c:pt idx="351">
                    <c:v>10:15</c:v>
                  </c:pt>
                  <c:pt idx="352">
                    <c:v>14:45</c:v>
                  </c:pt>
                  <c:pt idx="353">
                    <c:v>18:10</c:v>
                  </c:pt>
                  <c:pt idx="354">
                    <c:v>23:00</c:v>
                  </c:pt>
                  <c:pt idx="355">
                    <c:v>2:45</c:v>
                  </c:pt>
                  <c:pt idx="356">
                    <c:v>10:45</c:v>
                  </c:pt>
                  <c:pt idx="357">
                    <c:v>14:45</c:v>
                  </c:pt>
                  <c:pt idx="358">
                    <c:v>18:25</c:v>
                  </c:pt>
                  <c:pt idx="359">
                    <c:v>23:00</c:v>
                  </c:pt>
                  <c:pt idx="360">
                    <c:v>2:40</c:v>
                  </c:pt>
                  <c:pt idx="361">
                    <c:v>12:25</c:v>
                  </c:pt>
                  <c:pt idx="362">
                    <c:v>16:25</c:v>
                  </c:pt>
                  <c:pt idx="363">
                    <c:v>20:15</c:v>
                  </c:pt>
                  <c:pt idx="364">
                    <c:v>23:15</c:v>
                  </c:pt>
                  <c:pt idx="365">
                    <c:v>4:10</c:v>
                  </c:pt>
                  <c:pt idx="366">
                    <c:v>11:20</c:v>
                  </c:pt>
                  <c:pt idx="367">
                    <c:v>17:15</c:v>
                  </c:pt>
                  <c:pt idx="368">
                    <c:v>20:45</c:v>
                  </c:pt>
                  <c:pt idx="369">
                    <c:v>0:10</c:v>
                  </c:pt>
                  <c:pt idx="370">
                    <c:v>5:10</c:v>
                  </c:pt>
                  <c:pt idx="371">
                    <c:v>11:50</c:v>
                  </c:pt>
                  <c:pt idx="372">
                    <c:v>15:15</c:v>
                  </c:pt>
                  <c:pt idx="373">
                    <c:v>18:15</c:v>
                  </c:pt>
                  <c:pt idx="374">
                    <c:v>23:15</c:v>
                  </c:pt>
                  <c:pt idx="375">
                    <c:v>2:50</c:v>
                  </c:pt>
                  <c:pt idx="376">
                    <c:v>13:30</c:v>
                  </c:pt>
                  <c:pt idx="377">
                    <c:v>18:10</c:v>
                  </c:pt>
                  <c:pt idx="378">
                    <c:v>20:30</c:v>
                  </c:pt>
                  <c:pt idx="379">
                    <c:v>0:15</c:v>
                  </c:pt>
                  <c:pt idx="380">
                    <c:v>3:40</c:v>
                  </c:pt>
                  <c:pt idx="381">
                    <c:v>11:25</c:v>
                  </c:pt>
                  <c:pt idx="382">
                    <c:v>15:15</c:v>
                  </c:pt>
                  <c:pt idx="383">
                    <c:v>20:45</c:v>
                  </c:pt>
                  <c:pt idx="384">
                    <c:v>0:10</c:v>
                  </c:pt>
                  <c:pt idx="385">
                    <c:v>3:45</c:v>
                  </c:pt>
                  <c:pt idx="386">
                    <c:v>11:25</c:v>
                  </c:pt>
                  <c:pt idx="387">
                    <c:v>15:20</c:v>
                  </c:pt>
                  <c:pt idx="388">
                    <c:v>18:50</c:v>
                  </c:pt>
                  <c:pt idx="389">
                    <c:v>0:20</c:v>
                  </c:pt>
                  <c:pt idx="390">
                    <c:v>3:50</c:v>
                  </c:pt>
                  <c:pt idx="391">
                    <c:v>11:15</c:v>
                  </c:pt>
                  <c:pt idx="392">
                    <c:v>15:28</c:v>
                  </c:pt>
                  <c:pt idx="393">
                    <c:v>20:45</c:v>
                  </c:pt>
                  <c:pt idx="394">
                    <c:v>0:25</c:v>
                  </c:pt>
                  <c:pt idx="395">
                    <c:v>3:45</c:v>
                  </c:pt>
                  <c:pt idx="396">
                    <c:v>11:30</c:v>
                  </c:pt>
                  <c:pt idx="397">
                    <c:v>15:28</c:v>
                  </c:pt>
                  <c:pt idx="398">
                    <c:v>20:40</c:v>
                  </c:pt>
                  <c:pt idx="399">
                    <c:v>0:15</c:v>
                  </c:pt>
                  <c:pt idx="400">
                    <c:v>3:45</c:v>
                  </c:pt>
                  <c:pt idx="401">
                    <c:v>11:20</c:v>
                  </c:pt>
                  <c:pt idx="402">
                    <c:v>15:10</c:v>
                  </c:pt>
                  <c:pt idx="403">
                    <c:v>19:35</c:v>
                  </c:pt>
                  <c:pt idx="404">
                    <c:v>0:15</c:v>
                  </c:pt>
                  <c:pt idx="405">
                    <c:v>3:40</c:v>
                  </c:pt>
                  <c:pt idx="406">
                    <c:v>11:15</c:v>
                  </c:pt>
                  <c:pt idx="407">
                    <c:v>15:40</c:v>
                  </c:pt>
                  <c:pt idx="408">
                    <c:v>19:15</c:v>
                  </c:pt>
                  <c:pt idx="409">
                    <c:v>23:45</c:v>
                  </c:pt>
                  <c:pt idx="410">
                    <c:v>3:15</c:v>
                  </c:pt>
                  <c:pt idx="411">
                    <c:v>11:15</c:v>
                  </c:pt>
                  <c:pt idx="412">
                    <c:v>15:42</c:v>
                  </c:pt>
                  <c:pt idx="413">
                    <c:v>21:30</c:v>
                  </c:pt>
                  <c:pt idx="414">
                    <c:v>0:50</c:v>
                  </c:pt>
                  <c:pt idx="415">
                    <c:v>4:15</c:v>
                  </c:pt>
                  <c:pt idx="416">
                    <c:v>11:15</c:v>
                  </c:pt>
                  <c:pt idx="417">
                    <c:v>15:35</c:v>
                  </c:pt>
                  <c:pt idx="418">
                    <c:v>21:47</c:v>
                  </c:pt>
                  <c:pt idx="419">
                    <c:v>2:15</c:v>
                  </c:pt>
                  <c:pt idx="420">
                    <c:v>11:20</c:v>
                  </c:pt>
                  <c:pt idx="421">
                    <c:v>15:45</c:v>
                  </c:pt>
                  <c:pt idx="422">
                    <c:v>21:25</c:v>
                  </c:pt>
                  <c:pt idx="423">
                    <c:v>0:45</c:v>
                  </c:pt>
                  <c:pt idx="424">
                    <c:v>4:15</c:v>
                  </c:pt>
                  <c:pt idx="425">
                    <c:v>11:45</c:v>
                  </c:pt>
                  <c:pt idx="426">
                    <c:v>15:45</c:v>
                  </c:pt>
                  <c:pt idx="427">
                    <c:v>21:10</c:v>
                  </c:pt>
                  <c:pt idx="428">
                    <c:v>0:50</c:v>
                  </c:pt>
                  <c:pt idx="429">
                    <c:v>4:10</c:v>
                  </c:pt>
                  <c:pt idx="430">
                    <c:v>11:40</c:v>
                  </c:pt>
                  <c:pt idx="431">
                    <c:v>16:10</c:v>
                  </c:pt>
                  <c:pt idx="432">
                    <c:v>21:15</c:v>
                  </c:pt>
                  <c:pt idx="433">
                    <c:v>0:50</c:v>
                  </c:pt>
                  <c:pt idx="434">
                    <c:v>4:20</c:v>
                  </c:pt>
                  <c:pt idx="435">
                    <c:v>10:15</c:v>
                  </c:pt>
                  <c:pt idx="436">
                    <c:v>14:45</c:v>
                  </c:pt>
                  <c:pt idx="437">
                    <c:v>18:15</c:v>
                  </c:pt>
                  <c:pt idx="438">
                    <c:v>23:10</c:v>
                  </c:pt>
                  <c:pt idx="439">
                    <c:v>2:50</c:v>
                  </c:pt>
                  <c:pt idx="440">
                    <c:v>10:45</c:v>
                  </c:pt>
                  <c:pt idx="441">
                    <c:v>14:45</c:v>
                  </c:pt>
                  <c:pt idx="442">
                    <c:v>18:15</c:v>
                  </c:pt>
                  <c:pt idx="443">
                    <c:v>0:50</c:v>
                  </c:pt>
                  <c:pt idx="444">
                    <c:v>2:45</c:v>
                  </c:pt>
                  <c:pt idx="445">
                    <c:v>10:35</c:v>
                  </c:pt>
                  <c:pt idx="446">
                    <c:v>14:45</c:v>
                  </c:pt>
                  <c:pt idx="447">
                    <c:v>18:15</c:v>
                  </c:pt>
                  <c:pt idx="448">
                    <c:v>23:00</c:v>
                  </c:pt>
                  <c:pt idx="449">
                    <c:v>2:40</c:v>
                  </c:pt>
                  <c:pt idx="450">
                    <c:v>11:00</c:v>
                  </c:pt>
                  <c:pt idx="451">
                    <c:v>14:45</c:v>
                  </c:pt>
                  <c:pt idx="452">
                    <c:v>18:15</c:v>
                  </c:pt>
                  <c:pt idx="453">
                    <c:v>23:15</c:v>
                  </c:pt>
                  <c:pt idx="454">
                    <c:v>2:45</c:v>
                  </c:pt>
                  <c:pt idx="455">
                    <c:v>11:20</c:v>
                  </c:pt>
                  <c:pt idx="456">
                    <c:v>14:35</c:v>
                  </c:pt>
                  <c:pt idx="457">
                    <c:v>18:15</c:v>
                  </c:pt>
                  <c:pt idx="458">
                    <c:v>23:15</c:v>
                  </c:pt>
                  <c:pt idx="459">
                    <c:v>2:45</c:v>
                  </c:pt>
                  <c:pt idx="460">
                    <c:v>12:35</c:v>
                  </c:pt>
                  <c:pt idx="461">
                    <c:v>15:35</c:v>
                  </c:pt>
                  <c:pt idx="462">
                    <c:v>18:40</c:v>
                  </c:pt>
                  <c:pt idx="463">
                    <c:v>23:10</c:v>
                  </c:pt>
                  <c:pt idx="464">
                    <c:v>2:45</c:v>
                  </c:pt>
                  <c:pt idx="465">
                    <c:v>14:45</c:v>
                  </c:pt>
                  <c:pt idx="466">
                    <c:v>18:30</c:v>
                  </c:pt>
                  <c:pt idx="467">
                    <c:v>21:45</c:v>
                  </c:pt>
                  <c:pt idx="468">
                    <c:v>1:15</c:v>
                  </c:pt>
                  <c:pt idx="469">
                    <c:v>4:55</c:v>
                  </c:pt>
                  <c:pt idx="470">
                    <c:v>14:30</c:v>
                  </c:pt>
                  <c:pt idx="471">
                    <c:v>17:00</c:v>
                  </c:pt>
                  <c:pt idx="472">
                    <c:v>20:45</c:v>
                  </c:pt>
                  <c:pt idx="473">
                    <c:v>23:30</c:v>
                  </c:pt>
                  <c:pt idx="474">
                    <c:v>3:15</c:v>
                  </c:pt>
                  <c:pt idx="475">
                    <c:v>12:45</c:v>
                  </c:pt>
                  <c:pt idx="476">
                    <c:v>16:45</c:v>
                  </c:pt>
                  <c:pt idx="477">
                    <c:v>22:45</c:v>
                  </c:pt>
                  <c:pt idx="478">
                    <c:v>2:10</c:v>
                  </c:pt>
                  <c:pt idx="479">
                    <c:v>5:45</c:v>
                  </c:pt>
                  <c:pt idx="480">
                    <c:v>13:40</c:v>
                  </c:pt>
                  <c:pt idx="481">
                    <c:v>17:20</c:v>
                  </c:pt>
                  <c:pt idx="482">
                    <c:v>21:50</c:v>
                  </c:pt>
                  <c:pt idx="483">
                    <c:v>1:10</c:v>
                  </c:pt>
                </c:lvl>
                <c:lvl>
                  <c:pt idx="0">
                    <c:v>1-Jan-16</c:v>
                  </c:pt>
                  <c:pt idx="1">
                    <c:v>1-Jan-16</c:v>
                  </c:pt>
                  <c:pt idx="2">
                    <c:v>1-Jan-16</c:v>
                  </c:pt>
                  <c:pt idx="3">
                    <c:v>1-Jan-16</c:v>
                  </c:pt>
                  <c:pt idx="4">
                    <c:v>1-Jan-16</c:v>
                  </c:pt>
                  <c:pt idx="5">
                    <c:v>2-Jan-16</c:v>
                  </c:pt>
                  <c:pt idx="6">
                    <c:v>2-Jan-16</c:v>
                  </c:pt>
                  <c:pt idx="7">
                    <c:v>2-Jan-16</c:v>
                  </c:pt>
                  <c:pt idx="8">
                    <c:v>2-Jan-16</c:v>
                  </c:pt>
                  <c:pt idx="9">
                    <c:v>2-Jan-16</c:v>
                  </c:pt>
                  <c:pt idx="10">
                    <c:v>3-Jan-16</c:v>
                  </c:pt>
                  <c:pt idx="11">
                    <c:v>3-Jan-16</c:v>
                  </c:pt>
                  <c:pt idx="12">
                    <c:v>3-Jan-16</c:v>
                  </c:pt>
                  <c:pt idx="13">
                    <c:v>3-Jan-16</c:v>
                  </c:pt>
                  <c:pt idx="14">
                    <c:v>3-Jan-16</c:v>
                  </c:pt>
                  <c:pt idx="15">
                    <c:v>4-Jan-16</c:v>
                  </c:pt>
                  <c:pt idx="16">
                    <c:v>4-Jan-16</c:v>
                  </c:pt>
                  <c:pt idx="17">
                    <c:v>4-Jan-16</c:v>
                  </c:pt>
                  <c:pt idx="18">
                    <c:v>4-Jan-16</c:v>
                  </c:pt>
                  <c:pt idx="19">
                    <c:v>4-Jan-16</c:v>
                  </c:pt>
                  <c:pt idx="20">
                    <c:v>4-Jan-16</c:v>
                  </c:pt>
                  <c:pt idx="21">
                    <c:v>5-Jan-16</c:v>
                  </c:pt>
                  <c:pt idx="22">
                    <c:v>5-Jan-16</c:v>
                  </c:pt>
                  <c:pt idx="23">
                    <c:v>5-Jan-16</c:v>
                  </c:pt>
                  <c:pt idx="24">
                    <c:v>5-Jan-16</c:v>
                  </c:pt>
                  <c:pt idx="25">
                    <c:v>5-Jan-16</c:v>
                  </c:pt>
                  <c:pt idx="26">
                    <c:v>6-Jan-16</c:v>
                  </c:pt>
                  <c:pt idx="27">
                    <c:v>6-Jan-16</c:v>
                  </c:pt>
                  <c:pt idx="28">
                    <c:v>6-Jan-16</c:v>
                  </c:pt>
                  <c:pt idx="29">
                    <c:v>6-Jan-16</c:v>
                  </c:pt>
                  <c:pt idx="30">
                    <c:v>6-Jan-16</c:v>
                  </c:pt>
                  <c:pt idx="31">
                    <c:v>6-Jan-16</c:v>
                  </c:pt>
                  <c:pt idx="32">
                    <c:v>7-Jan-16</c:v>
                  </c:pt>
                  <c:pt idx="33">
                    <c:v>7-Jan-16</c:v>
                  </c:pt>
                  <c:pt idx="34">
                    <c:v>7-Jan-16</c:v>
                  </c:pt>
                  <c:pt idx="35">
                    <c:v>7-Jan-16</c:v>
                  </c:pt>
                  <c:pt idx="36">
                    <c:v>8-Jan-16</c:v>
                  </c:pt>
                  <c:pt idx="37">
                    <c:v>8-Jan-16</c:v>
                  </c:pt>
                  <c:pt idx="38">
                    <c:v>8-Jan-16</c:v>
                  </c:pt>
                  <c:pt idx="39">
                    <c:v>8-Jan-16</c:v>
                  </c:pt>
                  <c:pt idx="40">
                    <c:v>9-Jan-16</c:v>
                  </c:pt>
                  <c:pt idx="41">
                    <c:v>9-Jan-16</c:v>
                  </c:pt>
                  <c:pt idx="42">
                    <c:v>9-Jan-16</c:v>
                  </c:pt>
                  <c:pt idx="43">
                    <c:v>10-Jan-16</c:v>
                  </c:pt>
                  <c:pt idx="44">
                    <c:v>10-Jan-16</c:v>
                  </c:pt>
                  <c:pt idx="45">
                    <c:v>10-Jan-16</c:v>
                  </c:pt>
                  <c:pt idx="46">
                    <c:v>11-Jan-16</c:v>
                  </c:pt>
                  <c:pt idx="47">
                    <c:v>11-Jan-16</c:v>
                  </c:pt>
                  <c:pt idx="48">
                    <c:v>11-Jan-16</c:v>
                  </c:pt>
                  <c:pt idx="49">
                    <c:v>11-Jan-16</c:v>
                  </c:pt>
                  <c:pt idx="50">
                    <c:v>12-Jan-16</c:v>
                  </c:pt>
                  <c:pt idx="51">
                    <c:v>13-Jan-16</c:v>
                  </c:pt>
                  <c:pt idx="52">
                    <c:v>14-Jan-16</c:v>
                  </c:pt>
                  <c:pt idx="53">
                    <c:v>15-Jan-16</c:v>
                  </c:pt>
                  <c:pt idx="54">
                    <c:v>16-Jan-16</c:v>
                  </c:pt>
                  <c:pt idx="55">
                    <c:v>16-Jan-16</c:v>
                  </c:pt>
                  <c:pt idx="56">
                    <c:v>17-Jan-16</c:v>
                  </c:pt>
                  <c:pt idx="57">
                    <c:v>17-Jan-16</c:v>
                  </c:pt>
                  <c:pt idx="58">
                    <c:v>17-Jan-16</c:v>
                  </c:pt>
                  <c:pt idx="59">
                    <c:v>18-Jan-16</c:v>
                  </c:pt>
                  <c:pt idx="60">
                    <c:v>18-Jan-16</c:v>
                  </c:pt>
                  <c:pt idx="61">
                    <c:v>18-Jan-16</c:v>
                  </c:pt>
                  <c:pt idx="62">
                    <c:v>18-Jan-16</c:v>
                  </c:pt>
                  <c:pt idx="63">
                    <c:v>18-Jan-16</c:v>
                  </c:pt>
                  <c:pt idx="64">
                    <c:v>18-Jan-16</c:v>
                  </c:pt>
                  <c:pt idx="65">
                    <c:v>19-Jan-16</c:v>
                  </c:pt>
                  <c:pt idx="66">
                    <c:v>19-Jan-16</c:v>
                  </c:pt>
                  <c:pt idx="67">
                    <c:v>19-Jan-16</c:v>
                  </c:pt>
                  <c:pt idx="68">
                    <c:v>19-Jan-16</c:v>
                  </c:pt>
                  <c:pt idx="69">
                    <c:v>19-Jan-16</c:v>
                  </c:pt>
                  <c:pt idx="70">
                    <c:v>20-Jan-16</c:v>
                  </c:pt>
                  <c:pt idx="71">
                    <c:v>20-Jan-16</c:v>
                  </c:pt>
                  <c:pt idx="72">
                    <c:v>20-Jan-16</c:v>
                  </c:pt>
                  <c:pt idx="73">
                    <c:v>20-Jan-16</c:v>
                  </c:pt>
                  <c:pt idx="74">
                    <c:v>20-Jan-16</c:v>
                  </c:pt>
                  <c:pt idx="75">
                    <c:v>21-Jan-16</c:v>
                  </c:pt>
                  <c:pt idx="76">
                    <c:v>21-Jan-16</c:v>
                  </c:pt>
                  <c:pt idx="77">
                    <c:v>21-Jan-16</c:v>
                  </c:pt>
                  <c:pt idx="78">
                    <c:v>21-Jan-16</c:v>
                  </c:pt>
                  <c:pt idx="79">
                    <c:v>21-Jan-16</c:v>
                  </c:pt>
                  <c:pt idx="80">
                    <c:v>22-Jan-16</c:v>
                  </c:pt>
                  <c:pt idx="81">
                    <c:v>22-Jan-16</c:v>
                  </c:pt>
                  <c:pt idx="82">
                    <c:v>22-Jan-16</c:v>
                  </c:pt>
                  <c:pt idx="83">
                    <c:v>23-Jan-16</c:v>
                  </c:pt>
                  <c:pt idx="84">
                    <c:v>23-Jan-16</c:v>
                  </c:pt>
                  <c:pt idx="85">
                    <c:v>23-Jan-16</c:v>
                  </c:pt>
                  <c:pt idx="86">
                    <c:v>24-Jan-16</c:v>
                  </c:pt>
                  <c:pt idx="87">
                    <c:v>24-Jan-16</c:v>
                  </c:pt>
                  <c:pt idx="88">
                    <c:v>24-Jan-16</c:v>
                  </c:pt>
                  <c:pt idx="89">
                    <c:v>25-Jan-16</c:v>
                  </c:pt>
                  <c:pt idx="90">
                    <c:v>25-Jan-16</c:v>
                  </c:pt>
                  <c:pt idx="91">
                    <c:v>25-Jan-16</c:v>
                  </c:pt>
                  <c:pt idx="92">
                    <c:v>25-Jan-16</c:v>
                  </c:pt>
                  <c:pt idx="93">
                    <c:v>26-Jan-16</c:v>
                  </c:pt>
                  <c:pt idx="94">
                    <c:v>26-Jan-16</c:v>
                  </c:pt>
                  <c:pt idx="95">
                    <c:v>26-Jan-16</c:v>
                  </c:pt>
                  <c:pt idx="96">
                    <c:v>26-Jan-16</c:v>
                  </c:pt>
                  <c:pt idx="97">
                    <c:v>26-Jan-16</c:v>
                  </c:pt>
                  <c:pt idx="98">
                    <c:v>27-Jan-16</c:v>
                  </c:pt>
                  <c:pt idx="99">
                    <c:v>27-Jan-16</c:v>
                  </c:pt>
                  <c:pt idx="100">
                    <c:v>27-Jan-16</c:v>
                  </c:pt>
                  <c:pt idx="101">
                    <c:v>27-Jan-16</c:v>
                  </c:pt>
                  <c:pt idx="102">
                    <c:v>28-Jan-16</c:v>
                  </c:pt>
                  <c:pt idx="103">
                    <c:v>28-Jan-16</c:v>
                  </c:pt>
                  <c:pt idx="104">
                    <c:v>28-Jan-16</c:v>
                  </c:pt>
                  <c:pt idx="105">
                    <c:v>29-Jan-16</c:v>
                  </c:pt>
                  <c:pt idx="106">
                    <c:v>29-Jan-16</c:v>
                  </c:pt>
                  <c:pt idx="107">
                    <c:v>29-Jan-16</c:v>
                  </c:pt>
                  <c:pt idx="108">
                    <c:v>29-Jan-16</c:v>
                  </c:pt>
                  <c:pt idx="109">
                    <c:v>29-Jan-16</c:v>
                  </c:pt>
                  <c:pt idx="110">
                    <c:v>30-Jan-16</c:v>
                  </c:pt>
                  <c:pt idx="111">
                    <c:v>30-Jan-16</c:v>
                  </c:pt>
                  <c:pt idx="112">
                    <c:v>30-Jan-16</c:v>
                  </c:pt>
                  <c:pt idx="113">
                    <c:v>30-Jan-16</c:v>
                  </c:pt>
                  <c:pt idx="114">
                    <c:v>31-Jan-16</c:v>
                  </c:pt>
                  <c:pt idx="115">
                    <c:v>31-Jan-16</c:v>
                  </c:pt>
                  <c:pt idx="116">
                    <c:v>1-Feb-16</c:v>
                  </c:pt>
                  <c:pt idx="117">
                    <c:v>1-Feb-16</c:v>
                  </c:pt>
                  <c:pt idx="118">
                    <c:v>1-Feb-16</c:v>
                  </c:pt>
                  <c:pt idx="119">
                    <c:v>1-Feb-16</c:v>
                  </c:pt>
                  <c:pt idx="120">
                    <c:v>2-Feb-16</c:v>
                  </c:pt>
                  <c:pt idx="121">
                    <c:v>2-Feb-16</c:v>
                  </c:pt>
                  <c:pt idx="122">
                    <c:v>2-Feb-16</c:v>
                  </c:pt>
                  <c:pt idx="123">
                    <c:v>2-Feb-16</c:v>
                  </c:pt>
                  <c:pt idx="124">
                    <c:v>2-Feb-16</c:v>
                  </c:pt>
                  <c:pt idx="125">
                    <c:v>3-Feb-16</c:v>
                  </c:pt>
                  <c:pt idx="126">
                    <c:v>3-Feb-16</c:v>
                  </c:pt>
                  <c:pt idx="127">
                    <c:v>3-Feb-16</c:v>
                  </c:pt>
                  <c:pt idx="128">
                    <c:v>3-Feb-16</c:v>
                  </c:pt>
                  <c:pt idx="129">
                    <c:v>4-Feb-16</c:v>
                  </c:pt>
                  <c:pt idx="130">
                    <c:v>4-Feb-16</c:v>
                  </c:pt>
                  <c:pt idx="131">
                    <c:v>4-Feb-16</c:v>
                  </c:pt>
                  <c:pt idx="132">
                    <c:v>5-Feb-16</c:v>
                  </c:pt>
                  <c:pt idx="133">
                    <c:v>5-Feb-16</c:v>
                  </c:pt>
                  <c:pt idx="134">
                    <c:v>6-Feb-16</c:v>
                  </c:pt>
                  <c:pt idx="135">
                    <c:v>6-Feb-16</c:v>
                  </c:pt>
                  <c:pt idx="136">
                    <c:v>6-Feb-16</c:v>
                  </c:pt>
                  <c:pt idx="137">
                    <c:v>7-Feb-16</c:v>
                  </c:pt>
                  <c:pt idx="138">
                    <c:v>7-Feb-16</c:v>
                  </c:pt>
                  <c:pt idx="139">
                    <c:v>7-Feb-16</c:v>
                  </c:pt>
                  <c:pt idx="140">
                    <c:v>7-Feb-16</c:v>
                  </c:pt>
                  <c:pt idx="141">
                    <c:v>8-Feb-16</c:v>
                  </c:pt>
                  <c:pt idx="142">
                    <c:v>8-Feb-16</c:v>
                  </c:pt>
                  <c:pt idx="143">
                    <c:v>8-Feb-16</c:v>
                  </c:pt>
                  <c:pt idx="144">
                    <c:v>8-Feb-16</c:v>
                  </c:pt>
                  <c:pt idx="145">
                    <c:v>8-Feb-16</c:v>
                  </c:pt>
                  <c:pt idx="146">
                    <c:v>9-Feb-16</c:v>
                  </c:pt>
                  <c:pt idx="147">
                    <c:v>9-Feb-16</c:v>
                  </c:pt>
                  <c:pt idx="148">
                    <c:v>9-Feb-16</c:v>
                  </c:pt>
                  <c:pt idx="149">
                    <c:v>9-Feb-16</c:v>
                  </c:pt>
                  <c:pt idx="150">
                    <c:v>10-Feb-16</c:v>
                  </c:pt>
                  <c:pt idx="151">
                    <c:v>10-Feb-16</c:v>
                  </c:pt>
                  <c:pt idx="152">
                    <c:v>10-Feb-16</c:v>
                  </c:pt>
                  <c:pt idx="153">
                    <c:v>10-Feb-16</c:v>
                  </c:pt>
                  <c:pt idx="154">
                    <c:v>10-Feb-16</c:v>
                  </c:pt>
                  <c:pt idx="155">
                    <c:v>11-Feb-16</c:v>
                  </c:pt>
                  <c:pt idx="156">
                    <c:v>11-Feb-16</c:v>
                  </c:pt>
                  <c:pt idx="157">
                    <c:v>11-Feb-16</c:v>
                  </c:pt>
                  <c:pt idx="158">
                    <c:v>11-Feb-16</c:v>
                  </c:pt>
                  <c:pt idx="159">
                    <c:v>11-Feb-16</c:v>
                  </c:pt>
                  <c:pt idx="160">
                    <c:v>12-Feb-16</c:v>
                  </c:pt>
                  <c:pt idx="161">
                    <c:v>12-Feb-16</c:v>
                  </c:pt>
                  <c:pt idx="162">
                    <c:v>12-Feb-16</c:v>
                  </c:pt>
                  <c:pt idx="163">
                    <c:v>12-Feb-16</c:v>
                  </c:pt>
                  <c:pt idx="164">
                    <c:v>12-Feb-16</c:v>
                  </c:pt>
                  <c:pt idx="165">
                    <c:v>13-Feb-16</c:v>
                  </c:pt>
                  <c:pt idx="166">
                    <c:v>13-Feb-16</c:v>
                  </c:pt>
                  <c:pt idx="167">
                    <c:v>13-Feb-16</c:v>
                  </c:pt>
                  <c:pt idx="168">
                    <c:v>13-Feb-16</c:v>
                  </c:pt>
                  <c:pt idx="169">
                    <c:v>14-Feb-16</c:v>
                  </c:pt>
                  <c:pt idx="170">
                    <c:v>14-Feb-16</c:v>
                  </c:pt>
                  <c:pt idx="171">
                    <c:v>14-Feb-16</c:v>
                  </c:pt>
                  <c:pt idx="172">
                    <c:v>14-Feb-16</c:v>
                  </c:pt>
                  <c:pt idx="173">
                    <c:v>14-Feb-16</c:v>
                  </c:pt>
                  <c:pt idx="174">
                    <c:v>15-Feb-16</c:v>
                  </c:pt>
                  <c:pt idx="175">
                    <c:v>15-Feb-16</c:v>
                  </c:pt>
                  <c:pt idx="176">
                    <c:v>15-Feb-16</c:v>
                  </c:pt>
                  <c:pt idx="177">
                    <c:v>15-Feb-16</c:v>
                  </c:pt>
                  <c:pt idx="178">
                    <c:v>15-Feb-16</c:v>
                  </c:pt>
                  <c:pt idx="179">
                    <c:v>16-Feb-16</c:v>
                  </c:pt>
                  <c:pt idx="180">
                    <c:v>16-Feb-16</c:v>
                  </c:pt>
                  <c:pt idx="181">
                    <c:v>16-Feb-16</c:v>
                  </c:pt>
                  <c:pt idx="182">
                    <c:v>16-Feb-16</c:v>
                  </c:pt>
                  <c:pt idx="183">
                    <c:v>16-Feb-16</c:v>
                  </c:pt>
                  <c:pt idx="184">
                    <c:v>17-Feb-16</c:v>
                  </c:pt>
                  <c:pt idx="185">
                    <c:v>17-Feb-16</c:v>
                  </c:pt>
                  <c:pt idx="186">
                    <c:v>17-Feb-16</c:v>
                  </c:pt>
                  <c:pt idx="187">
                    <c:v>17-Feb-16</c:v>
                  </c:pt>
                  <c:pt idx="188">
                    <c:v>17-Feb-16</c:v>
                  </c:pt>
                  <c:pt idx="189">
                    <c:v>18-Feb-16</c:v>
                  </c:pt>
                  <c:pt idx="190">
                    <c:v>18-Feb-16</c:v>
                  </c:pt>
                  <c:pt idx="191">
                    <c:v>18-Feb-16</c:v>
                  </c:pt>
                  <c:pt idx="192">
                    <c:v>18-Feb-16</c:v>
                  </c:pt>
                  <c:pt idx="193">
                    <c:v>18-Feb-16</c:v>
                  </c:pt>
                  <c:pt idx="194">
                    <c:v>19-Feb-16</c:v>
                  </c:pt>
                  <c:pt idx="195">
                    <c:v>19-Feb-16</c:v>
                  </c:pt>
                  <c:pt idx="196">
                    <c:v>19-Feb-16</c:v>
                  </c:pt>
                  <c:pt idx="197">
                    <c:v>19-Feb-16</c:v>
                  </c:pt>
                  <c:pt idx="198">
                    <c:v>20-Feb-16</c:v>
                  </c:pt>
                  <c:pt idx="199">
                    <c:v>20-Feb-16</c:v>
                  </c:pt>
                  <c:pt idx="200">
                    <c:v>20-Feb-16</c:v>
                  </c:pt>
                  <c:pt idx="201">
                    <c:v>20-Feb-16</c:v>
                  </c:pt>
                  <c:pt idx="202">
                    <c:v>21-Feb-16</c:v>
                  </c:pt>
                  <c:pt idx="203">
                    <c:v>21-Feb-16</c:v>
                  </c:pt>
                  <c:pt idx="204">
                    <c:v>21-Feb-16</c:v>
                  </c:pt>
                  <c:pt idx="205">
                    <c:v>21-Feb-16</c:v>
                  </c:pt>
                  <c:pt idx="206">
                    <c:v>22-Feb-16</c:v>
                  </c:pt>
                  <c:pt idx="207">
                    <c:v>22-Feb-16</c:v>
                  </c:pt>
                  <c:pt idx="208">
                    <c:v>23-Feb-16</c:v>
                  </c:pt>
                  <c:pt idx="209">
                    <c:v>23-Feb-16</c:v>
                  </c:pt>
                  <c:pt idx="210">
                    <c:v>23-Feb-16</c:v>
                  </c:pt>
                  <c:pt idx="211">
                    <c:v>23-Feb-16</c:v>
                  </c:pt>
                  <c:pt idx="212">
                    <c:v>24-Feb-16</c:v>
                  </c:pt>
                  <c:pt idx="213">
                    <c:v>24-Feb-16</c:v>
                  </c:pt>
                  <c:pt idx="214">
                    <c:v>24-Feb-16</c:v>
                  </c:pt>
                  <c:pt idx="215">
                    <c:v>24-Feb-16</c:v>
                  </c:pt>
                  <c:pt idx="216">
                    <c:v>24-Feb-16</c:v>
                  </c:pt>
                  <c:pt idx="217">
                    <c:v>24-Feb-16</c:v>
                  </c:pt>
                  <c:pt idx="218">
                    <c:v>25-Feb-16</c:v>
                  </c:pt>
                  <c:pt idx="219">
                    <c:v>25-Feb-16</c:v>
                  </c:pt>
                  <c:pt idx="220">
                    <c:v>25-Feb-16</c:v>
                  </c:pt>
                  <c:pt idx="221">
                    <c:v>25-Feb-16</c:v>
                  </c:pt>
                  <c:pt idx="222">
                    <c:v>25-Feb-16</c:v>
                  </c:pt>
                  <c:pt idx="223">
                    <c:v>26-Feb-16</c:v>
                  </c:pt>
                  <c:pt idx="224">
                    <c:v>26-Feb-16</c:v>
                  </c:pt>
                  <c:pt idx="225">
                    <c:v>26-Feb-16</c:v>
                  </c:pt>
                  <c:pt idx="226">
                    <c:v>26-Feb-16</c:v>
                  </c:pt>
                  <c:pt idx="227">
                    <c:v>26-Feb-16</c:v>
                  </c:pt>
                  <c:pt idx="228">
                    <c:v>27-Feb-16</c:v>
                  </c:pt>
                  <c:pt idx="229">
                    <c:v>27-Feb-16</c:v>
                  </c:pt>
                  <c:pt idx="230">
                    <c:v>27-Feb-16</c:v>
                  </c:pt>
                  <c:pt idx="231">
                    <c:v>27-Feb-16</c:v>
                  </c:pt>
                  <c:pt idx="232">
                    <c:v>27-Feb-16</c:v>
                  </c:pt>
                  <c:pt idx="233">
                    <c:v>28-Feb-16</c:v>
                  </c:pt>
                  <c:pt idx="234">
                    <c:v>28-Feb-16</c:v>
                  </c:pt>
                  <c:pt idx="235">
                    <c:v>28-Feb-16</c:v>
                  </c:pt>
                  <c:pt idx="236">
                    <c:v>28-Feb-16</c:v>
                  </c:pt>
                  <c:pt idx="237">
                    <c:v>28-Feb-16</c:v>
                  </c:pt>
                  <c:pt idx="238">
                    <c:v>29-Feb-16</c:v>
                  </c:pt>
                  <c:pt idx="239">
                    <c:v>29-Feb-16</c:v>
                  </c:pt>
                  <c:pt idx="240">
                    <c:v>29-Feb-16</c:v>
                  </c:pt>
                  <c:pt idx="241">
                    <c:v>29-Feb-16</c:v>
                  </c:pt>
                  <c:pt idx="242">
                    <c:v>29-Feb-16</c:v>
                  </c:pt>
                  <c:pt idx="243">
                    <c:v>1-Mar-16</c:v>
                  </c:pt>
                  <c:pt idx="244">
                    <c:v>1-Mar-16</c:v>
                  </c:pt>
                  <c:pt idx="245">
                    <c:v>1-Mar-16</c:v>
                  </c:pt>
                  <c:pt idx="246">
                    <c:v>1-Mar-16</c:v>
                  </c:pt>
                  <c:pt idx="247">
                    <c:v>1-Mar-16</c:v>
                  </c:pt>
                  <c:pt idx="248">
                    <c:v>2-Mar-16</c:v>
                  </c:pt>
                  <c:pt idx="249">
                    <c:v>2-Mar-16</c:v>
                  </c:pt>
                  <c:pt idx="250">
                    <c:v>2-Mar-16</c:v>
                  </c:pt>
                  <c:pt idx="251">
                    <c:v>3-Mar-16</c:v>
                  </c:pt>
                  <c:pt idx="252">
                    <c:v>3-Mar-16</c:v>
                  </c:pt>
                  <c:pt idx="253">
                    <c:v>4-Mar-16</c:v>
                  </c:pt>
                  <c:pt idx="254">
                    <c:v>4-Mar-16</c:v>
                  </c:pt>
                  <c:pt idx="255">
                    <c:v>4-Mar-16</c:v>
                  </c:pt>
                  <c:pt idx="256">
                    <c:v>4-Mar-16</c:v>
                  </c:pt>
                  <c:pt idx="257">
                    <c:v>5-Mar-16</c:v>
                  </c:pt>
                  <c:pt idx="258">
                    <c:v>5-Mar-16</c:v>
                  </c:pt>
                  <c:pt idx="259">
                    <c:v>5-Mar-16</c:v>
                  </c:pt>
                  <c:pt idx="260">
                    <c:v>5-Mar-16</c:v>
                  </c:pt>
                  <c:pt idx="261">
                    <c:v>6-Mar-16</c:v>
                  </c:pt>
                  <c:pt idx="262">
                    <c:v>6-Mar-16</c:v>
                  </c:pt>
                  <c:pt idx="263">
                    <c:v>6-Mar-16</c:v>
                  </c:pt>
                  <c:pt idx="264">
                    <c:v>6-Mar-16</c:v>
                  </c:pt>
                  <c:pt idx="265">
                    <c:v>6-Mar-16</c:v>
                  </c:pt>
                  <c:pt idx="266">
                    <c:v>7-Mar-16</c:v>
                  </c:pt>
                  <c:pt idx="267">
                    <c:v>7-Mar-16</c:v>
                  </c:pt>
                  <c:pt idx="268">
                    <c:v>7-Mar-16</c:v>
                  </c:pt>
                  <c:pt idx="269">
                    <c:v>7-Mar-16</c:v>
                  </c:pt>
                  <c:pt idx="270">
                    <c:v>8-Mar-16</c:v>
                  </c:pt>
                  <c:pt idx="271">
                    <c:v>8-Mar-16</c:v>
                  </c:pt>
                  <c:pt idx="272">
                    <c:v>8-Mar-16</c:v>
                  </c:pt>
                  <c:pt idx="273">
                    <c:v>8-Mar-16</c:v>
                  </c:pt>
                  <c:pt idx="274">
                    <c:v>9-Mar-16</c:v>
                  </c:pt>
                  <c:pt idx="275">
                    <c:v>9-Mar-16</c:v>
                  </c:pt>
                  <c:pt idx="276">
                    <c:v>9-Mar-16</c:v>
                  </c:pt>
                  <c:pt idx="277">
                    <c:v>9-Mar-16</c:v>
                  </c:pt>
                  <c:pt idx="278">
                    <c:v>10-Mar-16</c:v>
                  </c:pt>
                  <c:pt idx="279">
                    <c:v>10-Mar-16</c:v>
                  </c:pt>
                  <c:pt idx="280">
                    <c:v>10-Mar-16</c:v>
                  </c:pt>
                  <c:pt idx="281">
                    <c:v>10-Mar-16</c:v>
                  </c:pt>
                  <c:pt idx="282">
                    <c:v>10-Mar-16</c:v>
                  </c:pt>
                  <c:pt idx="283">
                    <c:v>11-Mar-16</c:v>
                  </c:pt>
                  <c:pt idx="284">
                    <c:v>11-Mar-16</c:v>
                  </c:pt>
                  <c:pt idx="285">
                    <c:v>11-Mar-16</c:v>
                  </c:pt>
                  <c:pt idx="286">
                    <c:v>12-Mar-16</c:v>
                  </c:pt>
                  <c:pt idx="287">
                    <c:v>12-Mar-16</c:v>
                  </c:pt>
                  <c:pt idx="288">
                    <c:v>12-Mar-16</c:v>
                  </c:pt>
                  <c:pt idx="289">
                    <c:v>12-Mar-16</c:v>
                  </c:pt>
                  <c:pt idx="290">
                    <c:v>13-Mar-16</c:v>
                  </c:pt>
                  <c:pt idx="291">
                    <c:v>13-Mar-16</c:v>
                  </c:pt>
                  <c:pt idx="292">
                    <c:v>13-Mar-16</c:v>
                  </c:pt>
                  <c:pt idx="293">
                    <c:v>13-Mar-16</c:v>
                  </c:pt>
                  <c:pt idx="294">
                    <c:v>13-Mar-16</c:v>
                  </c:pt>
                  <c:pt idx="295">
                    <c:v>14-Mar-16</c:v>
                  </c:pt>
                  <c:pt idx="296">
                    <c:v>14-Mar-16</c:v>
                  </c:pt>
                  <c:pt idx="297">
                    <c:v>14-Mar-16</c:v>
                  </c:pt>
                  <c:pt idx="298">
                    <c:v>14-Mar-16</c:v>
                  </c:pt>
                  <c:pt idx="299">
                    <c:v>14-Mar-16</c:v>
                  </c:pt>
                  <c:pt idx="300">
                    <c:v>15-Mar-16</c:v>
                  </c:pt>
                  <c:pt idx="301">
                    <c:v>15-Mar-16</c:v>
                  </c:pt>
                  <c:pt idx="302">
                    <c:v>15-Mar-16</c:v>
                  </c:pt>
                  <c:pt idx="303">
                    <c:v>15-Mar-16</c:v>
                  </c:pt>
                  <c:pt idx="304">
                    <c:v>15-Mar-16</c:v>
                  </c:pt>
                  <c:pt idx="305">
                    <c:v>15-Mar-16</c:v>
                  </c:pt>
                  <c:pt idx="306">
                    <c:v>16-Mar-16</c:v>
                  </c:pt>
                  <c:pt idx="307">
                    <c:v>16-Mar-16</c:v>
                  </c:pt>
                  <c:pt idx="308">
                    <c:v>16-Mar-16</c:v>
                  </c:pt>
                  <c:pt idx="309">
                    <c:v>16-Mar-16</c:v>
                  </c:pt>
                  <c:pt idx="310">
                    <c:v>16-Mar-16</c:v>
                  </c:pt>
                  <c:pt idx="311">
                    <c:v>17-Mar-16</c:v>
                  </c:pt>
                  <c:pt idx="312">
                    <c:v>17-Mar-16</c:v>
                  </c:pt>
                  <c:pt idx="313">
                    <c:v>17-Mar-16</c:v>
                  </c:pt>
                  <c:pt idx="314">
                    <c:v>17-Mar-16</c:v>
                  </c:pt>
                  <c:pt idx="315">
                    <c:v>17-Mar-16</c:v>
                  </c:pt>
                  <c:pt idx="316">
                    <c:v>18-Mar-16</c:v>
                  </c:pt>
                  <c:pt idx="317">
                    <c:v>18-Mar-16</c:v>
                  </c:pt>
                  <c:pt idx="318">
                    <c:v>18-Mar-16</c:v>
                  </c:pt>
                  <c:pt idx="319">
                    <c:v>18-Mar-16</c:v>
                  </c:pt>
                  <c:pt idx="320">
                    <c:v>19-Mar-16</c:v>
                  </c:pt>
                  <c:pt idx="321">
                    <c:v>19-Mar-16</c:v>
                  </c:pt>
                  <c:pt idx="322">
                    <c:v>19-Mar-16</c:v>
                  </c:pt>
                  <c:pt idx="323">
                    <c:v>19-Mar-16</c:v>
                  </c:pt>
                  <c:pt idx="324">
                    <c:v>19-Mar-16</c:v>
                  </c:pt>
                  <c:pt idx="325">
                    <c:v>20-Mar-16</c:v>
                  </c:pt>
                  <c:pt idx="326">
                    <c:v>20-Mar-16</c:v>
                  </c:pt>
                  <c:pt idx="327">
                    <c:v>20-Mar-16</c:v>
                  </c:pt>
                  <c:pt idx="328">
                    <c:v>20-Mar-16</c:v>
                  </c:pt>
                  <c:pt idx="329">
                    <c:v>20-Mar-16</c:v>
                  </c:pt>
                  <c:pt idx="330">
                    <c:v>21-Mar-16</c:v>
                  </c:pt>
                  <c:pt idx="331">
                    <c:v>21-Mar-16</c:v>
                  </c:pt>
                  <c:pt idx="332">
                    <c:v>21-Mar-16</c:v>
                  </c:pt>
                  <c:pt idx="333">
                    <c:v>21-Mar-16</c:v>
                  </c:pt>
                  <c:pt idx="334">
                    <c:v>22-Mar-16</c:v>
                  </c:pt>
                  <c:pt idx="335">
                    <c:v>22-Mar-16</c:v>
                  </c:pt>
                  <c:pt idx="336">
                    <c:v>22-Mar-16</c:v>
                  </c:pt>
                  <c:pt idx="337">
                    <c:v>22-Mar-16</c:v>
                  </c:pt>
                  <c:pt idx="338">
                    <c:v>22-Mar-16</c:v>
                  </c:pt>
                  <c:pt idx="339">
                    <c:v>22-Mar-16</c:v>
                  </c:pt>
                  <c:pt idx="340">
                    <c:v>23-Mar-16</c:v>
                  </c:pt>
                  <c:pt idx="341">
                    <c:v>23-Mar-16</c:v>
                  </c:pt>
                  <c:pt idx="342">
                    <c:v>23-Mar-16</c:v>
                  </c:pt>
                  <c:pt idx="343">
                    <c:v>23-Mar-16</c:v>
                  </c:pt>
                  <c:pt idx="344">
                    <c:v>23-Mar-16</c:v>
                  </c:pt>
                  <c:pt idx="345">
                    <c:v>24-Mar-16</c:v>
                  </c:pt>
                  <c:pt idx="346">
                    <c:v>24-Mar-16</c:v>
                  </c:pt>
                  <c:pt idx="347">
                    <c:v>24-Mar-16</c:v>
                  </c:pt>
                  <c:pt idx="348">
                    <c:v>24-Mar-16</c:v>
                  </c:pt>
                  <c:pt idx="349">
                    <c:v>24-Mar-16</c:v>
                  </c:pt>
                  <c:pt idx="350">
                    <c:v>25-Mar-16</c:v>
                  </c:pt>
                  <c:pt idx="351">
                    <c:v>25-Mar-16</c:v>
                  </c:pt>
                  <c:pt idx="352">
                    <c:v>25-Mar-16</c:v>
                  </c:pt>
                  <c:pt idx="353">
                    <c:v>25-Mar-16</c:v>
                  </c:pt>
                  <c:pt idx="354">
                    <c:v>25-Mar-16</c:v>
                  </c:pt>
                  <c:pt idx="355">
                    <c:v>26-Mar-16</c:v>
                  </c:pt>
                  <c:pt idx="356">
                    <c:v>26-Mar-16</c:v>
                  </c:pt>
                  <c:pt idx="357">
                    <c:v>26-Mar-16</c:v>
                  </c:pt>
                  <c:pt idx="358">
                    <c:v>26-Mar-16</c:v>
                  </c:pt>
                  <c:pt idx="359">
                    <c:v>26-Mar-16</c:v>
                  </c:pt>
                  <c:pt idx="360">
                    <c:v>27-Mar-16</c:v>
                  </c:pt>
                  <c:pt idx="361">
                    <c:v>27-Mar-16</c:v>
                  </c:pt>
                  <c:pt idx="362">
                    <c:v>27-Mar-16</c:v>
                  </c:pt>
                  <c:pt idx="363">
                    <c:v>27-Mar-16</c:v>
                  </c:pt>
                  <c:pt idx="364">
                    <c:v>27-Mar-16</c:v>
                  </c:pt>
                  <c:pt idx="365">
                    <c:v>28-Mar-16</c:v>
                  </c:pt>
                  <c:pt idx="366">
                    <c:v>28-Mar-16</c:v>
                  </c:pt>
                  <c:pt idx="367">
                    <c:v>28-Mar-16</c:v>
                  </c:pt>
                  <c:pt idx="368">
                    <c:v>28-Mar-16</c:v>
                  </c:pt>
                  <c:pt idx="369">
                    <c:v>29-Mar-16</c:v>
                  </c:pt>
                  <c:pt idx="370">
                    <c:v>29-Mar-16</c:v>
                  </c:pt>
                  <c:pt idx="371">
                    <c:v>29-Mar-16</c:v>
                  </c:pt>
                  <c:pt idx="372">
                    <c:v>29-Mar-16</c:v>
                  </c:pt>
                  <c:pt idx="373">
                    <c:v>29-Mar-16</c:v>
                  </c:pt>
                  <c:pt idx="374">
                    <c:v>29-Mar-16</c:v>
                  </c:pt>
                  <c:pt idx="375">
                    <c:v>30-Mar-16</c:v>
                  </c:pt>
                  <c:pt idx="376">
                    <c:v>30-Mar-16</c:v>
                  </c:pt>
                  <c:pt idx="377">
                    <c:v>30-Mar-16</c:v>
                  </c:pt>
                  <c:pt idx="378">
                    <c:v>30-Mar-16</c:v>
                  </c:pt>
                  <c:pt idx="379">
                    <c:v>31-Mar-16</c:v>
                  </c:pt>
                  <c:pt idx="380">
                    <c:v>31-Mar-16</c:v>
                  </c:pt>
                  <c:pt idx="381">
                    <c:v>31-Mar-16</c:v>
                  </c:pt>
                  <c:pt idx="382">
                    <c:v>31-Mar-16</c:v>
                  </c:pt>
                  <c:pt idx="383">
                    <c:v>31-Mar-16</c:v>
                  </c:pt>
                  <c:pt idx="384">
                    <c:v>1-Apr-16</c:v>
                  </c:pt>
                  <c:pt idx="385">
                    <c:v>1-Apr-16</c:v>
                  </c:pt>
                  <c:pt idx="386">
                    <c:v>1-Apr-16</c:v>
                  </c:pt>
                  <c:pt idx="387">
                    <c:v>1-Apr-16</c:v>
                  </c:pt>
                  <c:pt idx="388">
                    <c:v>1-Apr-16</c:v>
                  </c:pt>
                  <c:pt idx="389">
                    <c:v>2-Apr-16</c:v>
                  </c:pt>
                  <c:pt idx="390">
                    <c:v>2-Apr-16</c:v>
                  </c:pt>
                  <c:pt idx="391">
                    <c:v>2-Apr-16</c:v>
                  </c:pt>
                  <c:pt idx="392">
                    <c:v>2-Apr-16</c:v>
                  </c:pt>
                  <c:pt idx="393">
                    <c:v>2-Apr-16</c:v>
                  </c:pt>
                  <c:pt idx="394">
                    <c:v>3-Apr-16</c:v>
                  </c:pt>
                  <c:pt idx="395">
                    <c:v>3-Apr-16</c:v>
                  </c:pt>
                  <c:pt idx="396">
                    <c:v>3-Apr-16</c:v>
                  </c:pt>
                  <c:pt idx="397">
                    <c:v>3-Apr-16</c:v>
                  </c:pt>
                  <c:pt idx="398">
                    <c:v>3-Apr-16</c:v>
                  </c:pt>
                  <c:pt idx="399">
                    <c:v>4-Apr-16</c:v>
                  </c:pt>
                  <c:pt idx="400">
                    <c:v>4-Apr-16</c:v>
                  </c:pt>
                  <c:pt idx="401">
                    <c:v>4-Apr-16</c:v>
                  </c:pt>
                  <c:pt idx="402">
                    <c:v>4-Apr-16</c:v>
                  </c:pt>
                  <c:pt idx="403">
                    <c:v>4-Apr-16</c:v>
                  </c:pt>
                  <c:pt idx="404">
                    <c:v>5-Apr-16</c:v>
                  </c:pt>
                  <c:pt idx="405">
                    <c:v>5-Apr-16</c:v>
                  </c:pt>
                  <c:pt idx="406">
                    <c:v>5-Apr-16</c:v>
                  </c:pt>
                  <c:pt idx="407">
                    <c:v>5-Apr-16</c:v>
                  </c:pt>
                  <c:pt idx="408">
                    <c:v>5-Apr-16</c:v>
                  </c:pt>
                  <c:pt idx="409">
                    <c:v>5-Apr-16</c:v>
                  </c:pt>
                  <c:pt idx="410">
                    <c:v>6-Apr-16</c:v>
                  </c:pt>
                  <c:pt idx="411">
                    <c:v>6-Apr-16</c:v>
                  </c:pt>
                  <c:pt idx="412">
                    <c:v>6-Apr-16</c:v>
                  </c:pt>
                  <c:pt idx="413">
                    <c:v>6-Apr-16</c:v>
                  </c:pt>
                  <c:pt idx="414">
                    <c:v>7-Apr-16</c:v>
                  </c:pt>
                  <c:pt idx="415">
                    <c:v>7-Apr-16</c:v>
                  </c:pt>
                  <c:pt idx="416">
                    <c:v>7-Apr-16</c:v>
                  </c:pt>
                  <c:pt idx="417">
                    <c:v>7-Apr-16</c:v>
                  </c:pt>
                  <c:pt idx="418">
                    <c:v>7-Apr-16</c:v>
                  </c:pt>
                  <c:pt idx="419">
                    <c:v>8-Apr-16</c:v>
                  </c:pt>
                  <c:pt idx="420">
                    <c:v>8-Apr-16</c:v>
                  </c:pt>
                  <c:pt idx="421">
                    <c:v>8-Apr-16</c:v>
                  </c:pt>
                  <c:pt idx="422">
                    <c:v>8-Apr-16</c:v>
                  </c:pt>
                  <c:pt idx="423">
                    <c:v>9-Apr-16</c:v>
                  </c:pt>
                  <c:pt idx="424">
                    <c:v>9-Apr-16</c:v>
                  </c:pt>
                  <c:pt idx="425">
                    <c:v>9-Apr-16</c:v>
                  </c:pt>
                  <c:pt idx="426">
                    <c:v>9-Apr-16</c:v>
                  </c:pt>
                  <c:pt idx="427">
                    <c:v>9-Apr-16</c:v>
                  </c:pt>
                  <c:pt idx="428">
                    <c:v>10-Apr-16</c:v>
                  </c:pt>
                  <c:pt idx="429">
                    <c:v>10-Apr-16</c:v>
                  </c:pt>
                  <c:pt idx="430">
                    <c:v>10-Apr-16</c:v>
                  </c:pt>
                  <c:pt idx="431">
                    <c:v>10-Apr-16</c:v>
                  </c:pt>
                  <c:pt idx="432">
                    <c:v>10-Apr-16</c:v>
                  </c:pt>
                  <c:pt idx="433">
                    <c:v>11-Apr-16</c:v>
                  </c:pt>
                  <c:pt idx="434">
                    <c:v>11-Apr-16</c:v>
                  </c:pt>
                  <c:pt idx="435">
                    <c:v>11-Apr-16</c:v>
                  </c:pt>
                  <c:pt idx="436">
                    <c:v>11-Apr-16</c:v>
                  </c:pt>
                  <c:pt idx="437">
                    <c:v>11-Apr-16</c:v>
                  </c:pt>
                  <c:pt idx="438">
                    <c:v>11-Apr-16</c:v>
                  </c:pt>
                  <c:pt idx="439">
                    <c:v>12-Apr-16</c:v>
                  </c:pt>
                  <c:pt idx="440">
                    <c:v>12-Apr-16</c:v>
                  </c:pt>
                  <c:pt idx="441">
                    <c:v>12-Apr-16</c:v>
                  </c:pt>
                  <c:pt idx="442">
                    <c:v>12-Apr-16</c:v>
                  </c:pt>
                  <c:pt idx="443">
                    <c:v>13-Apr-16</c:v>
                  </c:pt>
                  <c:pt idx="444">
                    <c:v>13-Apr-16</c:v>
                  </c:pt>
                  <c:pt idx="445">
                    <c:v>13-Apr-16</c:v>
                  </c:pt>
                  <c:pt idx="446">
                    <c:v>13-Apr-16</c:v>
                  </c:pt>
                  <c:pt idx="447">
                    <c:v>13-Apr-16</c:v>
                  </c:pt>
                  <c:pt idx="448">
                    <c:v>13-Apr-16</c:v>
                  </c:pt>
                  <c:pt idx="449">
                    <c:v>14-Apr-16</c:v>
                  </c:pt>
                  <c:pt idx="450">
                    <c:v>14-Apr-16</c:v>
                  </c:pt>
                  <c:pt idx="451">
                    <c:v>14-Apr-16</c:v>
                  </c:pt>
                  <c:pt idx="452">
                    <c:v>14-Apr-16</c:v>
                  </c:pt>
                  <c:pt idx="453">
                    <c:v>14-Apr-16</c:v>
                  </c:pt>
                  <c:pt idx="454">
                    <c:v>15-Apr-16</c:v>
                  </c:pt>
                  <c:pt idx="455">
                    <c:v>15-Apr-16</c:v>
                  </c:pt>
                  <c:pt idx="456">
                    <c:v>15-Apr-16</c:v>
                  </c:pt>
                  <c:pt idx="457">
                    <c:v>15-Apr-16</c:v>
                  </c:pt>
                  <c:pt idx="458">
                    <c:v>15-Apr-16</c:v>
                  </c:pt>
                  <c:pt idx="459">
                    <c:v>16-Apr-16</c:v>
                  </c:pt>
                  <c:pt idx="460">
                    <c:v>16-Apr-16</c:v>
                  </c:pt>
                  <c:pt idx="461">
                    <c:v>16-Apr-16</c:v>
                  </c:pt>
                  <c:pt idx="462">
                    <c:v>16-Apr-16</c:v>
                  </c:pt>
                  <c:pt idx="463">
                    <c:v>16-Apr-16</c:v>
                  </c:pt>
                  <c:pt idx="464">
                    <c:v>17-Apr-16</c:v>
                  </c:pt>
                  <c:pt idx="465">
                    <c:v>17-Apr-16</c:v>
                  </c:pt>
                  <c:pt idx="466">
                    <c:v>17-Apr-16</c:v>
                  </c:pt>
                  <c:pt idx="467">
                    <c:v>17-Apr-16</c:v>
                  </c:pt>
                  <c:pt idx="468">
                    <c:v>18-Apr-16</c:v>
                  </c:pt>
                  <c:pt idx="469">
                    <c:v>18-Apr-16</c:v>
                  </c:pt>
                  <c:pt idx="470">
                    <c:v>18-Apr-16</c:v>
                  </c:pt>
                  <c:pt idx="471">
                    <c:v>18-Apr-16</c:v>
                  </c:pt>
                  <c:pt idx="472">
                    <c:v>18-Apr-16</c:v>
                  </c:pt>
                  <c:pt idx="473">
                    <c:v>18-Apr-16</c:v>
                  </c:pt>
                  <c:pt idx="474">
                    <c:v>19-Apr-16</c:v>
                  </c:pt>
                  <c:pt idx="475">
                    <c:v>19-Apr-16</c:v>
                  </c:pt>
                  <c:pt idx="476">
                    <c:v>19-Apr-16</c:v>
                  </c:pt>
                  <c:pt idx="477">
                    <c:v>19-Apr-16</c:v>
                  </c:pt>
                  <c:pt idx="478">
                    <c:v>20-Apr-16</c:v>
                  </c:pt>
                  <c:pt idx="479">
                    <c:v>20-Apr-16</c:v>
                  </c:pt>
                  <c:pt idx="480">
                    <c:v>20-Apr-16</c:v>
                  </c:pt>
                  <c:pt idx="481">
                    <c:v>20-Apr-16</c:v>
                  </c:pt>
                  <c:pt idx="482">
                    <c:v>20-Apr-16</c:v>
                  </c:pt>
                  <c:pt idx="483">
                    <c:v>21-Apr-16</c:v>
                  </c:pt>
                </c:lvl>
              </c:multiLvlStrCache>
            </c:multiLvlStrRef>
          </c:cat>
          <c:val>
            <c:numRef>
              <c:f>'Coke Moisture'!$I$17:$I$1501</c:f>
              <c:numCache>
                <c:formatCode>General</c:formatCode>
                <c:ptCount val="1485"/>
                <c:pt idx="0">
                  <c:v>33</c:v>
                </c:pt>
                <c:pt idx="1">
                  <c:v>22</c:v>
                </c:pt>
                <c:pt idx="2">
                  <c:v>23</c:v>
                </c:pt>
                <c:pt idx="3">
                  <c:v>21</c:v>
                </c:pt>
                <c:pt idx="4">
                  <c:v>22</c:v>
                </c:pt>
                <c:pt idx="5">
                  <c:v>23</c:v>
                </c:pt>
                <c:pt idx="6">
                  <c:v>34.200000000000003</c:v>
                </c:pt>
                <c:pt idx="7">
                  <c:v>21.6</c:v>
                </c:pt>
                <c:pt idx="8">
                  <c:v>28</c:v>
                </c:pt>
                <c:pt idx="9">
                  <c:v>35</c:v>
                </c:pt>
                <c:pt idx="10">
                  <c:v>26</c:v>
                </c:pt>
                <c:pt idx="11">
                  <c:v>27</c:v>
                </c:pt>
                <c:pt idx="12">
                  <c:v>26</c:v>
                </c:pt>
                <c:pt idx="13">
                  <c:v>27</c:v>
                </c:pt>
                <c:pt idx="14">
                  <c:v>20</c:v>
                </c:pt>
                <c:pt idx="15">
                  <c:v>19.3</c:v>
                </c:pt>
                <c:pt idx="16">
                  <c:v>24</c:v>
                </c:pt>
                <c:pt idx="17">
                  <c:v>35</c:v>
                </c:pt>
                <c:pt idx="18">
                  <c:v>30</c:v>
                </c:pt>
                <c:pt idx="19">
                  <c:v>20.8</c:v>
                </c:pt>
                <c:pt idx="20">
                  <c:v>23</c:v>
                </c:pt>
                <c:pt idx="21">
                  <c:v>30</c:v>
                </c:pt>
                <c:pt idx="22">
                  <c:v>43.6</c:v>
                </c:pt>
                <c:pt idx="23">
                  <c:v>33</c:v>
                </c:pt>
                <c:pt idx="24">
                  <c:v>25</c:v>
                </c:pt>
                <c:pt idx="25">
                  <c:v>24.4</c:v>
                </c:pt>
                <c:pt idx="26">
                  <c:v>30.2</c:v>
                </c:pt>
                <c:pt idx="27">
                  <c:v>25.4</c:v>
                </c:pt>
                <c:pt idx="28">
                  <c:v>36.5</c:v>
                </c:pt>
                <c:pt idx="29">
                  <c:v>35</c:v>
                </c:pt>
                <c:pt idx="30">
                  <c:v>41</c:v>
                </c:pt>
                <c:pt idx="31">
                  <c:v>37</c:v>
                </c:pt>
                <c:pt idx="32">
                  <c:v>29</c:v>
                </c:pt>
                <c:pt idx="33">
                  <c:v>45</c:v>
                </c:pt>
                <c:pt idx="34">
                  <c:v>43</c:v>
                </c:pt>
                <c:pt idx="35">
                  <c:v>35</c:v>
                </c:pt>
                <c:pt idx="36">
                  <c:v>33</c:v>
                </c:pt>
                <c:pt idx="37">
                  <c:v>32</c:v>
                </c:pt>
                <c:pt idx="38">
                  <c:v>30</c:v>
                </c:pt>
                <c:pt idx="39">
                  <c:v>28</c:v>
                </c:pt>
                <c:pt idx="40">
                  <c:v>37</c:v>
                </c:pt>
                <c:pt idx="41">
                  <c:v>36</c:v>
                </c:pt>
                <c:pt idx="42">
                  <c:v>33</c:v>
                </c:pt>
                <c:pt idx="43">
                  <c:v>30</c:v>
                </c:pt>
                <c:pt idx="44">
                  <c:v>29.3</c:v>
                </c:pt>
                <c:pt idx="45">
                  <c:v>34</c:v>
                </c:pt>
                <c:pt idx="46">
                  <c:v>28</c:v>
                </c:pt>
                <c:pt idx="47">
                  <c:v>51</c:v>
                </c:pt>
                <c:pt idx="48">
                  <c:v>33.200000000000003</c:v>
                </c:pt>
                <c:pt idx="49">
                  <c:v>33</c:v>
                </c:pt>
                <c:pt idx="50">
                  <c:v>25</c:v>
                </c:pt>
                <c:pt idx="51">
                  <c:v>30</c:v>
                </c:pt>
                <c:pt idx="52">
                  <c:v>33</c:v>
                </c:pt>
                <c:pt idx="53">
                  <c:v>32</c:v>
                </c:pt>
                <c:pt idx="54">
                  <c:v>36.4</c:v>
                </c:pt>
                <c:pt idx="55">
                  <c:v>34</c:v>
                </c:pt>
                <c:pt idx="56">
                  <c:v>35</c:v>
                </c:pt>
                <c:pt idx="57">
                  <c:v>38</c:v>
                </c:pt>
                <c:pt idx="58">
                  <c:v>30</c:v>
                </c:pt>
                <c:pt idx="59">
                  <c:v>45</c:v>
                </c:pt>
                <c:pt idx="60">
                  <c:v>35</c:v>
                </c:pt>
                <c:pt idx="61">
                  <c:v>45</c:v>
                </c:pt>
                <c:pt idx="62">
                  <c:v>31</c:v>
                </c:pt>
                <c:pt idx="63">
                  <c:v>30</c:v>
                </c:pt>
                <c:pt idx="64">
                  <c:v>41</c:v>
                </c:pt>
                <c:pt idx="65">
                  <c:v>32</c:v>
                </c:pt>
                <c:pt idx="66">
                  <c:v>26</c:v>
                </c:pt>
                <c:pt idx="67">
                  <c:v>29</c:v>
                </c:pt>
                <c:pt idx="68">
                  <c:v>21</c:v>
                </c:pt>
                <c:pt idx="69">
                  <c:v>24</c:v>
                </c:pt>
                <c:pt idx="70">
                  <c:v>39</c:v>
                </c:pt>
                <c:pt idx="71">
                  <c:v>28</c:v>
                </c:pt>
                <c:pt idx="72">
                  <c:v>21</c:v>
                </c:pt>
                <c:pt idx="73">
                  <c:v>24</c:v>
                </c:pt>
                <c:pt idx="74">
                  <c:v>38</c:v>
                </c:pt>
                <c:pt idx="75">
                  <c:v>45</c:v>
                </c:pt>
                <c:pt idx="76">
                  <c:v>27</c:v>
                </c:pt>
                <c:pt idx="77">
                  <c:v>21</c:v>
                </c:pt>
                <c:pt idx="78">
                  <c:v>24</c:v>
                </c:pt>
                <c:pt idx="79">
                  <c:v>30</c:v>
                </c:pt>
                <c:pt idx="80">
                  <c:v>38</c:v>
                </c:pt>
                <c:pt idx="81">
                  <c:v>28</c:v>
                </c:pt>
                <c:pt idx="82">
                  <c:v>33</c:v>
                </c:pt>
                <c:pt idx="83">
                  <c:v>26</c:v>
                </c:pt>
                <c:pt idx="84">
                  <c:v>24</c:v>
                </c:pt>
                <c:pt idx="85">
                  <c:v>19</c:v>
                </c:pt>
                <c:pt idx="86">
                  <c:v>26</c:v>
                </c:pt>
                <c:pt idx="87">
                  <c:v>27</c:v>
                </c:pt>
                <c:pt idx="88">
                  <c:v>24.3</c:v>
                </c:pt>
                <c:pt idx="89">
                  <c:v>15.2</c:v>
                </c:pt>
                <c:pt idx="90">
                  <c:v>28</c:v>
                </c:pt>
                <c:pt idx="91">
                  <c:v>27</c:v>
                </c:pt>
                <c:pt idx="92">
                  <c:v>26</c:v>
                </c:pt>
                <c:pt idx="93">
                  <c:v>24</c:v>
                </c:pt>
                <c:pt idx="94">
                  <c:v>22</c:v>
                </c:pt>
                <c:pt idx="95">
                  <c:v>28</c:v>
                </c:pt>
                <c:pt idx="96">
                  <c:v>26</c:v>
                </c:pt>
                <c:pt idx="97">
                  <c:v>30</c:v>
                </c:pt>
                <c:pt idx="98">
                  <c:v>22</c:v>
                </c:pt>
                <c:pt idx="99">
                  <c:v>35</c:v>
                </c:pt>
                <c:pt idx="100">
                  <c:v>26</c:v>
                </c:pt>
                <c:pt idx="101">
                  <c:v>30</c:v>
                </c:pt>
                <c:pt idx="102">
                  <c:v>25</c:v>
                </c:pt>
                <c:pt idx="103">
                  <c:v>28</c:v>
                </c:pt>
                <c:pt idx="104">
                  <c:v>28</c:v>
                </c:pt>
                <c:pt idx="105">
                  <c:v>31</c:v>
                </c:pt>
                <c:pt idx="106">
                  <c:v>26</c:v>
                </c:pt>
                <c:pt idx="107">
                  <c:v>32</c:v>
                </c:pt>
                <c:pt idx="108">
                  <c:v>26</c:v>
                </c:pt>
                <c:pt idx="109">
                  <c:v>26</c:v>
                </c:pt>
                <c:pt idx="110">
                  <c:v>24</c:v>
                </c:pt>
                <c:pt idx="111">
                  <c:v>23</c:v>
                </c:pt>
                <c:pt idx="112">
                  <c:v>28</c:v>
                </c:pt>
                <c:pt idx="113">
                  <c:v>26</c:v>
                </c:pt>
                <c:pt idx="114">
                  <c:v>28</c:v>
                </c:pt>
                <c:pt idx="115">
                  <c:v>32</c:v>
                </c:pt>
                <c:pt idx="116">
                  <c:v>22</c:v>
                </c:pt>
                <c:pt idx="117">
                  <c:v>25</c:v>
                </c:pt>
                <c:pt idx="118">
                  <c:v>28</c:v>
                </c:pt>
                <c:pt idx="119">
                  <c:v>35</c:v>
                </c:pt>
                <c:pt idx="120">
                  <c:v>33</c:v>
                </c:pt>
                <c:pt idx="121">
                  <c:v>34</c:v>
                </c:pt>
                <c:pt idx="122">
                  <c:v>29</c:v>
                </c:pt>
                <c:pt idx="123">
                  <c:v>28</c:v>
                </c:pt>
                <c:pt idx="124">
                  <c:v>24</c:v>
                </c:pt>
                <c:pt idx="125">
                  <c:v>34</c:v>
                </c:pt>
                <c:pt idx="126">
                  <c:v>30</c:v>
                </c:pt>
                <c:pt idx="127">
                  <c:v>25</c:v>
                </c:pt>
                <c:pt idx="128">
                  <c:v>26</c:v>
                </c:pt>
                <c:pt idx="129">
                  <c:v>34</c:v>
                </c:pt>
                <c:pt idx="130">
                  <c:v>24</c:v>
                </c:pt>
                <c:pt idx="131">
                  <c:v>34</c:v>
                </c:pt>
                <c:pt idx="132">
                  <c:v>23</c:v>
                </c:pt>
                <c:pt idx="133">
                  <c:v>34</c:v>
                </c:pt>
                <c:pt idx="134">
                  <c:v>38</c:v>
                </c:pt>
                <c:pt idx="135">
                  <c:v>24</c:v>
                </c:pt>
                <c:pt idx="136">
                  <c:v>28</c:v>
                </c:pt>
                <c:pt idx="137">
                  <c:v>23</c:v>
                </c:pt>
                <c:pt idx="138">
                  <c:v>27</c:v>
                </c:pt>
                <c:pt idx="139">
                  <c:v>28</c:v>
                </c:pt>
                <c:pt idx="140">
                  <c:v>24</c:v>
                </c:pt>
                <c:pt idx="141">
                  <c:v>25</c:v>
                </c:pt>
                <c:pt idx="142">
                  <c:v>29</c:v>
                </c:pt>
                <c:pt idx="143">
                  <c:v>35</c:v>
                </c:pt>
                <c:pt idx="144">
                  <c:v>33</c:v>
                </c:pt>
                <c:pt idx="145">
                  <c:v>33</c:v>
                </c:pt>
                <c:pt idx="146">
                  <c:v>34</c:v>
                </c:pt>
                <c:pt idx="147">
                  <c:v>28</c:v>
                </c:pt>
                <c:pt idx="148">
                  <c:v>40</c:v>
                </c:pt>
                <c:pt idx="149">
                  <c:v>28</c:v>
                </c:pt>
                <c:pt idx="150">
                  <c:v>24</c:v>
                </c:pt>
                <c:pt idx="151">
                  <c:v>26</c:v>
                </c:pt>
                <c:pt idx="152">
                  <c:v>24</c:v>
                </c:pt>
                <c:pt idx="153">
                  <c:v>25</c:v>
                </c:pt>
                <c:pt idx="154">
                  <c:v>22</c:v>
                </c:pt>
                <c:pt idx="155">
                  <c:v>23</c:v>
                </c:pt>
                <c:pt idx="156">
                  <c:v>51</c:v>
                </c:pt>
                <c:pt idx="157">
                  <c:v>23</c:v>
                </c:pt>
                <c:pt idx="158">
                  <c:v>22</c:v>
                </c:pt>
                <c:pt idx="159">
                  <c:v>23</c:v>
                </c:pt>
                <c:pt idx="160">
                  <c:v>28</c:v>
                </c:pt>
                <c:pt idx="161">
                  <c:v>27</c:v>
                </c:pt>
                <c:pt idx="162">
                  <c:v>20</c:v>
                </c:pt>
                <c:pt idx="163">
                  <c:v>26</c:v>
                </c:pt>
                <c:pt idx="164">
                  <c:v>26</c:v>
                </c:pt>
                <c:pt idx="165">
                  <c:v>25</c:v>
                </c:pt>
                <c:pt idx="166">
                  <c:v>25</c:v>
                </c:pt>
                <c:pt idx="167">
                  <c:v>37</c:v>
                </c:pt>
                <c:pt idx="168">
                  <c:v>25</c:v>
                </c:pt>
                <c:pt idx="169">
                  <c:v>26</c:v>
                </c:pt>
                <c:pt idx="170">
                  <c:v>20</c:v>
                </c:pt>
                <c:pt idx="171">
                  <c:v>36</c:v>
                </c:pt>
                <c:pt idx="172">
                  <c:v>26</c:v>
                </c:pt>
                <c:pt idx="173">
                  <c:v>22</c:v>
                </c:pt>
                <c:pt idx="174">
                  <c:v>28</c:v>
                </c:pt>
                <c:pt idx="175">
                  <c:v>27</c:v>
                </c:pt>
                <c:pt idx="176">
                  <c:v>37</c:v>
                </c:pt>
                <c:pt idx="177">
                  <c:v>34</c:v>
                </c:pt>
                <c:pt idx="178">
                  <c:v>26</c:v>
                </c:pt>
                <c:pt idx="179">
                  <c:v>23</c:v>
                </c:pt>
                <c:pt idx="180">
                  <c:v>25</c:v>
                </c:pt>
                <c:pt idx="181">
                  <c:v>35</c:v>
                </c:pt>
                <c:pt idx="182">
                  <c:v>33</c:v>
                </c:pt>
                <c:pt idx="183">
                  <c:v>34</c:v>
                </c:pt>
                <c:pt idx="184">
                  <c:v>28</c:v>
                </c:pt>
                <c:pt idx="185">
                  <c:v>28</c:v>
                </c:pt>
                <c:pt idx="186">
                  <c:v>29</c:v>
                </c:pt>
                <c:pt idx="187">
                  <c:v>26</c:v>
                </c:pt>
                <c:pt idx="188">
                  <c:v>28</c:v>
                </c:pt>
                <c:pt idx="189">
                  <c:v>21</c:v>
                </c:pt>
                <c:pt idx="190">
                  <c:v>25</c:v>
                </c:pt>
                <c:pt idx="191">
                  <c:v>30</c:v>
                </c:pt>
                <c:pt idx="192">
                  <c:v>37</c:v>
                </c:pt>
                <c:pt idx="193">
                  <c:v>26</c:v>
                </c:pt>
                <c:pt idx="194">
                  <c:v>36</c:v>
                </c:pt>
                <c:pt idx="195">
                  <c:v>24</c:v>
                </c:pt>
                <c:pt idx="196">
                  <c:v>30</c:v>
                </c:pt>
                <c:pt idx="197">
                  <c:v>37</c:v>
                </c:pt>
                <c:pt idx="198">
                  <c:v>29</c:v>
                </c:pt>
                <c:pt idx="199">
                  <c:v>22</c:v>
                </c:pt>
                <c:pt idx="200">
                  <c:v>24</c:v>
                </c:pt>
                <c:pt idx="201">
                  <c:v>26</c:v>
                </c:pt>
                <c:pt idx="202">
                  <c:v>26</c:v>
                </c:pt>
                <c:pt idx="203">
                  <c:v>35</c:v>
                </c:pt>
                <c:pt idx="204">
                  <c:v>29</c:v>
                </c:pt>
                <c:pt idx="205">
                  <c:v>36</c:v>
                </c:pt>
                <c:pt idx="206">
                  <c:v>27</c:v>
                </c:pt>
                <c:pt idx="207">
                  <c:v>26</c:v>
                </c:pt>
                <c:pt idx="208">
                  <c:v>24</c:v>
                </c:pt>
                <c:pt idx="209">
                  <c:v>24</c:v>
                </c:pt>
                <c:pt idx="210">
                  <c:v>22</c:v>
                </c:pt>
                <c:pt idx="211">
                  <c:v>27</c:v>
                </c:pt>
                <c:pt idx="212">
                  <c:v>22</c:v>
                </c:pt>
                <c:pt idx="213">
                  <c:v>33</c:v>
                </c:pt>
                <c:pt idx="214">
                  <c:v>30</c:v>
                </c:pt>
                <c:pt idx="215">
                  <c:v>30</c:v>
                </c:pt>
                <c:pt idx="216">
                  <c:v>26</c:v>
                </c:pt>
                <c:pt idx="217">
                  <c:v>42</c:v>
                </c:pt>
                <c:pt idx="218">
                  <c:v>28</c:v>
                </c:pt>
                <c:pt idx="219">
                  <c:v>32</c:v>
                </c:pt>
                <c:pt idx="220">
                  <c:v>44</c:v>
                </c:pt>
                <c:pt idx="221">
                  <c:v>37</c:v>
                </c:pt>
                <c:pt idx="222">
                  <c:v>28</c:v>
                </c:pt>
                <c:pt idx="223">
                  <c:v>34</c:v>
                </c:pt>
                <c:pt idx="224">
                  <c:v>31</c:v>
                </c:pt>
                <c:pt idx="225">
                  <c:v>38</c:v>
                </c:pt>
                <c:pt idx="226">
                  <c:v>35</c:v>
                </c:pt>
                <c:pt idx="227">
                  <c:v>23</c:v>
                </c:pt>
                <c:pt idx="228">
                  <c:v>30</c:v>
                </c:pt>
                <c:pt idx="229">
                  <c:v>37</c:v>
                </c:pt>
                <c:pt idx="230">
                  <c:v>26</c:v>
                </c:pt>
                <c:pt idx="231">
                  <c:v>29</c:v>
                </c:pt>
                <c:pt idx="232">
                  <c:v>45</c:v>
                </c:pt>
                <c:pt idx="233">
                  <c:v>35</c:v>
                </c:pt>
                <c:pt idx="234">
                  <c:v>32</c:v>
                </c:pt>
                <c:pt idx="235">
                  <c:v>29</c:v>
                </c:pt>
                <c:pt idx="236">
                  <c:v>23</c:v>
                </c:pt>
                <c:pt idx="237">
                  <c:v>37</c:v>
                </c:pt>
                <c:pt idx="238">
                  <c:v>29</c:v>
                </c:pt>
                <c:pt idx="239">
                  <c:v>36</c:v>
                </c:pt>
                <c:pt idx="240">
                  <c:v>39</c:v>
                </c:pt>
                <c:pt idx="241">
                  <c:v>33</c:v>
                </c:pt>
                <c:pt idx="242">
                  <c:v>25</c:v>
                </c:pt>
                <c:pt idx="243">
                  <c:v>22</c:v>
                </c:pt>
                <c:pt idx="244">
                  <c:v>34</c:v>
                </c:pt>
                <c:pt idx="245">
                  <c:v>35</c:v>
                </c:pt>
                <c:pt idx="246">
                  <c:v>34</c:v>
                </c:pt>
                <c:pt idx="247">
                  <c:v>20</c:v>
                </c:pt>
                <c:pt idx="248">
                  <c:v>27</c:v>
                </c:pt>
                <c:pt idx="249">
                  <c:v>26</c:v>
                </c:pt>
                <c:pt idx="250">
                  <c:v>31</c:v>
                </c:pt>
                <c:pt idx="251">
                  <c:v>26</c:v>
                </c:pt>
                <c:pt idx="252">
                  <c:v>44</c:v>
                </c:pt>
                <c:pt idx="253">
                  <c:v>31</c:v>
                </c:pt>
                <c:pt idx="254">
                  <c:v>26</c:v>
                </c:pt>
                <c:pt idx="255">
                  <c:v>26</c:v>
                </c:pt>
                <c:pt idx="256">
                  <c:v>28</c:v>
                </c:pt>
                <c:pt idx="257">
                  <c:v>26</c:v>
                </c:pt>
                <c:pt idx="258">
                  <c:v>34</c:v>
                </c:pt>
                <c:pt idx="259">
                  <c:v>26</c:v>
                </c:pt>
                <c:pt idx="260">
                  <c:v>28</c:v>
                </c:pt>
                <c:pt idx="261">
                  <c:v>25</c:v>
                </c:pt>
                <c:pt idx="262">
                  <c:v>38</c:v>
                </c:pt>
                <c:pt idx="263">
                  <c:v>26</c:v>
                </c:pt>
                <c:pt idx="264">
                  <c:v>24</c:v>
                </c:pt>
                <c:pt idx="265">
                  <c:v>22</c:v>
                </c:pt>
                <c:pt idx="266">
                  <c:v>23</c:v>
                </c:pt>
                <c:pt idx="267">
                  <c:v>28</c:v>
                </c:pt>
                <c:pt idx="268">
                  <c:v>36</c:v>
                </c:pt>
                <c:pt idx="269">
                  <c:v>24</c:v>
                </c:pt>
                <c:pt idx="270">
                  <c:v>25</c:v>
                </c:pt>
                <c:pt idx="271">
                  <c:v>30</c:v>
                </c:pt>
                <c:pt idx="272">
                  <c:v>26</c:v>
                </c:pt>
                <c:pt idx="273">
                  <c:v>34</c:v>
                </c:pt>
                <c:pt idx="274">
                  <c:v>31</c:v>
                </c:pt>
                <c:pt idx="275">
                  <c:v>28</c:v>
                </c:pt>
                <c:pt idx="276">
                  <c:v>30</c:v>
                </c:pt>
                <c:pt idx="277">
                  <c:v>26</c:v>
                </c:pt>
                <c:pt idx="278">
                  <c:v>25</c:v>
                </c:pt>
                <c:pt idx="279">
                  <c:v>27</c:v>
                </c:pt>
                <c:pt idx="280">
                  <c:v>29</c:v>
                </c:pt>
                <c:pt idx="281">
                  <c:v>32</c:v>
                </c:pt>
                <c:pt idx="282">
                  <c:v>30</c:v>
                </c:pt>
                <c:pt idx="283">
                  <c:v>24</c:v>
                </c:pt>
                <c:pt idx="284">
                  <c:v>29</c:v>
                </c:pt>
                <c:pt idx="285">
                  <c:v>28</c:v>
                </c:pt>
                <c:pt idx="286">
                  <c:v>31</c:v>
                </c:pt>
                <c:pt idx="287">
                  <c:v>29</c:v>
                </c:pt>
                <c:pt idx="288">
                  <c:v>32</c:v>
                </c:pt>
                <c:pt idx="289">
                  <c:v>41</c:v>
                </c:pt>
                <c:pt idx="290">
                  <c:v>32</c:v>
                </c:pt>
                <c:pt idx="291">
                  <c:v>36</c:v>
                </c:pt>
                <c:pt idx="292">
                  <c:v>34</c:v>
                </c:pt>
                <c:pt idx="293">
                  <c:v>33</c:v>
                </c:pt>
                <c:pt idx="294">
                  <c:v>34</c:v>
                </c:pt>
                <c:pt idx="295">
                  <c:v>27</c:v>
                </c:pt>
                <c:pt idx="296">
                  <c:v>32</c:v>
                </c:pt>
                <c:pt idx="297">
                  <c:v>23</c:v>
                </c:pt>
                <c:pt idx="298">
                  <c:v>39</c:v>
                </c:pt>
                <c:pt idx="299">
                  <c:v>28</c:v>
                </c:pt>
                <c:pt idx="300">
                  <c:v>32</c:v>
                </c:pt>
                <c:pt idx="301">
                  <c:v>37</c:v>
                </c:pt>
                <c:pt idx="302">
                  <c:v>31</c:v>
                </c:pt>
                <c:pt idx="303">
                  <c:v>24</c:v>
                </c:pt>
                <c:pt idx="304">
                  <c:v>36</c:v>
                </c:pt>
                <c:pt idx="305">
                  <c:v>22</c:v>
                </c:pt>
                <c:pt idx="306">
                  <c:v>22</c:v>
                </c:pt>
                <c:pt idx="307">
                  <c:v>26</c:v>
                </c:pt>
                <c:pt idx="308">
                  <c:v>22</c:v>
                </c:pt>
                <c:pt idx="309">
                  <c:v>19</c:v>
                </c:pt>
                <c:pt idx="310">
                  <c:v>31</c:v>
                </c:pt>
                <c:pt idx="311">
                  <c:v>25</c:v>
                </c:pt>
                <c:pt idx="312">
                  <c:v>30</c:v>
                </c:pt>
                <c:pt idx="313">
                  <c:v>30</c:v>
                </c:pt>
                <c:pt idx="314">
                  <c:v>21</c:v>
                </c:pt>
                <c:pt idx="315">
                  <c:v>26</c:v>
                </c:pt>
                <c:pt idx="316">
                  <c:v>28</c:v>
                </c:pt>
                <c:pt idx="317">
                  <c:v>39</c:v>
                </c:pt>
                <c:pt idx="318">
                  <c:v>19</c:v>
                </c:pt>
                <c:pt idx="319">
                  <c:v>28</c:v>
                </c:pt>
                <c:pt idx="320">
                  <c:v>27</c:v>
                </c:pt>
                <c:pt idx="321">
                  <c:v>22</c:v>
                </c:pt>
                <c:pt idx="322">
                  <c:v>32</c:v>
                </c:pt>
                <c:pt idx="323">
                  <c:v>24</c:v>
                </c:pt>
                <c:pt idx="324">
                  <c:v>28</c:v>
                </c:pt>
                <c:pt idx="325">
                  <c:v>38</c:v>
                </c:pt>
                <c:pt idx="326">
                  <c:v>30</c:v>
                </c:pt>
                <c:pt idx="327">
                  <c:v>24</c:v>
                </c:pt>
                <c:pt idx="328">
                  <c:v>24</c:v>
                </c:pt>
                <c:pt idx="329">
                  <c:v>36</c:v>
                </c:pt>
                <c:pt idx="330">
                  <c:v>30</c:v>
                </c:pt>
                <c:pt idx="331">
                  <c:v>26</c:v>
                </c:pt>
                <c:pt idx="332">
                  <c:v>24</c:v>
                </c:pt>
                <c:pt idx="333">
                  <c:v>24</c:v>
                </c:pt>
                <c:pt idx="334">
                  <c:v>33</c:v>
                </c:pt>
                <c:pt idx="335">
                  <c:v>42</c:v>
                </c:pt>
                <c:pt idx="336">
                  <c:v>28</c:v>
                </c:pt>
                <c:pt idx="337">
                  <c:v>25</c:v>
                </c:pt>
                <c:pt idx="338">
                  <c:v>26</c:v>
                </c:pt>
                <c:pt idx="339">
                  <c:v>25</c:v>
                </c:pt>
                <c:pt idx="340">
                  <c:v>29</c:v>
                </c:pt>
                <c:pt idx="341">
                  <c:v>43</c:v>
                </c:pt>
                <c:pt idx="342">
                  <c:v>35</c:v>
                </c:pt>
                <c:pt idx="343">
                  <c:v>27</c:v>
                </c:pt>
                <c:pt idx="344">
                  <c:v>44</c:v>
                </c:pt>
                <c:pt idx="345">
                  <c:v>27</c:v>
                </c:pt>
                <c:pt idx="346">
                  <c:v>38</c:v>
                </c:pt>
                <c:pt idx="347">
                  <c:v>30</c:v>
                </c:pt>
                <c:pt idx="348">
                  <c:v>27</c:v>
                </c:pt>
                <c:pt idx="349">
                  <c:v>27</c:v>
                </c:pt>
                <c:pt idx="350">
                  <c:v>42</c:v>
                </c:pt>
                <c:pt idx="351">
                  <c:v>37</c:v>
                </c:pt>
                <c:pt idx="352">
                  <c:v>28</c:v>
                </c:pt>
                <c:pt idx="353">
                  <c:v>37</c:v>
                </c:pt>
                <c:pt idx="354">
                  <c:v>29</c:v>
                </c:pt>
                <c:pt idx="355">
                  <c:v>35</c:v>
                </c:pt>
                <c:pt idx="356">
                  <c:v>37</c:v>
                </c:pt>
                <c:pt idx="357">
                  <c:v>34</c:v>
                </c:pt>
                <c:pt idx="358">
                  <c:v>28</c:v>
                </c:pt>
                <c:pt idx="359">
                  <c:v>27</c:v>
                </c:pt>
                <c:pt idx="360">
                  <c:v>39</c:v>
                </c:pt>
                <c:pt idx="361">
                  <c:v>43</c:v>
                </c:pt>
                <c:pt idx="362">
                  <c:v>28</c:v>
                </c:pt>
                <c:pt idx="363">
                  <c:v>34</c:v>
                </c:pt>
                <c:pt idx="364">
                  <c:v>37</c:v>
                </c:pt>
                <c:pt idx="365">
                  <c:v>35</c:v>
                </c:pt>
                <c:pt idx="366">
                  <c:v>33</c:v>
                </c:pt>
                <c:pt idx="367">
                  <c:v>24</c:v>
                </c:pt>
                <c:pt idx="368">
                  <c:v>22</c:v>
                </c:pt>
                <c:pt idx="369">
                  <c:v>24</c:v>
                </c:pt>
                <c:pt idx="370">
                  <c:v>26</c:v>
                </c:pt>
                <c:pt idx="371">
                  <c:v>19</c:v>
                </c:pt>
                <c:pt idx="372">
                  <c:v>25</c:v>
                </c:pt>
                <c:pt idx="373">
                  <c:v>26</c:v>
                </c:pt>
                <c:pt idx="374">
                  <c:v>28</c:v>
                </c:pt>
                <c:pt idx="375">
                  <c:v>30</c:v>
                </c:pt>
                <c:pt idx="376">
                  <c:v>26</c:v>
                </c:pt>
                <c:pt idx="377">
                  <c:v>24</c:v>
                </c:pt>
                <c:pt idx="378">
                  <c:v>33</c:v>
                </c:pt>
                <c:pt idx="379">
                  <c:v>32</c:v>
                </c:pt>
                <c:pt idx="380">
                  <c:v>26</c:v>
                </c:pt>
                <c:pt idx="381">
                  <c:v>34</c:v>
                </c:pt>
                <c:pt idx="382">
                  <c:v>32</c:v>
                </c:pt>
                <c:pt idx="383">
                  <c:v>32</c:v>
                </c:pt>
                <c:pt idx="384">
                  <c:v>38</c:v>
                </c:pt>
                <c:pt idx="385">
                  <c:v>29</c:v>
                </c:pt>
                <c:pt idx="386">
                  <c:v>25</c:v>
                </c:pt>
                <c:pt idx="387">
                  <c:v>32</c:v>
                </c:pt>
                <c:pt idx="388">
                  <c:v>28</c:v>
                </c:pt>
                <c:pt idx="389">
                  <c:v>31</c:v>
                </c:pt>
                <c:pt idx="390">
                  <c:v>26</c:v>
                </c:pt>
                <c:pt idx="391">
                  <c:v>26</c:v>
                </c:pt>
                <c:pt idx="392">
                  <c:v>25</c:v>
                </c:pt>
                <c:pt idx="393">
                  <c:v>38</c:v>
                </c:pt>
                <c:pt idx="394">
                  <c:v>31</c:v>
                </c:pt>
                <c:pt idx="395">
                  <c:v>29</c:v>
                </c:pt>
                <c:pt idx="396">
                  <c:v>31</c:v>
                </c:pt>
                <c:pt idx="397">
                  <c:v>33</c:v>
                </c:pt>
                <c:pt idx="398">
                  <c:v>40</c:v>
                </c:pt>
                <c:pt idx="399">
                  <c:v>33</c:v>
                </c:pt>
                <c:pt idx="400">
                  <c:v>45</c:v>
                </c:pt>
                <c:pt idx="401">
                  <c:v>34</c:v>
                </c:pt>
                <c:pt idx="402">
                  <c:v>39</c:v>
                </c:pt>
                <c:pt idx="403">
                  <c:v>35</c:v>
                </c:pt>
                <c:pt idx="404">
                  <c:v>35</c:v>
                </c:pt>
                <c:pt idx="405">
                  <c:v>33</c:v>
                </c:pt>
                <c:pt idx="406">
                  <c:v>28</c:v>
                </c:pt>
                <c:pt idx="407">
                  <c:v>24</c:v>
                </c:pt>
                <c:pt idx="408">
                  <c:v>36</c:v>
                </c:pt>
                <c:pt idx="409">
                  <c:v>35</c:v>
                </c:pt>
                <c:pt idx="410">
                  <c:v>28</c:v>
                </c:pt>
                <c:pt idx="411">
                  <c:v>26</c:v>
                </c:pt>
                <c:pt idx="412">
                  <c:v>35</c:v>
                </c:pt>
                <c:pt idx="413">
                  <c:v>32</c:v>
                </c:pt>
                <c:pt idx="414">
                  <c:v>23</c:v>
                </c:pt>
                <c:pt idx="415">
                  <c:v>32</c:v>
                </c:pt>
                <c:pt idx="416">
                  <c:v>29</c:v>
                </c:pt>
                <c:pt idx="417">
                  <c:v>25</c:v>
                </c:pt>
                <c:pt idx="418">
                  <c:v>35</c:v>
                </c:pt>
                <c:pt idx="419">
                  <c:v>37</c:v>
                </c:pt>
                <c:pt idx="420">
                  <c:v>43</c:v>
                </c:pt>
                <c:pt idx="421">
                  <c:v>32</c:v>
                </c:pt>
                <c:pt idx="422">
                  <c:v>31</c:v>
                </c:pt>
                <c:pt idx="423">
                  <c:v>29</c:v>
                </c:pt>
                <c:pt idx="424">
                  <c:v>41</c:v>
                </c:pt>
                <c:pt idx="425">
                  <c:v>22</c:v>
                </c:pt>
                <c:pt idx="426">
                  <c:v>32</c:v>
                </c:pt>
                <c:pt idx="427">
                  <c:v>35</c:v>
                </c:pt>
                <c:pt idx="428">
                  <c:v>39</c:v>
                </c:pt>
                <c:pt idx="429">
                  <c:v>43</c:v>
                </c:pt>
                <c:pt idx="430">
                  <c:v>28</c:v>
                </c:pt>
                <c:pt idx="431">
                  <c:v>28</c:v>
                </c:pt>
                <c:pt idx="432">
                  <c:v>36</c:v>
                </c:pt>
                <c:pt idx="433">
                  <c:v>35</c:v>
                </c:pt>
                <c:pt idx="434">
                  <c:v>45</c:v>
                </c:pt>
                <c:pt idx="435">
                  <c:v>34</c:v>
                </c:pt>
                <c:pt idx="436">
                  <c:v>29</c:v>
                </c:pt>
                <c:pt idx="437">
                  <c:v>32</c:v>
                </c:pt>
                <c:pt idx="438">
                  <c:v>33</c:v>
                </c:pt>
                <c:pt idx="439">
                  <c:v>38</c:v>
                </c:pt>
                <c:pt idx="440">
                  <c:v>35</c:v>
                </c:pt>
                <c:pt idx="441">
                  <c:v>26</c:v>
                </c:pt>
                <c:pt idx="442">
                  <c:v>24</c:v>
                </c:pt>
                <c:pt idx="443">
                  <c:v>24</c:v>
                </c:pt>
                <c:pt idx="444">
                  <c:v>31</c:v>
                </c:pt>
                <c:pt idx="445">
                  <c:v>26</c:v>
                </c:pt>
                <c:pt idx="446">
                  <c:v>21</c:v>
                </c:pt>
                <c:pt idx="447">
                  <c:v>23</c:v>
                </c:pt>
                <c:pt idx="448">
                  <c:v>28</c:v>
                </c:pt>
                <c:pt idx="449">
                  <c:v>22</c:v>
                </c:pt>
                <c:pt idx="450">
                  <c:v>25</c:v>
                </c:pt>
                <c:pt idx="451">
                  <c:v>23</c:v>
                </c:pt>
                <c:pt idx="452">
                  <c:v>22</c:v>
                </c:pt>
                <c:pt idx="453">
                  <c:v>20</c:v>
                </c:pt>
                <c:pt idx="454">
                  <c:v>32</c:v>
                </c:pt>
                <c:pt idx="455">
                  <c:v>32</c:v>
                </c:pt>
                <c:pt idx="456">
                  <c:v>38</c:v>
                </c:pt>
                <c:pt idx="457">
                  <c:v>40</c:v>
                </c:pt>
                <c:pt idx="458">
                  <c:v>33</c:v>
                </c:pt>
                <c:pt idx="459">
                  <c:v>38</c:v>
                </c:pt>
                <c:pt idx="460">
                  <c:v>31</c:v>
                </c:pt>
                <c:pt idx="461">
                  <c:v>24</c:v>
                </c:pt>
                <c:pt idx="462">
                  <c:v>28</c:v>
                </c:pt>
                <c:pt idx="463">
                  <c:v>30</c:v>
                </c:pt>
                <c:pt idx="464">
                  <c:v>30</c:v>
                </c:pt>
                <c:pt idx="465">
                  <c:v>39</c:v>
                </c:pt>
                <c:pt idx="466">
                  <c:v>25</c:v>
                </c:pt>
                <c:pt idx="467">
                  <c:v>28</c:v>
                </c:pt>
                <c:pt idx="468">
                  <c:v>38</c:v>
                </c:pt>
                <c:pt idx="469">
                  <c:v>37</c:v>
                </c:pt>
                <c:pt idx="470">
                  <c:v>32</c:v>
                </c:pt>
                <c:pt idx="471">
                  <c:v>27</c:v>
                </c:pt>
                <c:pt idx="472">
                  <c:v>32</c:v>
                </c:pt>
                <c:pt idx="473">
                  <c:v>36</c:v>
                </c:pt>
                <c:pt idx="474">
                  <c:v>28</c:v>
                </c:pt>
                <c:pt idx="475">
                  <c:v>31</c:v>
                </c:pt>
                <c:pt idx="476">
                  <c:v>28</c:v>
                </c:pt>
                <c:pt idx="477">
                  <c:v>28</c:v>
                </c:pt>
                <c:pt idx="478">
                  <c:v>36</c:v>
                </c:pt>
                <c:pt idx="479">
                  <c:v>37</c:v>
                </c:pt>
                <c:pt idx="480">
                  <c:v>31</c:v>
                </c:pt>
                <c:pt idx="481">
                  <c:v>27</c:v>
                </c:pt>
                <c:pt idx="482">
                  <c:v>26</c:v>
                </c:pt>
                <c:pt idx="483">
                  <c:v>38</c:v>
                </c:pt>
                <c:pt idx="484">
                  <c:v>34</c:v>
                </c:pt>
                <c:pt idx="485">
                  <c:v>30</c:v>
                </c:pt>
                <c:pt idx="486">
                  <c:v>28</c:v>
                </c:pt>
                <c:pt idx="487">
                  <c:v>47</c:v>
                </c:pt>
                <c:pt idx="488">
                  <c:v>28</c:v>
                </c:pt>
                <c:pt idx="489">
                  <c:v>28</c:v>
                </c:pt>
                <c:pt idx="490">
                  <c:v>32</c:v>
                </c:pt>
                <c:pt idx="491">
                  <c:v>41</c:v>
                </c:pt>
                <c:pt idx="492">
                  <c:v>38</c:v>
                </c:pt>
                <c:pt idx="493">
                  <c:v>28</c:v>
                </c:pt>
                <c:pt idx="494">
                  <c:v>38</c:v>
                </c:pt>
                <c:pt idx="495">
                  <c:v>34</c:v>
                </c:pt>
                <c:pt idx="496">
                  <c:v>23</c:v>
                </c:pt>
                <c:pt idx="497">
                  <c:v>38</c:v>
                </c:pt>
                <c:pt idx="498">
                  <c:v>37</c:v>
                </c:pt>
                <c:pt idx="499">
                  <c:v>27</c:v>
                </c:pt>
                <c:pt idx="500">
                  <c:v>32</c:v>
                </c:pt>
                <c:pt idx="501">
                  <c:v>35</c:v>
                </c:pt>
                <c:pt idx="502">
                  <c:v>42</c:v>
                </c:pt>
                <c:pt idx="503">
                  <c:v>28</c:v>
                </c:pt>
                <c:pt idx="504">
                  <c:v>36</c:v>
                </c:pt>
                <c:pt idx="505">
                  <c:v>28</c:v>
                </c:pt>
                <c:pt idx="506">
                  <c:v>32</c:v>
                </c:pt>
                <c:pt idx="507">
                  <c:v>29</c:v>
                </c:pt>
                <c:pt idx="508">
                  <c:v>30</c:v>
                </c:pt>
                <c:pt idx="509">
                  <c:v>38</c:v>
                </c:pt>
                <c:pt idx="510">
                  <c:v>34</c:v>
                </c:pt>
                <c:pt idx="511">
                  <c:v>42</c:v>
                </c:pt>
                <c:pt idx="512">
                  <c:v>35</c:v>
                </c:pt>
                <c:pt idx="513">
                  <c:v>29</c:v>
                </c:pt>
                <c:pt idx="514">
                  <c:v>29</c:v>
                </c:pt>
                <c:pt idx="515">
                  <c:v>30</c:v>
                </c:pt>
                <c:pt idx="516">
                  <c:v>34</c:v>
                </c:pt>
                <c:pt idx="517">
                  <c:v>30</c:v>
                </c:pt>
                <c:pt idx="518">
                  <c:v>33</c:v>
                </c:pt>
                <c:pt idx="519">
                  <c:v>29</c:v>
                </c:pt>
                <c:pt idx="520">
                  <c:v>34</c:v>
                </c:pt>
                <c:pt idx="521">
                  <c:v>34</c:v>
                </c:pt>
                <c:pt idx="522">
                  <c:v>30</c:v>
                </c:pt>
                <c:pt idx="523">
                  <c:v>33</c:v>
                </c:pt>
                <c:pt idx="524">
                  <c:v>39</c:v>
                </c:pt>
                <c:pt idx="525">
                  <c:v>34</c:v>
                </c:pt>
                <c:pt idx="526">
                  <c:v>27</c:v>
                </c:pt>
                <c:pt idx="527">
                  <c:v>25</c:v>
                </c:pt>
                <c:pt idx="528">
                  <c:v>28</c:v>
                </c:pt>
                <c:pt idx="529">
                  <c:v>29</c:v>
                </c:pt>
                <c:pt idx="530">
                  <c:v>34</c:v>
                </c:pt>
                <c:pt idx="531">
                  <c:v>40</c:v>
                </c:pt>
                <c:pt idx="532">
                  <c:v>30</c:v>
                </c:pt>
                <c:pt idx="533">
                  <c:v>40</c:v>
                </c:pt>
                <c:pt idx="534">
                  <c:v>31</c:v>
                </c:pt>
                <c:pt idx="535">
                  <c:v>40</c:v>
                </c:pt>
                <c:pt idx="536">
                  <c:v>31</c:v>
                </c:pt>
                <c:pt idx="537">
                  <c:v>28</c:v>
                </c:pt>
                <c:pt idx="538">
                  <c:v>35</c:v>
                </c:pt>
                <c:pt idx="539">
                  <c:v>38</c:v>
                </c:pt>
                <c:pt idx="540">
                  <c:v>34</c:v>
                </c:pt>
                <c:pt idx="541">
                  <c:v>38</c:v>
                </c:pt>
                <c:pt idx="542">
                  <c:v>38</c:v>
                </c:pt>
                <c:pt idx="543">
                  <c:v>33</c:v>
                </c:pt>
                <c:pt idx="544">
                  <c:v>34</c:v>
                </c:pt>
                <c:pt idx="545">
                  <c:v>32</c:v>
                </c:pt>
                <c:pt idx="546">
                  <c:v>34</c:v>
                </c:pt>
                <c:pt idx="547">
                  <c:v>34</c:v>
                </c:pt>
                <c:pt idx="548">
                  <c:v>33</c:v>
                </c:pt>
                <c:pt idx="549">
                  <c:v>32</c:v>
                </c:pt>
                <c:pt idx="550">
                  <c:v>48</c:v>
                </c:pt>
                <c:pt idx="551">
                  <c:v>48</c:v>
                </c:pt>
                <c:pt idx="552">
                  <c:v>36</c:v>
                </c:pt>
                <c:pt idx="553">
                  <c:v>38</c:v>
                </c:pt>
                <c:pt idx="554">
                  <c:v>38</c:v>
                </c:pt>
                <c:pt idx="555">
                  <c:v>33</c:v>
                </c:pt>
                <c:pt idx="556">
                  <c:v>34</c:v>
                </c:pt>
                <c:pt idx="557">
                  <c:v>32</c:v>
                </c:pt>
                <c:pt idx="558">
                  <c:v>34</c:v>
                </c:pt>
                <c:pt idx="559">
                  <c:v>22</c:v>
                </c:pt>
                <c:pt idx="560">
                  <c:v>34</c:v>
                </c:pt>
                <c:pt idx="561">
                  <c:v>33</c:v>
                </c:pt>
                <c:pt idx="562">
                  <c:v>32</c:v>
                </c:pt>
                <c:pt idx="563">
                  <c:v>48</c:v>
                </c:pt>
                <c:pt idx="564">
                  <c:v>35</c:v>
                </c:pt>
                <c:pt idx="565">
                  <c:v>48</c:v>
                </c:pt>
                <c:pt idx="566">
                  <c:v>36</c:v>
                </c:pt>
                <c:pt idx="567">
                  <c:v>47</c:v>
                </c:pt>
                <c:pt idx="568">
                  <c:v>36</c:v>
                </c:pt>
                <c:pt idx="569">
                  <c:v>30</c:v>
                </c:pt>
                <c:pt idx="570">
                  <c:v>38</c:v>
                </c:pt>
                <c:pt idx="571">
                  <c:v>35</c:v>
                </c:pt>
                <c:pt idx="572">
                  <c:v>44</c:v>
                </c:pt>
                <c:pt idx="573">
                  <c:v>35</c:v>
                </c:pt>
                <c:pt idx="574">
                  <c:v>27</c:v>
                </c:pt>
                <c:pt idx="575">
                  <c:v>38</c:v>
                </c:pt>
                <c:pt idx="576">
                  <c:v>35</c:v>
                </c:pt>
                <c:pt idx="577">
                  <c:v>24</c:v>
                </c:pt>
                <c:pt idx="578">
                  <c:v>35</c:v>
                </c:pt>
                <c:pt idx="579">
                  <c:v>42</c:v>
                </c:pt>
                <c:pt idx="580">
                  <c:v>34</c:v>
                </c:pt>
                <c:pt idx="581">
                  <c:v>38</c:v>
                </c:pt>
                <c:pt idx="582">
                  <c:v>24</c:v>
                </c:pt>
                <c:pt idx="583">
                  <c:v>32</c:v>
                </c:pt>
                <c:pt idx="584">
                  <c:v>26</c:v>
                </c:pt>
                <c:pt idx="585">
                  <c:v>31.5</c:v>
                </c:pt>
                <c:pt idx="586">
                  <c:v>33</c:v>
                </c:pt>
                <c:pt idx="587">
                  <c:v>31</c:v>
                </c:pt>
                <c:pt idx="588">
                  <c:v>28</c:v>
                </c:pt>
                <c:pt idx="589">
                  <c:v>30</c:v>
                </c:pt>
                <c:pt idx="590">
                  <c:v>42</c:v>
                </c:pt>
                <c:pt idx="591">
                  <c:v>36</c:v>
                </c:pt>
                <c:pt idx="592">
                  <c:v>34</c:v>
                </c:pt>
                <c:pt idx="593">
                  <c:v>40</c:v>
                </c:pt>
                <c:pt idx="594">
                  <c:v>28</c:v>
                </c:pt>
                <c:pt idx="595">
                  <c:v>28</c:v>
                </c:pt>
                <c:pt idx="596">
                  <c:v>40</c:v>
                </c:pt>
                <c:pt idx="597">
                  <c:v>31</c:v>
                </c:pt>
                <c:pt idx="598">
                  <c:v>32</c:v>
                </c:pt>
                <c:pt idx="599">
                  <c:v>37</c:v>
                </c:pt>
                <c:pt idx="600">
                  <c:v>35</c:v>
                </c:pt>
                <c:pt idx="601">
                  <c:v>42</c:v>
                </c:pt>
                <c:pt idx="602">
                  <c:v>31</c:v>
                </c:pt>
                <c:pt idx="603">
                  <c:v>32</c:v>
                </c:pt>
                <c:pt idx="604">
                  <c:v>31</c:v>
                </c:pt>
                <c:pt idx="605">
                  <c:v>32</c:v>
                </c:pt>
                <c:pt idx="606">
                  <c:v>33</c:v>
                </c:pt>
                <c:pt idx="607">
                  <c:v>29</c:v>
                </c:pt>
                <c:pt idx="608">
                  <c:v>28</c:v>
                </c:pt>
                <c:pt idx="609">
                  <c:v>25</c:v>
                </c:pt>
                <c:pt idx="610">
                  <c:v>27</c:v>
                </c:pt>
                <c:pt idx="611">
                  <c:v>28</c:v>
                </c:pt>
                <c:pt idx="612">
                  <c:v>30</c:v>
                </c:pt>
                <c:pt idx="613">
                  <c:v>34</c:v>
                </c:pt>
                <c:pt idx="614">
                  <c:v>31</c:v>
                </c:pt>
                <c:pt idx="615">
                  <c:v>24</c:v>
                </c:pt>
                <c:pt idx="616">
                  <c:v>31</c:v>
                </c:pt>
                <c:pt idx="617">
                  <c:v>25</c:v>
                </c:pt>
                <c:pt idx="618">
                  <c:v>28</c:v>
                </c:pt>
                <c:pt idx="619">
                  <c:v>21</c:v>
                </c:pt>
                <c:pt idx="620">
                  <c:v>35</c:v>
                </c:pt>
                <c:pt idx="621">
                  <c:v>37</c:v>
                </c:pt>
                <c:pt idx="622">
                  <c:v>35</c:v>
                </c:pt>
                <c:pt idx="623">
                  <c:v>37</c:v>
                </c:pt>
                <c:pt idx="624">
                  <c:v>31</c:v>
                </c:pt>
                <c:pt idx="625">
                  <c:v>30</c:v>
                </c:pt>
                <c:pt idx="626">
                  <c:v>35</c:v>
                </c:pt>
                <c:pt idx="627">
                  <c:v>32</c:v>
                </c:pt>
                <c:pt idx="628">
                  <c:v>42</c:v>
                </c:pt>
                <c:pt idx="629">
                  <c:v>32</c:v>
                </c:pt>
                <c:pt idx="630">
                  <c:v>28</c:v>
                </c:pt>
                <c:pt idx="631">
                  <c:v>32</c:v>
                </c:pt>
                <c:pt idx="632">
                  <c:v>34</c:v>
                </c:pt>
                <c:pt idx="633">
                  <c:v>32</c:v>
                </c:pt>
                <c:pt idx="634">
                  <c:v>34</c:v>
                </c:pt>
                <c:pt idx="635">
                  <c:v>29</c:v>
                </c:pt>
                <c:pt idx="636">
                  <c:v>31</c:v>
                </c:pt>
                <c:pt idx="637">
                  <c:v>29</c:v>
                </c:pt>
                <c:pt idx="638">
                  <c:v>34</c:v>
                </c:pt>
                <c:pt idx="639">
                  <c:v>32</c:v>
                </c:pt>
                <c:pt idx="640">
                  <c:v>35</c:v>
                </c:pt>
                <c:pt idx="641">
                  <c:v>29</c:v>
                </c:pt>
                <c:pt idx="642">
                  <c:v>22</c:v>
                </c:pt>
                <c:pt idx="643">
                  <c:v>29</c:v>
                </c:pt>
                <c:pt idx="644">
                  <c:v>34</c:v>
                </c:pt>
                <c:pt idx="645">
                  <c:v>29</c:v>
                </c:pt>
                <c:pt idx="646">
                  <c:v>36</c:v>
                </c:pt>
                <c:pt idx="647">
                  <c:v>34</c:v>
                </c:pt>
                <c:pt idx="648">
                  <c:v>33</c:v>
                </c:pt>
                <c:pt idx="649">
                  <c:v>37</c:v>
                </c:pt>
                <c:pt idx="650">
                  <c:v>26</c:v>
                </c:pt>
                <c:pt idx="651">
                  <c:v>32</c:v>
                </c:pt>
                <c:pt idx="652">
                  <c:v>32</c:v>
                </c:pt>
                <c:pt idx="653">
                  <c:v>30</c:v>
                </c:pt>
                <c:pt idx="654">
                  <c:v>29.5</c:v>
                </c:pt>
                <c:pt idx="655">
                  <c:v>28.3</c:v>
                </c:pt>
                <c:pt idx="656">
                  <c:v>30</c:v>
                </c:pt>
                <c:pt idx="657">
                  <c:v>31</c:v>
                </c:pt>
                <c:pt idx="658">
                  <c:v>26</c:v>
                </c:pt>
                <c:pt idx="659">
                  <c:v>31</c:v>
                </c:pt>
                <c:pt idx="660">
                  <c:v>30</c:v>
                </c:pt>
                <c:pt idx="661">
                  <c:v>32</c:v>
                </c:pt>
                <c:pt idx="662">
                  <c:v>34</c:v>
                </c:pt>
                <c:pt idx="663">
                  <c:v>29</c:v>
                </c:pt>
                <c:pt idx="664">
                  <c:v>33</c:v>
                </c:pt>
                <c:pt idx="665">
                  <c:v>32</c:v>
                </c:pt>
                <c:pt idx="666">
                  <c:v>35</c:v>
                </c:pt>
                <c:pt idx="667">
                  <c:v>247</c:v>
                </c:pt>
                <c:pt idx="668">
                  <c:v>28</c:v>
                </c:pt>
                <c:pt idx="669">
                  <c:v>31</c:v>
                </c:pt>
                <c:pt idx="670">
                  <c:v>31</c:v>
                </c:pt>
                <c:pt idx="671">
                  <c:v>41</c:v>
                </c:pt>
                <c:pt idx="672">
                  <c:v>32</c:v>
                </c:pt>
                <c:pt idx="673">
                  <c:v>31</c:v>
                </c:pt>
                <c:pt idx="674">
                  <c:v>41</c:v>
                </c:pt>
                <c:pt idx="675">
                  <c:v>32</c:v>
                </c:pt>
                <c:pt idx="676">
                  <c:v>31</c:v>
                </c:pt>
                <c:pt idx="677">
                  <c:v>41</c:v>
                </c:pt>
                <c:pt idx="678">
                  <c:v>32</c:v>
                </c:pt>
                <c:pt idx="679">
                  <c:v>29</c:v>
                </c:pt>
                <c:pt idx="680">
                  <c:v>41</c:v>
                </c:pt>
                <c:pt idx="681">
                  <c:v>28</c:v>
                </c:pt>
                <c:pt idx="682">
                  <c:v>33</c:v>
                </c:pt>
                <c:pt idx="683">
                  <c:v>34</c:v>
                </c:pt>
                <c:pt idx="684">
                  <c:v>41</c:v>
                </c:pt>
                <c:pt idx="685">
                  <c:v>41</c:v>
                </c:pt>
                <c:pt idx="686">
                  <c:v>41</c:v>
                </c:pt>
                <c:pt idx="687">
                  <c:v>32</c:v>
                </c:pt>
                <c:pt idx="688">
                  <c:v>40</c:v>
                </c:pt>
                <c:pt idx="689">
                  <c:v>29</c:v>
                </c:pt>
                <c:pt idx="690">
                  <c:v>42</c:v>
                </c:pt>
                <c:pt idx="691">
                  <c:v>36</c:v>
                </c:pt>
                <c:pt idx="692">
                  <c:v>42</c:v>
                </c:pt>
                <c:pt idx="693">
                  <c:v>28</c:v>
                </c:pt>
                <c:pt idx="694">
                  <c:v>30</c:v>
                </c:pt>
                <c:pt idx="695">
                  <c:v>36</c:v>
                </c:pt>
                <c:pt idx="696">
                  <c:v>34</c:v>
                </c:pt>
                <c:pt idx="697">
                  <c:v>28</c:v>
                </c:pt>
                <c:pt idx="698">
                  <c:v>35</c:v>
                </c:pt>
                <c:pt idx="699">
                  <c:v>36</c:v>
                </c:pt>
                <c:pt idx="700">
                  <c:v>33</c:v>
                </c:pt>
                <c:pt idx="701">
                  <c:v>33</c:v>
                </c:pt>
                <c:pt idx="702">
                  <c:v>32</c:v>
                </c:pt>
                <c:pt idx="703">
                  <c:v>31</c:v>
                </c:pt>
                <c:pt idx="704">
                  <c:v>35</c:v>
                </c:pt>
                <c:pt idx="705">
                  <c:v>34</c:v>
                </c:pt>
                <c:pt idx="706">
                  <c:v>39</c:v>
                </c:pt>
                <c:pt idx="707">
                  <c:v>32</c:v>
                </c:pt>
                <c:pt idx="708">
                  <c:v>28</c:v>
                </c:pt>
                <c:pt idx="709">
                  <c:v>38</c:v>
                </c:pt>
                <c:pt idx="710">
                  <c:v>40</c:v>
                </c:pt>
                <c:pt idx="711">
                  <c:v>37</c:v>
                </c:pt>
                <c:pt idx="712">
                  <c:v>29</c:v>
                </c:pt>
                <c:pt idx="713">
                  <c:v>27</c:v>
                </c:pt>
                <c:pt idx="714">
                  <c:v>49</c:v>
                </c:pt>
                <c:pt idx="715">
                  <c:v>35</c:v>
                </c:pt>
                <c:pt idx="716">
                  <c:v>37</c:v>
                </c:pt>
                <c:pt idx="717">
                  <c:v>32</c:v>
                </c:pt>
                <c:pt idx="718">
                  <c:v>30</c:v>
                </c:pt>
                <c:pt idx="719">
                  <c:v>39</c:v>
                </c:pt>
                <c:pt idx="720">
                  <c:v>35</c:v>
                </c:pt>
                <c:pt idx="721">
                  <c:v>35</c:v>
                </c:pt>
                <c:pt idx="722">
                  <c:v>34</c:v>
                </c:pt>
                <c:pt idx="723">
                  <c:v>45</c:v>
                </c:pt>
                <c:pt idx="724">
                  <c:v>38</c:v>
                </c:pt>
                <c:pt idx="725">
                  <c:v>31</c:v>
                </c:pt>
                <c:pt idx="726">
                  <c:v>32</c:v>
                </c:pt>
                <c:pt idx="727">
                  <c:v>32</c:v>
                </c:pt>
                <c:pt idx="728">
                  <c:v>34</c:v>
                </c:pt>
                <c:pt idx="729">
                  <c:v>32</c:v>
                </c:pt>
                <c:pt idx="730">
                  <c:v>34</c:v>
                </c:pt>
                <c:pt idx="731">
                  <c:v>39</c:v>
                </c:pt>
                <c:pt idx="732">
                  <c:v>33</c:v>
                </c:pt>
                <c:pt idx="733">
                  <c:v>40</c:v>
                </c:pt>
                <c:pt idx="734">
                  <c:v>39</c:v>
                </c:pt>
                <c:pt idx="735">
                  <c:v>42</c:v>
                </c:pt>
                <c:pt idx="736">
                  <c:v>37</c:v>
                </c:pt>
                <c:pt idx="737">
                  <c:v>40</c:v>
                </c:pt>
                <c:pt idx="738">
                  <c:v>31</c:v>
                </c:pt>
                <c:pt idx="739">
                  <c:v>35</c:v>
                </c:pt>
                <c:pt idx="740">
                  <c:v>34</c:v>
                </c:pt>
                <c:pt idx="741">
                  <c:v>33</c:v>
                </c:pt>
                <c:pt idx="742">
                  <c:v>43</c:v>
                </c:pt>
                <c:pt idx="743">
                  <c:v>39</c:v>
                </c:pt>
                <c:pt idx="744">
                  <c:v>35</c:v>
                </c:pt>
                <c:pt idx="745">
                  <c:v>49</c:v>
                </c:pt>
                <c:pt idx="746">
                  <c:v>28</c:v>
                </c:pt>
                <c:pt idx="747">
                  <c:v>34</c:v>
                </c:pt>
                <c:pt idx="748">
                  <c:v>24</c:v>
                </c:pt>
                <c:pt idx="749">
                  <c:v>30</c:v>
                </c:pt>
                <c:pt idx="750">
                  <c:v>32</c:v>
                </c:pt>
                <c:pt idx="751">
                  <c:v>33</c:v>
                </c:pt>
                <c:pt idx="752">
                  <c:v>35</c:v>
                </c:pt>
                <c:pt idx="753">
                  <c:v>37</c:v>
                </c:pt>
                <c:pt idx="754">
                  <c:v>29</c:v>
                </c:pt>
                <c:pt idx="755">
                  <c:v>40</c:v>
                </c:pt>
                <c:pt idx="756">
                  <c:v>44</c:v>
                </c:pt>
                <c:pt idx="757">
                  <c:v>33</c:v>
                </c:pt>
                <c:pt idx="758">
                  <c:v>36</c:v>
                </c:pt>
                <c:pt idx="759">
                  <c:v>36</c:v>
                </c:pt>
                <c:pt idx="760">
                  <c:v>39</c:v>
                </c:pt>
                <c:pt idx="761">
                  <c:v>29</c:v>
                </c:pt>
                <c:pt idx="762">
                  <c:v>42</c:v>
                </c:pt>
                <c:pt idx="763">
                  <c:v>40</c:v>
                </c:pt>
                <c:pt idx="764">
                  <c:v>39</c:v>
                </c:pt>
                <c:pt idx="765">
                  <c:v>33</c:v>
                </c:pt>
                <c:pt idx="766">
                  <c:v>20</c:v>
                </c:pt>
                <c:pt idx="767">
                  <c:v>36</c:v>
                </c:pt>
                <c:pt idx="768">
                  <c:v>30</c:v>
                </c:pt>
                <c:pt idx="769">
                  <c:v>43</c:v>
                </c:pt>
                <c:pt idx="770">
                  <c:v>31</c:v>
                </c:pt>
                <c:pt idx="771">
                  <c:v>29</c:v>
                </c:pt>
                <c:pt idx="772">
                  <c:v>28</c:v>
                </c:pt>
                <c:pt idx="773">
                  <c:v>35</c:v>
                </c:pt>
                <c:pt idx="774">
                  <c:v>32</c:v>
                </c:pt>
                <c:pt idx="775">
                  <c:v>35</c:v>
                </c:pt>
                <c:pt idx="776">
                  <c:v>33</c:v>
                </c:pt>
                <c:pt idx="777">
                  <c:v>29</c:v>
                </c:pt>
                <c:pt idx="778">
                  <c:v>31</c:v>
                </c:pt>
                <c:pt idx="779">
                  <c:v>34</c:v>
                </c:pt>
                <c:pt idx="780">
                  <c:v>31</c:v>
                </c:pt>
                <c:pt idx="781">
                  <c:v>32</c:v>
                </c:pt>
                <c:pt idx="782">
                  <c:v>32</c:v>
                </c:pt>
                <c:pt idx="783">
                  <c:v>41</c:v>
                </c:pt>
                <c:pt idx="784">
                  <c:v>27</c:v>
                </c:pt>
                <c:pt idx="785">
                  <c:v>32</c:v>
                </c:pt>
                <c:pt idx="786">
                  <c:v>29</c:v>
                </c:pt>
                <c:pt idx="787">
                  <c:v>37</c:v>
                </c:pt>
                <c:pt idx="788">
                  <c:v>38</c:v>
                </c:pt>
                <c:pt idx="789">
                  <c:v>35</c:v>
                </c:pt>
                <c:pt idx="790">
                  <c:v>37</c:v>
                </c:pt>
                <c:pt idx="791">
                  <c:v>37</c:v>
                </c:pt>
                <c:pt idx="792">
                  <c:v>36</c:v>
                </c:pt>
                <c:pt idx="793">
                  <c:v>34</c:v>
                </c:pt>
                <c:pt idx="794">
                  <c:v>42</c:v>
                </c:pt>
                <c:pt idx="795">
                  <c:v>29</c:v>
                </c:pt>
                <c:pt idx="796">
                  <c:v>37</c:v>
                </c:pt>
                <c:pt idx="797">
                  <c:v>28</c:v>
                </c:pt>
                <c:pt idx="798">
                  <c:v>32</c:v>
                </c:pt>
                <c:pt idx="799">
                  <c:v>36</c:v>
                </c:pt>
                <c:pt idx="800">
                  <c:v>37</c:v>
                </c:pt>
                <c:pt idx="801">
                  <c:v>34</c:v>
                </c:pt>
                <c:pt idx="802">
                  <c:v>34</c:v>
                </c:pt>
                <c:pt idx="803">
                  <c:v>38</c:v>
                </c:pt>
                <c:pt idx="804">
                  <c:v>38</c:v>
                </c:pt>
                <c:pt idx="805">
                  <c:v>38</c:v>
                </c:pt>
                <c:pt idx="806">
                  <c:v>38</c:v>
                </c:pt>
                <c:pt idx="807">
                  <c:v>31.3</c:v>
                </c:pt>
                <c:pt idx="808">
                  <c:v>36</c:v>
                </c:pt>
                <c:pt idx="809">
                  <c:v>32</c:v>
                </c:pt>
                <c:pt idx="810">
                  <c:v>30</c:v>
                </c:pt>
                <c:pt idx="811">
                  <c:v>27</c:v>
                </c:pt>
                <c:pt idx="812">
                  <c:v>37.700000000000003</c:v>
                </c:pt>
                <c:pt idx="813">
                  <c:v>36</c:v>
                </c:pt>
                <c:pt idx="814">
                  <c:v>39</c:v>
                </c:pt>
                <c:pt idx="815">
                  <c:v>41</c:v>
                </c:pt>
                <c:pt idx="816">
                  <c:v>33</c:v>
                </c:pt>
                <c:pt idx="817">
                  <c:v>37.700000000000003</c:v>
                </c:pt>
                <c:pt idx="818">
                  <c:v>33</c:v>
                </c:pt>
                <c:pt idx="819">
                  <c:v>32</c:v>
                </c:pt>
                <c:pt idx="820">
                  <c:v>38</c:v>
                </c:pt>
                <c:pt idx="821">
                  <c:v>35</c:v>
                </c:pt>
                <c:pt idx="822">
                  <c:v>36</c:v>
                </c:pt>
                <c:pt idx="823">
                  <c:v>29</c:v>
                </c:pt>
                <c:pt idx="824">
                  <c:v>32</c:v>
                </c:pt>
                <c:pt idx="825">
                  <c:v>36</c:v>
                </c:pt>
                <c:pt idx="826">
                  <c:v>39</c:v>
                </c:pt>
                <c:pt idx="827">
                  <c:v>34</c:v>
                </c:pt>
                <c:pt idx="828">
                  <c:v>33</c:v>
                </c:pt>
                <c:pt idx="829">
                  <c:v>36</c:v>
                </c:pt>
                <c:pt idx="830">
                  <c:v>35</c:v>
                </c:pt>
                <c:pt idx="831">
                  <c:v>40</c:v>
                </c:pt>
                <c:pt idx="832">
                  <c:v>34</c:v>
                </c:pt>
                <c:pt idx="833">
                  <c:v>35</c:v>
                </c:pt>
                <c:pt idx="834">
                  <c:v>36</c:v>
                </c:pt>
                <c:pt idx="835">
                  <c:v>45</c:v>
                </c:pt>
                <c:pt idx="836">
                  <c:v>36</c:v>
                </c:pt>
                <c:pt idx="837">
                  <c:v>35</c:v>
                </c:pt>
                <c:pt idx="838">
                  <c:v>33</c:v>
                </c:pt>
                <c:pt idx="839">
                  <c:v>32</c:v>
                </c:pt>
                <c:pt idx="840">
                  <c:v>27</c:v>
                </c:pt>
                <c:pt idx="841">
                  <c:v>30</c:v>
                </c:pt>
                <c:pt idx="842">
                  <c:v>33</c:v>
                </c:pt>
                <c:pt idx="843">
                  <c:v>33</c:v>
                </c:pt>
                <c:pt idx="844">
                  <c:v>42</c:v>
                </c:pt>
                <c:pt idx="845">
                  <c:v>32</c:v>
                </c:pt>
                <c:pt idx="846">
                  <c:v>32</c:v>
                </c:pt>
                <c:pt idx="847">
                  <c:v>35</c:v>
                </c:pt>
                <c:pt idx="848">
                  <c:v>32</c:v>
                </c:pt>
                <c:pt idx="849">
                  <c:v>28</c:v>
                </c:pt>
                <c:pt idx="850">
                  <c:v>40</c:v>
                </c:pt>
                <c:pt idx="851">
                  <c:v>26</c:v>
                </c:pt>
                <c:pt idx="852">
                  <c:v>14.2</c:v>
                </c:pt>
                <c:pt idx="853">
                  <c:v>19.3</c:v>
                </c:pt>
                <c:pt idx="854">
                  <c:v>18.399999999999999</c:v>
                </c:pt>
                <c:pt idx="855">
                  <c:v>21.2</c:v>
                </c:pt>
                <c:pt idx="856">
                  <c:v>18.100000000000001</c:v>
                </c:pt>
                <c:pt idx="857">
                  <c:v>33</c:v>
                </c:pt>
                <c:pt idx="858">
                  <c:v>31</c:v>
                </c:pt>
                <c:pt idx="859">
                  <c:v>41</c:v>
                </c:pt>
                <c:pt idx="860">
                  <c:v>36</c:v>
                </c:pt>
                <c:pt idx="861">
                  <c:v>31</c:v>
                </c:pt>
                <c:pt idx="862">
                  <c:v>33</c:v>
                </c:pt>
                <c:pt idx="863">
                  <c:v>31</c:v>
                </c:pt>
                <c:pt idx="864">
                  <c:v>39</c:v>
                </c:pt>
                <c:pt idx="865">
                  <c:v>31.9</c:v>
                </c:pt>
                <c:pt idx="866">
                  <c:v>32</c:v>
                </c:pt>
                <c:pt idx="867">
                  <c:v>36</c:v>
                </c:pt>
                <c:pt idx="868">
                  <c:v>34</c:v>
                </c:pt>
                <c:pt idx="869">
                  <c:v>31</c:v>
                </c:pt>
                <c:pt idx="870">
                  <c:v>31</c:v>
                </c:pt>
                <c:pt idx="871">
                  <c:v>38</c:v>
                </c:pt>
                <c:pt idx="872">
                  <c:v>43</c:v>
                </c:pt>
                <c:pt idx="873">
                  <c:v>32</c:v>
                </c:pt>
                <c:pt idx="874">
                  <c:v>29</c:v>
                </c:pt>
                <c:pt idx="875">
                  <c:v>28</c:v>
                </c:pt>
                <c:pt idx="876">
                  <c:v>26</c:v>
                </c:pt>
                <c:pt idx="877">
                  <c:v>34</c:v>
                </c:pt>
                <c:pt idx="878">
                  <c:v>33</c:v>
                </c:pt>
                <c:pt idx="879">
                  <c:v>31</c:v>
                </c:pt>
                <c:pt idx="880">
                  <c:v>34</c:v>
                </c:pt>
                <c:pt idx="881">
                  <c:v>32</c:v>
                </c:pt>
                <c:pt idx="882">
                  <c:v>29</c:v>
                </c:pt>
                <c:pt idx="883">
                  <c:v>29</c:v>
                </c:pt>
                <c:pt idx="884">
                  <c:v>30</c:v>
                </c:pt>
                <c:pt idx="885">
                  <c:v>32</c:v>
                </c:pt>
                <c:pt idx="886">
                  <c:v>33</c:v>
                </c:pt>
                <c:pt idx="887">
                  <c:v>34</c:v>
                </c:pt>
                <c:pt idx="888">
                  <c:v>35</c:v>
                </c:pt>
                <c:pt idx="889">
                  <c:v>31</c:v>
                </c:pt>
                <c:pt idx="890">
                  <c:v>25</c:v>
                </c:pt>
                <c:pt idx="891">
                  <c:v>40</c:v>
                </c:pt>
                <c:pt idx="892">
                  <c:v>38</c:v>
                </c:pt>
                <c:pt idx="893">
                  <c:v>37</c:v>
                </c:pt>
                <c:pt idx="894">
                  <c:v>28</c:v>
                </c:pt>
                <c:pt idx="895">
                  <c:v>36</c:v>
                </c:pt>
                <c:pt idx="896">
                  <c:v>32</c:v>
                </c:pt>
                <c:pt idx="897">
                  <c:v>38</c:v>
                </c:pt>
                <c:pt idx="898">
                  <c:v>36</c:v>
                </c:pt>
                <c:pt idx="899">
                  <c:v>32</c:v>
                </c:pt>
                <c:pt idx="900">
                  <c:v>40</c:v>
                </c:pt>
                <c:pt idx="901">
                  <c:v>32</c:v>
                </c:pt>
                <c:pt idx="902">
                  <c:v>33</c:v>
                </c:pt>
                <c:pt idx="903">
                  <c:v>35</c:v>
                </c:pt>
                <c:pt idx="904">
                  <c:v>28</c:v>
                </c:pt>
                <c:pt idx="905">
                  <c:v>31</c:v>
                </c:pt>
                <c:pt idx="906">
                  <c:v>28</c:v>
                </c:pt>
                <c:pt idx="907">
                  <c:v>32</c:v>
                </c:pt>
                <c:pt idx="908">
                  <c:v>30</c:v>
                </c:pt>
                <c:pt idx="909">
                  <c:v>29</c:v>
                </c:pt>
                <c:pt idx="910">
                  <c:v>41</c:v>
                </c:pt>
                <c:pt idx="911">
                  <c:v>34</c:v>
                </c:pt>
                <c:pt idx="912">
                  <c:v>31</c:v>
                </c:pt>
                <c:pt idx="913">
                  <c:v>30</c:v>
                </c:pt>
                <c:pt idx="914">
                  <c:v>36</c:v>
                </c:pt>
                <c:pt idx="915">
                  <c:v>29</c:v>
                </c:pt>
                <c:pt idx="916">
                  <c:v>38</c:v>
                </c:pt>
                <c:pt idx="917">
                  <c:v>31</c:v>
                </c:pt>
                <c:pt idx="918">
                  <c:v>30</c:v>
                </c:pt>
                <c:pt idx="919">
                  <c:v>45</c:v>
                </c:pt>
                <c:pt idx="920">
                  <c:v>37</c:v>
                </c:pt>
                <c:pt idx="921">
                  <c:v>36</c:v>
                </c:pt>
                <c:pt idx="922">
                  <c:v>35</c:v>
                </c:pt>
                <c:pt idx="923">
                  <c:v>38</c:v>
                </c:pt>
                <c:pt idx="924">
                  <c:v>31</c:v>
                </c:pt>
                <c:pt idx="925">
                  <c:v>32</c:v>
                </c:pt>
                <c:pt idx="926">
                  <c:v>32</c:v>
                </c:pt>
                <c:pt idx="927">
                  <c:v>36</c:v>
                </c:pt>
                <c:pt idx="928">
                  <c:v>30</c:v>
                </c:pt>
                <c:pt idx="929">
                  <c:v>38</c:v>
                </c:pt>
                <c:pt idx="930">
                  <c:v>34</c:v>
                </c:pt>
                <c:pt idx="931">
                  <c:v>30</c:v>
                </c:pt>
                <c:pt idx="932">
                  <c:v>32</c:v>
                </c:pt>
                <c:pt idx="933">
                  <c:v>36</c:v>
                </c:pt>
                <c:pt idx="934">
                  <c:v>38</c:v>
                </c:pt>
                <c:pt idx="935">
                  <c:v>35</c:v>
                </c:pt>
                <c:pt idx="936">
                  <c:v>45</c:v>
                </c:pt>
                <c:pt idx="937">
                  <c:v>45</c:v>
                </c:pt>
                <c:pt idx="938">
                  <c:v>39</c:v>
                </c:pt>
                <c:pt idx="939">
                  <c:v>41</c:v>
                </c:pt>
                <c:pt idx="940">
                  <c:v>23</c:v>
                </c:pt>
                <c:pt idx="941">
                  <c:v>31</c:v>
                </c:pt>
                <c:pt idx="942">
                  <c:v>30</c:v>
                </c:pt>
                <c:pt idx="943">
                  <c:v>36</c:v>
                </c:pt>
                <c:pt idx="944">
                  <c:v>34</c:v>
                </c:pt>
                <c:pt idx="945">
                  <c:v>35</c:v>
                </c:pt>
                <c:pt idx="946">
                  <c:v>35</c:v>
                </c:pt>
                <c:pt idx="947">
                  <c:v>35</c:v>
                </c:pt>
                <c:pt idx="948">
                  <c:v>32</c:v>
                </c:pt>
                <c:pt idx="949">
                  <c:v>31</c:v>
                </c:pt>
                <c:pt idx="950">
                  <c:v>31</c:v>
                </c:pt>
                <c:pt idx="951">
                  <c:v>30</c:v>
                </c:pt>
                <c:pt idx="952">
                  <c:v>31</c:v>
                </c:pt>
                <c:pt idx="953">
                  <c:v>38</c:v>
                </c:pt>
                <c:pt idx="954">
                  <c:v>31</c:v>
                </c:pt>
                <c:pt idx="955">
                  <c:v>36</c:v>
                </c:pt>
                <c:pt idx="956">
                  <c:v>33</c:v>
                </c:pt>
                <c:pt idx="957">
                  <c:v>30</c:v>
                </c:pt>
                <c:pt idx="958">
                  <c:v>39</c:v>
                </c:pt>
                <c:pt idx="959">
                  <c:v>38</c:v>
                </c:pt>
                <c:pt idx="960">
                  <c:v>42</c:v>
                </c:pt>
                <c:pt idx="961">
                  <c:v>40</c:v>
                </c:pt>
                <c:pt idx="962">
                  <c:v>32</c:v>
                </c:pt>
                <c:pt idx="963">
                  <c:v>30</c:v>
                </c:pt>
                <c:pt idx="964">
                  <c:v>34</c:v>
                </c:pt>
                <c:pt idx="965">
                  <c:v>34</c:v>
                </c:pt>
                <c:pt idx="966">
                  <c:v>42</c:v>
                </c:pt>
                <c:pt idx="967">
                  <c:v>34</c:v>
                </c:pt>
                <c:pt idx="968">
                  <c:v>41</c:v>
                </c:pt>
                <c:pt idx="969">
                  <c:v>36</c:v>
                </c:pt>
                <c:pt idx="970">
                  <c:v>32</c:v>
                </c:pt>
                <c:pt idx="971">
                  <c:v>32</c:v>
                </c:pt>
                <c:pt idx="972">
                  <c:v>29</c:v>
                </c:pt>
                <c:pt idx="973">
                  <c:v>35</c:v>
                </c:pt>
                <c:pt idx="974">
                  <c:v>32</c:v>
                </c:pt>
                <c:pt idx="975">
                  <c:v>32</c:v>
                </c:pt>
                <c:pt idx="976">
                  <c:v>28</c:v>
                </c:pt>
                <c:pt idx="977">
                  <c:v>30</c:v>
                </c:pt>
                <c:pt idx="978">
                  <c:v>34</c:v>
                </c:pt>
                <c:pt idx="979">
                  <c:v>34</c:v>
                </c:pt>
                <c:pt idx="980">
                  <c:v>29</c:v>
                </c:pt>
                <c:pt idx="981">
                  <c:v>31</c:v>
                </c:pt>
                <c:pt idx="982">
                  <c:v>39</c:v>
                </c:pt>
                <c:pt idx="983">
                  <c:v>27</c:v>
                </c:pt>
                <c:pt idx="984">
                  <c:v>37</c:v>
                </c:pt>
                <c:pt idx="985">
                  <c:v>46</c:v>
                </c:pt>
                <c:pt idx="986">
                  <c:v>29</c:v>
                </c:pt>
                <c:pt idx="987">
                  <c:v>38</c:v>
                </c:pt>
                <c:pt idx="988">
                  <c:v>48</c:v>
                </c:pt>
                <c:pt idx="989">
                  <c:v>34</c:v>
                </c:pt>
                <c:pt idx="990">
                  <c:v>42</c:v>
                </c:pt>
                <c:pt idx="991">
                  <c:v>34</c:v>
                </c:pt>
                <c:pt idx="992">
                  <c:v>38</c:v>
                </c:pt>
                <c:pt idx="993">
                  <c:v>35</c:v>
                </c:pt>
                <c:pt idx="994">
                  <c:v>35</c:v>
                </c:pt>
                <c:pt idx="995">
                  <c:v>35</c:v>
                </c:pt>
                <c:pt idx="996">
                  <c:v>35</c:v>
                </c:pt>
                <c:pt idx="997">
                  <c:v>35</c:v>
                </c:pt>
                <c:pt idx="998">
                  <c:v>25</c:v>
                </c:pt>
                <c:pt idx="999">
                  <c:v>36</c:v>
                </c:pt>
                <c:pt idx="1000">
                  <c:v>32</c:v>
                </c:pt>
                <c:pt idx="1001">
                  <c:v>39</c:v>
                </c:pt>
                <c:pt idx="1002">
                  <c:v>35</c:v>
                </c:pt>
                <c:pt idx="1003">
                  <c:v>36</c:v>
                </c:pt>
                <c:pt idx="1004">
                  <c:v>38</c:v>
                </c:pt>
                <c:pt idx="1005">
                  <c:v>34</c:v>
                </c:pt>
                <c:pt idx="1006">
                  <c:v>38</c:v>
                </c:pt>
                <c:pt idx="1007">
                  <c:v>31</c:v>
                </c:pt>
                <c:pt idx="1008">
                  <c:v>35</c:v>
                </c:pt>
                <c:pt idx="1009">
                  <c:v>33</c:v>
                </c:pt>
                <c:pt idx="1010">
                  <c:v>42</c:v>
                </c:pt>
                <c:pt idx="1011">
                  <c:v>32</c:v>
                </c:pt>
                <c:pt idx="1012">
                  <c:v>38</c:v>
                </c:pt>
                <c:pt idx="1013">
                  <c:v>33</c:v>
                </c:pt>
                <c:pt idx="1014">
                  <c:v>26</c:v>
                </c:pt>
                <c:pt idx="1015">
                  <c:v>37</c:v>
                </c:pt>
                <c:pt idx="1016">
                  <c:v>48</c:v>
                </c:pt>
                <c:pt idx="1017">
                  <c:v>35</c:v>
                </c:pt>
                <c:pt idx="1018">
                  <c:v>37</c:v>
                </c:pt>
                <c:pt idx="1019">
                  <c:v>39</c:v>
                </c:pt>
                <c:pt idx="1020">
                  <c:v>32</c:v>
                </c:pt>
                <c:pt idx="1021">
                  <c:v>38</c:v>
                </c:pt>
                <c:pt idx="1022">
                  <c:v>47</c:v>
                </c:pt>
                <c:pt idx="1023">
                  <c:v>40</c:v>
                </c:pt>
                <c:pt idx="1024">
                  <c:v>29</c:v>
                </c:pt>
                <c:pt idx="1025">
                  <c:v>28</c:v>
                </c:pt>
                <c:pt idx="1026">
                  <c:v>39</c:v>
                </c:pt>
                <c:pt idx="1027">
                  <c:v>35</c:v>
                </c:pt>
                <c:pt idx="1028">
                  <c:v>38</c:v>
                </c:pt>
                <c:pt idx="1029">
                  <c:v>41</c:v>
                </c:pt>
                <c:pt idx="1030">
                  <c:v>36</c:v>
                </c:pt>
                <c:pt idx="1031">
                  <c:v>52</c:v>
                </c:pt>
                <c:pt idx="1032">
                  <c:v>45</c:v>
                </c:pt>
                <c:pt idx="1033">
                  <c:v>37</c:v>
                </c:pt>
                <c:pt idx="1034">
                  <c:v>35</c:v>
                </c:pt>
                <c:pt idx="1035">
                  <c:v>45</c:v>
                </c:pt>
                <c:pt idx="1036">
                  <c:v>38</c:v>
                </c:pt>
                <c:pt idx="1037">
                  <c:v>45</c:v>
                </c:pt>
                <c:pt idx="1038">
                  <c:v>43</c:v>
                </c:pt>
                <c:pt idx="1039">
                  <c:v>43</c:v>
                </c:pt>
                <c:pt idx="1040">
                  <c:v>40</c:v>
                </c:pt>
                <c:pt idx="1041">
                  <c:v>36</c:v>
                </c:pt>
                <c:pt idx="1042">
                  <c:v>35</c:v>
                </c:pt>
                <c:pt idx="1043">
                  <c:v>46</c:v>
                </c:pt>
                <c:pt idx="1044">
                  <c:v>38</c:v>
                </c:pt>
                <c:pt idx="1045">
                  <c:v>35</c:v>
                </c:pt>
                <c:pt idx="1046">
                  <c:v>36</c:v>
                </c:pt>
                <c:pt idx="1047">
                  <c:v>38</c:v>
                </c:pt>
                <c:pt idx="1048">
                  <c:v>42</c:v>
                </c:pt>
                <c:pt idx="1049">
                  <c:v>36</c:v>
                </c:pt>
                <c:pt idx="1050">
                  <c:v>37.6</c:v>
                </c:pt>
                <c:pt idx="1051">
                  <c:v>38</c:v>
                </c:pt>
                <c:pt idx="1052">
                  <c:v>32</c:v>
                </c:pt>
                <c:pt idx="1053">
                  <c:v>38</c:v>
                </c:pt>
                <c:pt idx="1054">
                  <c:v>39</c:v>
                </c:pt>
                <c:pt idx="1055">
                  <c:v>35</c:v>
                </c:pt>
                <c:pt idx="1056">
                  <c:v>38</c:v>
                </c:pt>
                <c:pt idx="1057">
                  <c:v>31</c:v>
                </c:pt>
                <c:pt idx="1058">
                  <c:v>34</c:v>
                </c:pt>
                <c:pt idx="1059">
                  <c:v>44</c:v>
                </c:pt>
                <c:pt idx="1060">
                  <c:v>40</c:v>
                </c:pt>
                <c:pt idx="1061">
                  <c:v>38</c:v>
                </c:pt>
                <c:pt idx="1062">
                  <c:v>37</c:v>
                </c:pt>
                <c:pt idx="1063">
                  <c:v>39</c:v>
                </c:pt>
                <c:pt idx="1064">
                  <c:v>36</c:v>
                </c:pt>
                <c:pt idx="1065">
                  <c:v>33</c:v>
                </c:pt>
                <c:pt idx="1066">
                  <c:v>30</c:v>
                </c:pt>
                <c:pt idx="1067">
                  <c:v>35</c:v>
                </c:pt>
                <c:pt idx="1068">
                  <c:v>36</c:v>
                </c:pt>
                <c:pt idx="1069">
                  <c:v>36</c:v>
                </c:pt>
                <c:pt idx="1070">
                  <c:v>39</c:v>
                </c:pt>
                <c:pt idx="1071">
                  <c:v>36</c:v>
                </c:pt>
                <c:pt idx="1072">
                  <c:v>32</c:v>
                </c:pt>
                <c:pt idx="1073">
                  <c:v>34</c:v>
                </c:pt>
                <c:pt idx="1074">
                  <c:v>32</c:v>
                </c:pt>
                <c:pt idx="1075">
                  <c:v>32</c:v>
                </c:pt>
                <c:pt idx="1076">
                  <c:v>29</c:v>
                </c:pt>
                <c:pt idx="1077">
                  <c:v>37</c:v>
                </c:pt>
                <c:pt idx="1078">
                  <c:v>33</c:v>
                </c:pt>
                <c:pt idx="1079">
                  <c:v>33</c:v>
                </c:pt>
                <c:pt idx="1080">
                  <c:v>32</c:v>
                </c:pt>
                <c:pt idx="1081">
                  <c:v>36</c:v>
                </c:pt>
                <c:pt idx="1082">
                  <c:v>38</c:v>
                </c:pt>
                <c:pt idx="1083">
                  <c:v>37</c:v>
                </c:pt>
                <c:pt idx="1084">
                  <c:v>38</c:v>
                </c:pt>
                <c:pt idx="1085">
                  <c:v>48</c:v>
                </c:pt>
                <c:pt idx="1086">
                  <c:v>36</c:v>
                </c:pt>
                <c:pt idx="1087">
                  <c:v>42</c:v>
                </c:pt>
                <c:pt idx="1088">
                  <c:v>38</c:v>
                </c:pt>
                <c:pt idx="1089">
                  <c:v>43</c:v>
                </c:pt>
                <c:pt idx="1090">
                  <c:v>40</c:v>
                </c:pt>
                <c:pt idx="1091">
                  <c:v>36</c:v>
                </c:pt>
                <c:pt idx="1092">
                  <c:v>39</c:v>
                </c:pt>
                <c:pt idx="1093">
                  <c:v>44</c:v>
                </c:pt>
                <c:pt idx="1094">
                  <c:v>26</c:v>
                </c:pt>
                <c:pt idx="1095">
                  <c:v>35</c:v>
                </c:pt>
                <c:pt idx="1096">
                  <c:v>29</c:v>
                </c:pt>
                <c:pt idx="1097">
                  <c:v>37</c:v>
                </c:pt>
                <c:pt idx="1098">
                  <c:v>30</c:v>
                </c:pt>
                <c:pt idx="1099">
                  <c:v>32</c:v>
                </c:pt>
                <c:pt idx="1100">
                  <c:v>30</c:v>
                </c:pt>
                <c:pt idx="1101">
                  <c:v>25</c:v>
                </c:pt>
                <c:pt idx="1102">
                  <c:v>38</c:v>
                </c:pt>
                <c:pt idx="1103">
                  <c:v>36</c:v>
                </c:pt>
                <c:pt idx="1104">
                  <c:v>39</c:v>
                </c:pt>
                <c:pt idx="1105">
                  <c:v>38</c:v>
                </c:pt>
                <c:pt idx="1106">
                  <c:v>35</c:v>
                </c:pt>
                <c:pt idx="1107">
                  <c:v>28</c:v>
                </c:pt>
                <c:pt idx="1108">
                  <c:v>42</c:v>
                </c:pt>
                <c:pt idx="1109">
                  <c:v>35</c:v>
                </c:pt>
                <c:pt idx="1110">
                  <c:v>33</c:v>
                </c:pt>
                <c:pt idx="1111">
                  <c:v>39</c:v>
                </c:pt>
                <c:pt idx="1112">
                  <c:v>32</c:v>
                </c:pt>
                <c:pt idx="1113">
                  <c:v>38</c:v>
                </c:pt>
                <c:pt idx="1114">
                  <c:v>39</c:v>
                </c:pt>
                <c:pt idx="1115">
                  <c:v>35</c:v>
                </c:pt>
                <c:pt idx="1116">
                  <c:v>28</c:v>
                </c:pt>
                <c:pt idx="1117">
                  <c:v>40</c:v>
                </c:pt>
                <c:pt idx="1118">
                  <c:v>32</c:v>
                </c:pt>
                <c:pt idx="1119">
                  <c:v>36</c:v>
                </c:pt>
                <c:pt idx="1120">
                  <c:v>34</c:v>
                </c:pt>
                <c:pt idx="1121">
                  <c:v>39</c:v>
                </c:pt>
                <c:pt idx="1122">
                  <c:v>44</c:v>
                </c:pt>
                <c:pt idx="1123">
                  <c:v>42</c:v>
                </c:pt>
                <c:pt idx="1124">
                  <c:v>35</c:v>
                </c:pt>
                <c:pt idx="1125">
                  <c:v>39</c:v>
                </c:pt>
                <c:pt idx="1126">
                  <c:v>37</c:v>
                </c:pt>
                <c:pt idx="1127">
                  <c:v>38</c:v>
                </c:pt>
                <c:pt idx="1128">
                  <c:v>34</c:v>
                </c:pt>
                <c:pt idx="1129">
                  <c:v>22</c:v>
                </c:pt>
                <c:pt idx="1130">
                  <c:v>39</c:v>
                </c:pt>
                <c:pt idx="1131">
                  <c:v>32</c:v>
                </c:pt>
                <c:pt idx="1132">
                  <c:v>31</c:v>
                </c:pt>
                <c:pt idx="1133">
                  <c:v>28</c:v>
                </c:pt>
                <c:pt idx="1134">
                  <c:v>39</c:v>
                </c:pt>
                <c:pt idx="1135">
                  <c:v>24</c:v>
                </c:pt>
                <c:pt idx="1136">
                  <c:v>30</c:v>
                </c:pt>
                <c:pt idx="1137">
                  <c:v>44</c:v>
                </c:pt>
                <c:pt idx="1138">
                  <c:v>32</c:v>
                </c:pt>
                <c:pt idx="1139">
                  <c:v>28</c:v>
                </c:pt>
                <c:pt idx="1140">
                  <c:v>29</c:v>
                </c:pt>
                <c:pt idx="1141">
                  <c:v>39</c:v>
                </c:pt>
                <c:pt idx="1142">
                  <c:v>38</c:v>
                </c:pt>
                <c:pt idx="1143">
                  <c:v>29</c:v>
                </c:pt>
                <c:pt idx="1144">
                  <c:v>38</c:v>
                </c:pt>
                <c:pt idx="1145">
                  <c:v>32</c:v>
                </c:pt>
                <c:pt idx="1146">
                  <c:v>34</c:v>
                </c:pt>
                <c:pt idx="1147">
                  <c:v>29</c:v>
                </c:pt>
                <c:pt idx="1148">
                  <c:v>34</c:v>
                </c:pt>
                <c:pt idx="1149">
                  <c:v>30</c:v>
                </c:pt>
                <c:pt idx="1150">
                  <c:v>38</c:v>
                </c:pt>
                <c:pt idx="1151">
                  <c:v>38</c:v>
                </c:pt>
                <c:pt idx="1152">
                  <c:v>36</c:v>
                </c:pt>
                <c:pt idx="1153">
                  <c:v>28</c:v>
                </c:pt>
                <c:pt idx="1154">
                  <c:v>43</c:v>
                </c:pt>
                <c:pt idx="1155">
                  <c:v>41</c:v>
                </c:pt>
                <c:pt idx="1156">
                  <c:v>32</c:v>
                </c:pt>
                <c:pt idx="1157">
                  <c:v>36</c:v>
                </c:pt>
                <c:pt idx="1158">
                  <c:v>39</c:v>
                </c:pt>
                <c:pt idx="1159">
                  <c:v>28</c:v>
                </c:pt>
                <c:pt idx="1160">
                  <c:v>37</c:v>
                </c:pt>
                <c:pt idx="1161">
                  <c:v>32</c:v>
                </c:pt>
                <c:pt idx="1162">
                  <c:v>32</c:v>
                </c:pt>
                <c:pt idx="1163">
                  <c:v>30</c:v>
                </c:pt>
                <c:pt idx="1164">
                  <c:v>36</c:v>
                </c:pt>
                <c:pt idx="1165">
                  <c:v>29</c:v>
                </c:pt>
                <c:pt idx="1166">
                  <c:v>28</c:v>
                </c:pt>
                <c:pt idx="1167">
                  <c:v>23</c:v>
                </c:pt>
                <c:pt idx="1168">
                  <c:v>27.5</c:v>
                </c:pt>
                <c:pt idx="1169">
                  <c:v>30</c:v>
                </c:pt>
                <c:pt idx="1170">
                  <c:v>38</c:v>
                </c:pt>
                <c:pt idx="1171">
                  <c:v>26</c:v>
                </c:pt>
                <c:pt idx="1172">
                  <c:v>30</c:v>
                </c:pt>
                <c:pt idx="1173">
                  <c:v>36</c:v>
                </c:pt>
                <c:pt idx="1174">
                  <c:v>28</c:v>
                </c:pt>
                <c:pt idx="1175">
                  <c:v>43</c:v>
                </c:pt>
                <c:pt idx="1176">
                  <c:v>42</c:v>
                </c:pt>
                <c:pt idx="1177">
                  <c:v>26</c:v>
                </c:pt>
                <c:pt idx="1178">
                  <c:v>34</c:v>
                </c:pt>
                <c:pt idx="1179">
                  <c:v>31</c:v>
                </c:pt>
                <c:pt idx="1180">
                  <c:v>36</c:v>
                </c:pt>
                <c:pt idx="1181">
                  <c:v>41</c:v>
                </c:pt>
                <c:pt idx="1182">
                  <c:v>31</c:v>
                </c:pt>
                <c:pt idx="1183">
                  <c:v>29</c:v>
                </c:pt>
                <c:pt idx="1184">
                  <c:v>22</c:v>
                </c:pt>
                <c:pt idx="1185">
                  <c:v>38</c:v>
                </c:pt>
                <c:pt idx="1186">
                  <c:v>23.5</c:v>
                </c:pt>
                <c:pt idx="1187">
                  <c:v>34</c:v>
                </c:pt>
                <c:pt idx="1188">
                  <c:v>18</c:v>
                </c:pt>
                <c:pt idx="1189">
                  <c:v>28</c:v>
                </c:pt>
                <c:pt idx="1190">
                  <c:v>37</c:v>
                </c:pt>
                <c:pt idx="1191">
                  <c:v>37</c:v>
                </c:pt>
                <c:pt idx="1192">
                  <c:v>29</c:v>
                </c:pt>
                <c:pt idx="1193">
                  <c:v>35</c:v>
                </c:pt>
                <c:pt idx="1194">
                  <c:v>21</c:v>
                </c:pt>
                <c:pt idx="1195">
                  <c:v>35</c:v>
                </c:pt>
                <c:pt idx="1196">
                  <c:v>38</c:v>
                </c:pt>
                <c:pt idx="1197">
                  <c:v>36</c:v>
                </c:pt>
                <c:pt idx="1198">
                  <c:v>28</c:v>
                </c:pt>
                <c:pt idx="1199">
                  <c:v>32</c:v>
                </c:pt>
                <c:pt idx="1200">
                  <c:v>22</c:v>
                </c:pt>
                <c:pt idx="1201">
                  <c:v>27</c:v>
                </c:pt>
                <c:pt idx="1202">
                  <c:v>29</c:v>
                </c:pt>
                <c:pt idx="1203">
                  <c:v>24</c:v>
                </c:pt>
                <c:pt idx="1204">
                  <c:v>38</c:v>
                </c:pt>
                <c:pt idx="1205">
                  <c:v>17</c:v>
                </c:pt>
                <c:pt idx="1206">
                  <c:v>43</c:v>
                </c:pt>
                <c:pt idx="1207">
                  <c:v>25</c:v>
                </c:pt>
                <c:pt idx="1208">
                  <c:v>37</c:v>
                </c:pt>
                <c:pt idx="1209">
                  <c:v>34</c:v>
                </c:pt>
                <c:pt idx="1210">
                  <c:v>40</c:v>
                </c:pt>
                <c:pt idx="1211">
                  <c:v>35</c:v>
                </c:pt>
                <c:pt idx="1212">
                  <c:v>30</c:v>
                </c:pt>
                <c:pt idx="1213">
                  <c:v>36</c:v>
                </c:pt>
                <c:pt idx="1214">
                  <c:v>28</c:v>
                </c:pt>
                <c:pt idx="1215">
                  <c:v>38</c:v>
                </c:pt>
                <c:pt idx="1216">
                  <c:v>37</c:v>
                </c:pt>
                <c:pt idx="1217">
                  <c:v>32</c:v>
                </c:pt>
                <c:pt idx="1218">
                  <c:v>35</c:v>
                </c:pt>
                <c:pt idx="1219">
                  <c:v>34</c:v>
                </c:pt>
                <c:pt idx="1220">
                  <c:v>32</c:v>
                </c:pt>
                <c:pt idx="1221">
                  <c:v>45</c:v>
                </c:pt>
                <c:pt idx="1222">
                  <c:v>45</c:v>
                </c:pt>
                <c:pt idx="1223">
                  <c:v>39</c:v>
                </c:pt>
                <c:pt idx="1224">
                  <c:v>21</c:v>
                </c:pt>
                <c:pt idx="1225">
                  <c:v>35</c:v>
                </c:pt>
                <c:pt idx="1226">
                  <c:v>34</c:v>
                </c:pt>
                <c:pt idx="1227">
                  <c:v>29</c:v>
                </c:pt>
                <c:pt idx="1228">
                  <c:v>32</c:v>
                </c:pt>
                <c:pt idx="1229">
                  <c:v>26</c:v>
                </c:pt>
                <c:pt idx="1230">
                  <c:v>35</c:v>
                </c:pt>
                <c:pt idx="1231">
                  <c:v>43</c:v>
                </c:pt>
                <c:pt idx="1232">
                  <c:v>33</c:v>
                </c:pt>
                <c:pt idx="1233">
                  <c:v>36</c:v>
                </c:pt>
                <c:pt idx="1234">
                  <c:v>32</c:v>
                </c:pt>
                <c:pt idx="1235">
                  <c:v>37</c:v>
                </c:pt>
                <c:pt idx="1236">
                  <c:v>36</c:v>
                </c:pt>
                <c:pt idx="1237">
                  <c:v>39</c:v>
                </c:pt>
                <c:pt idx="1238">
                  <c:v>24</c:v>
                </c:pt>
                <c:pt idx="1239">
                  <c:v>42</c:v>
                </c:pt>
                <c:pt idx="1240">
                  <c:v>42</c:v>
                </c:pt>
                <c:pt idx="1241">
                  <c:v>38</c:v>
                </c:pt>
                <c:pt idx="1242">
                  <c:v>32</c:v>
                </c:pt>
                <c:pt idx="1243">
                  <c:v>36</c:v>
                </c:pt>
                <c:pt idx="1244">
                  <c:v>28</c:v>
                </c:pt>
                <c:pt idx="1245">
                  <c:v>28.8</c:v>
                </c:pt>
                <c:pt idx="1246">
                  <c:v>38.299999999999997</c:v>
                </c:pt>
                <c:pt idx="1247">
                  <c:v>29</c:v>
                </c:pt>
                <c:pt idx="1248">
                  <c:v>34.299999999999997</c:v>
                </c:pt>
                <c:pt idx="1249">
                  <c:v>37</c:v>
                </c:pt>
                <c:pt idx="1250">
                  <c:v>24</c:v>
                </c:pt>
                <c:pt idx="1251">
                  <c:v>36</c:v>
                </c:pt>
                <c:pt idx="1252">
                  <c:v>31</c:v>
                </c:pt>
                <c:pt idx="1253">
                  <c:v>18</c:v>
                </c:pt>
                <c:pt idx="1254">
                  <c:v>31</c:v>
                </c:pt>
                <c:pt idx="1255">
                  <c:v>36</c:v>
                </c:pt>
                <c:pt idx="1256">
                  <c:v>38</c:v>
                </c:pt>
                <c:pt idx="1257">
                  <c:v>28</c:v>
                </c:pt>
                <c:pt idx="1258">
                  <c:v>28</c:v>
                </c:pt>
                <c:pt idx="1259">
                  <c:v>21</c:v>
                </c:pt>
                <c:pt idx="1260">
                  <c:v>34</c:v>
                </c:pt>
                <c:pt idx="1261">
                  <c:v>21</c:v>
                </c:pt>
                <c:pt idx="1262">
                  <c:v>34</c:v>
                </c:pt>
                <c:pt idx="1263">
                  <c:v>23</c:v>
                </c:pt>
                <c:pt idx="1264">
                  <c:v>42</c:v>
                </c:pt>
                <c:pt idx="1265">
                  <c:v>30</c:v>
                </c:pt>
                <c:pt idx="1266">
                  <c:v>36</c:v>
                </c:pt>
                <c:pt idx="1267">
                  <c:v>26</c:v>
                </c:pt>
                <c:pt idx="1268">
                  <c:v>28</c:v>
                </c:pt>
                <c:pt idx="1269">
                  <c:v>31</c:v>
                </c:pt>
                <c:pt idx="1270">
                  <c:v>36</c:v>
                </c:pt>
                <c:pt idx="1271">
                  <c:v>27</c:v>
                </c:pt>
                <c:pt idx="1272">
                  <c:v>29</c:v>
                </c:pt>
                <c:pt idx="1273">
                  <c:v>32</c:v>
                </c:pt>
                <c:pt idx="1274">
                  <c:v>34</c:v>
                </c:pt>
                <c:pt idx="1275">
                  <c:v>25</c:v>
                </c:pt>
                <c:pt idx="1276">
                  <c:v>25</c:v>
                </c:pt>
                <c:pt idx="1277">
                  <c:v>35</c:v>
                </c:pt>
                <c:pt idx="1278">
                  <c:v>37</c:v>
                </c:pt>
                <c:pt idx="1279">
                  <c:v>25</c:v>
                </c:pt>
                <c:pt idx="1280">
                  <c:v>25</c:v>
                </c:pt>
                <c:pt idx="1281">
                  <c:v>26</c:v>
                </c:pt>
                <c:pt idx="1282">
                  <c:v>38</c:v>
                </c:pt>
                <c:pt idx="1283">
                  <c:v>27</c:v>
                </c:pt>
                <c:pt idx="1284">
                  <c:v>25</c:v>
                </c:pt>
                <c:pt idx="1285">
                  <c:v>22</c:v>
                </c:pt>
                <c:pt idx="1286">
                  <c:v>38</c:v>
                </c:pt>
                <c:pt idx="1287">
                  <c:v>37</c:v>
                </c:pt>
                <c:pt idx="1288">
                  <c:v>26</c:v>
                </c:pt>
                <c:pt idx="1289">
                  <c:v>30</c:v>
                </c:pt>
                <c:pt idx="1290">
                  <c:v>39</c:v>
                </c:pt>
                <c:pt idx="1291">
                  <c:v>35</c:v>
                </c:pt>
                <c:pt idx="1292">
                  <c:v>37</c:v>
                </c:pt>
                <c:pt idx="1293">
                  <c:v>35</c:v>
                </c:pt>
                <c:pt idx="1294">
                  <c:v>35</c:v>
                </c:pt>
                <c:pt idx="1295">
                  <c:v>32</c:v>
                </c:pt>
                <c:pt idx="1296">
                  <c:v>41</c:v>
                </c:pt>
                <c:pt idx="1297">
                  <c:v>44</c:v>
                </c:pt>
                <c:pt idx="1298">
                  <c:v>36</c:v>
                </c:pt>
                <c:pt idx="1299">
                  <c:v>30</c:v>
                </c:pt>
                <c:pt idx="1300">
                  <c:v>29</c:v>
                </c:pt>
                <c:pt idx="1301">
                  <c:v>35</c:v>
                </c:pt>
                <c:pt idx="1302">
                  <c:v>23</c:v>
                </c:pt>
                <c:pt idx="1303">
                  <c:v>43</c:v>
                </c:pt>
                <c:pt idx="1304">
                  <c:v>38</c:v>
                </c:pt>
                <c:pt idx="1305">
                  <c:v>34</c:v>
                </c:pt>
                <c:pt idx="1306">
                  <c:v>36</c:v>
                </c:pt>
                <c:pt idx="1307">
                  <c:v>32</c:v>
                </c:pt>
                <c:pt idx="1308">
                  <c:v>23</c:v>
                </c:pt>
                <c:pt idx="1309">
                  <c:v>43</c:v>
                </c:pt>
                <c:pt idx="1310">
                  <c:v>32</c:v>
                </c:pt>
                <c:pt idx="1311">
                  <c:v>30</c:v>
                </c:pt>
                <c:pt idx="1312">
                  <c:v>33.6</c:v>
                </c:pt>
                <c:pt idx="1313">
                  <c:v>28</c:v>
                </c:pt>
                <c:pt idx="1314">
                  <c:v>32</c:v>
                </c:pt>
                <c:pt idx="1315">
                  <c:v>34</c:v>
                </c:pt>
                <c:pt idx="1316">
                  <c:v>37.1</c:v>
                </c:pt>
                <c:pt idx="1317">
                  <c:v>27</c:v>
                </c:pt>
                <c:pt idx="1318">
                  <c:v>34</c:v>
                </c:pt>
                <c:pt idx="1319">
                  <c:v>38</c:v>
                </c:pt>
                <c:pt idx="1320">
                  <c:v>36</c:v>
                </c:pt>
                <c:pt idx="1321">
                  <c:v>34</c:v>
                </c:pt>
                <c:pt idx="1322">
                  <c:v>33</c:v>
                </c:pt>
                <c:pt idx="1323">
                  <c:v>23</c:v>
                </c:pt>
                <c:pt idx="1324">
                  <c:v>30</c:v>
                </c:pt>
                <c:pt idx="1325">
                  <c:v>39</c:v>
                </c:pt>
                <c:pt idx="1326">
                  <c:v>32</c:v>
                </c:pt>
                <c:pt idx="1327">
                  <c:v>48</c:v>
                </c:pt>
                <c:pt idx="1328">
                  <c:v>32.1</c:v>
                </c:pt>
                <c:pt idx="1329">
                  <c:v>40</c:v>
                </c:pt>
                <c:pt idx="1330">
                  <c:v>38</c:v>
                </c:pt>
                <c:pt idx="1331">
                  <c:v>38</c:v>
                </c:pt>
                <c:pt idx="1332">
                  <c:v>43</c:v>
                </c:pt>
                <c:pt idx="1333">
                  <c:v>34.4</c:v>
                </c:pt>
                <c:pt idx="1334">
                  <c:v>36</c:v>
                </c:pt>
                <c:pt idx="1335">
                  <c:v>35</c:v>
                </c:pt>
                <c:pt idx="1336">
                  <c:v>46</c:v>
                </c:pt>
                <c:pt idx="1337">
                  <c:v>34</c:v>
                </c:pt>
                <c:pt idx="1338">
                  <c:v>29</c:v>
                </c:pt>
                <c:pt idx="1339">
                  <c:v>27</c:v>
                </c:pt>
                <c:pt idx="1340">
                  <c:v>29</c:v>
                </c:pt>
                <c:pt idx="1341">
                  <c:v>37</c:v>
                </c:pt>
                <c:pt idx="1342">
                  <c:v>30</c:v>
                </c:pt>
                <c:pt idx="1343">
                  <c:v>45</c:v>
                </c:pt>
                <c:pt idx="1344">
                  <c:v>35</c:v>
                </c:pt>
                <c:pt idx="1345">
                  <c:v>29</c:v>
                </c:pt>
                <c:pt idx="1346">
                  <c:v>31</c:v>
                </c:pt>
                <c:pt idx="1347">
                  <c:v>34</c:v>
                </c:pt>
                <c:pt idx="1348">
                  <c:v>27</c:v>
                </c:pt>
                <c:pt idx="1349">
                  <c:v>25</c:v>
                </c:pt>
                <c:pt idx="1350">
                  <c:v>27</c:v>
                </c:pt>
                <c:pt idx="1351">
                  <c:v>25</c:v>
                </c:pt>
                <c:pt idx="1352">
                  <c:v>33</c:v>
                </c:pt>
                <c:pt idx="1353">
                  <c:v>32</c:v>
                </c:pt>
                <c:pt idx="1354">
                  <c:v>29</c:v>
                </c:pt>
                <c:pt idx="1355">
                  <c:v>25</c:v>
                </c:pt>
                <c:pt idx="1356">
                  <c:v>26</c:v>
                </c:pt>
                <c:pt idx="1357">
                  <c:v>26</c:v>
                </c:pt>
              </c:numCache>
            </c:numRef>
          </c:val>
          <c:smooth val="0"/>
          <c:extLst>
            <c:ext xmlns:c16="http://schemas.microsoft.com/office/drawing/2014/chart" uri="{C3380CC4-5D6E-409C-BE32-E72D297353CC}">
              <c16:uniqueId val="{00000001-9834-4D49-913A-CE4930672E29}"/>
            </c:ext>
          </c:extLst>
        </c:ser>
        <c:dLbls>
          <c:showLegendKey val="0"/>
          <c:showVal val="0"/>
          <c:showCatName val="0"/>
          <c:showSerName val="0"/>
          <c:showPercent val="0"/>
          <c:showBubbleSize val="0"/>
        </c:dLbls>
        <c:marker val="1"/>
        <c:smooth val="0"/>
        <c:axId val="405165632"/>
        <c:axId val="405156384"/>
      </c:lineChart>
      <c:catAx>
        <c:axId val="405154752"/>
        <c:scaling>
          <c:orientation val="minMax"/>
        </c:scaling>
        <c:delete val="0"/>
        <c:axPos val="b"/>
        <c:numFmt formatCode="General" sourceLinked="0"/>
        <c:majorTickMark val="none"/>
        <c:minorTickMark val="none"/>
        <c:tickLblPos val="nextTo"/>
        <c:txPr>
          <a:bodyPr/>
          <a:lstStyle/>
          <a:p>
            <a:pPr>
              <a:defRPr lang="ja-JP" sz="1000" b="0"/>
            </a:pPr>
            <a:endParaRPr lang="en-US"/>
          </a:p>
        </c:txPr>
        <c:crossAx val="405164000"/>
        <c:crosses val="autoZero"/>
        <c:auto val="1"/>
        <c:lblAlgn val="ctr"/>
        <c:lblOffset val="100"/>
        <c:tickMarkSkip val="1"/>
        <c:noMultiLvlLbl val="0"/>
      </c:catAx>
      <c:valAx>
        <c:axId val="405164000"/>
        <c:scaling>
          <c:orientation val="minMax"/>
          <c:max val="25"/>
          <c:min val="4"/>
        </c:scaling>
        <c:delete val="0"/>
        <c:axPos val="l"/>
        <c:majorGridlines/>
        <c:title>
          <c:tx>
            <c:rich>
              <a:bodyPr/>
              <a:lstStyle/>
              <a:p>
                <a:pPr>
                  <a:defRPr lang="ja-JP" sz="2800"/>
                </a:pPr>
                <a:r>
                  <a:rPr lang="en-US" sz="2800"/>
                  <a:t>Coke Moisture %</a:t>
                </a:r>
              </a:p>
            </c:rich>
          </c:tx>
          <c:overlay val="0"/>
        </c:title>
        <c:numFmt formatCode="General" sourceLinked="1"/>
        <c:majorTickMark val="none"/>
        <c:minorTickMark val="none"/>
        <c:tickLblPos val="nextTo"/>
        <c:txPr>
          <a:bodyPr/>
          <a:lstStyle/>
          <a:p>
            <a:pPr>
              <a:defRPr lang="ja-JP" sz="2000"/>
            </a:pPr>
            <a:endParaRPr lang="en-US"/>
          </a:p>
        </c:txPr>
        <c:crossAx val="405154752"/>
        <c:crosses val="autoZero"/>
        <c:crossBetween val="between"/>
        <c:majorUnit val="1"/>
      </c:valAx>
      <c:valAx>
        <c:axId val="405156384"/>
        <c:scaling>
          <c:orientation val="minMax"/>
          <c:max val="90"/>
          <c:min val="15"/>
        </c:scaling>
        <c:delete val="0"/>
        <c:axPos val="r"/>
        <c:numFmt formatCode="General" sourceLinked="1"/>
        <c:majorTickMark val="out"/>
        <c:minorTickMark val="none"/>
        <c:tickLblPos val="nextTo"/>
        <c:txPr>
          <a:bodyPr/>
          <a:lstStyle/>
          <a:p>
            <a:pPr>
              <a:defRPr lang="ja-JP" sz="1800"/>
            </a:pPr>
            <a:endParaRPr lang="en-US"/>
          </a:p>
        </c:txPr>
        <c:crossAx val="405165632"/>
        <c:crosses val="max"/>
        <c:crossBetween val="between"/>
        <c:majorUnit val="5"/>
      </c:valAx>
      <c:catAx>
        <c:axId val="405165632"/>
        <c:scaling>
          <c:orientation val="minMax"/>
        </c:scaling>
        <c:delete val="1"/>
        <c:axPos val="b"/>
        <c:numFmt formatCode="General" sourceLinked="1"/>
        <c:majorTickMark val="out"/>
        <c:minorTickMark val="none"/>
        <c:tickLblPos val="nextTo"/>
        <c:crossAx val="405156384"/>
        <c:crosses val="autoZero"/>
        <c:auto val="1"/>
        <c:lblAlgn val="ctr"/>
        <c:lblOffset val="100"/>
        <c:noMultiLvlLbl val="0"/>
      </c:catAx>
    </c:plotArea>
    <c:legend>
      <c:legendPos val="t"/>
      <c:overlay val="0"/>
      <c:txPr>
        <a:bodyPr/>
        <a:lstStyle/>
        <a:p>
          <a:pPr>
            <a:defRPr lang="ja-JP" sz="2000"/>
          </a:pPr>
          <a:endParaRPr lang="en-US"/>
        </a:p>
      </c:txPr>
    </c:legend>
    <c:plotVisOnly val="1"/>
    <c:dispBlanksAs val="zero"/>
    <c:showDLblsOverMax val="0"/>
  </c:chart>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ja-JP" sz="2400"/>
            </a:pPr>
            <a:r>
              <a:rPr lang="en-US" sz="2400"/>
              <a:t>Mean Coke Moisture</a:t>
            </a:r>
            <a:r>
              <a:rPr lang="en-US" sz="2400" baseline="0"/>
              <a:t> &amp; AV Temperature</a:t>
            </a:r>
            <a:endParaRPr lang="en-US" sz="2400"/>
          </a:p>
        </c:rich>
      </c:tx>
      <c:overlay val="0"/>
    </c:title>
    <c:autoTitleDeleted val="0"/>
    <c:plotArea>
      <c:layout/>
      <c:lineChart>
        <c:grouping val="stacked"/>
        <c:varyColors val="0"/>
        <c:ser>
          <c:idx val="0"/>
          <c:order val="0"/>
          <c:tx>
            <c:v>Mean Coke Moisture</c:v>
          </c:tx>
          <c:spPr>
            <a:ln w="57150"/>
          </c:spPr>
          <c:marker>
            <c:symbol val="none"/>
          </c:marker>
          <c:cat>
            <c:multiLvlStrRef>
              <c:f>'Coke Moisture'!$C$17:$D$200</c:f>
              <c:multiLvlStrCache>
                <c:ptCount val="184"/>
                <c:lvl>
                  <c:pt idx="0">
                    <c:v>8:10</c:v>
                  </c:pt>
                  <c:pt idx="1">
                    <c:v>13:30</c:v>
                  </c:pt>
                  <c:pt idx="2">
                    <c:v>17:00</c:v>
                  </c:pt>
                  <c:pt idx="3">
                    <c:v>20:45</c:v>
                  </c:pt>
                  <c:pt idx="4">
                    <c:v>23:10</c:v>
                  </c:pt>
                  <c:pt idx="5">
                    <c:v>3:40</c:v>
                  </c:pt>
                  <c:pt idx="6">
                    <c:v>11:25</c:v>
                  </c:pt>
                  <c:pt idx="7">
                    <c:v>15:00</c:v>
                  </c:pt>
                  <c:pt idx="8">
                    <c:v>18:15</c:v>
                  </c:pt>
                  <c:pt idx="9">
                    <c:v>22:50</c:v>
                  </c:pt>
                  <c:pt idx="10">
                    <c:v>2:05</c:v>
                  </c:pt>
                  <c:pt idx="11">
                    <c:v>11:00</c:v>
                  </c:pt>
                  <c:pt idx="12">
                    <c:v>15:30</c:v>
                  </c:pt>
                  <c:pt idx="13">
                    <c:v>18:10</c:v>
                  </c:pt>
                  <c:pt idx="14">
                    <c:v>22:50</c:v>
                  </c:pt>
                  <c:pt idx="15">
                    <c:v>2:05</c:v>
                  </c:pt>
                  <c:pt idx="16">
                    <c:v>8:30</c:v>
                  </c:pt>
                  <c:pt idx="17">
                    <c:v>12:00</c:v>
                  </c:pt>
                  <c:pt idx="18">
                    <c:v>15:40</c:v>
                  </c:pt>
                  <c:pt idx="19">
                    <c:v>18:10</c:v>
                  </c:pt>
                  <c:pt idx="20">
                    <c:v>22:00</c:v>
                  </c:pt>
                  <c:pt idx="21">
                    <c:v>2:10</c:v>
                  </c:pt>
                  <c:pt idx="22">
                    <c:v>12:10</c:v>
                  </c:pt>
                  <c:pt idx="23">
                    <c:v>15:45</c:v>
                  </c:pt>
                  <c:pt idx="24">
                    <c:v>19:10</c:v>
                  </c:pt>
                  <c:pt idx="25">
                    <c:v>23:10</c:v>
                  </c:pt>
                  <c:pt idx="26">
                    <c:v>2:30</c:v>
                  </c:pt>
                  <c:pt idx="27">
                    <c:v>3:25</c:v>
                  </c:pt>
                  <c:pt idx="28">
                    <c:v>12:50</c:v>
                  </c:pt>
                  <c:pt idx="29">
                    <c:v>14:35</c:v>
                  </c:pt>
                  <c:pt idx="30">
                    <c:v>18:10</c:v>
                  </c:pt>
                  <c:pt idx="31">
                    <c:v>22:30</c:v>
                  </c:pt>
                  <c:pt idx="32">
                    <c:v>2:45</c:v>
                  </c:pt>
                  <c:pt idx="33">
                    <c:v>9:35</c:v>
                  </c:pt>
                  <c:pt idx="34">
                    <c:v>13:05</c:v>
                  </c:pt>
                  <c:pt idx="35">
                    <c:v>20:10</c:v>
                  </c:pt>
                  <c:pt idx="36">
                    <c:v>2:10</c:v>
                  </c:pt>
                  <c:pt idx="37">
                    <c:v>9:00</c:v>
                  </c:pt>
                  <c:pt idx="38">
                    <c:v>14:15</c:v>
                  </c:pt>
                  <c:pt idx="39">
                    <c:v>23:10</c:v>
                  </c:pt>
                  <c:pt idx="40">
                    <c:v>0:15</c:v>
                  </c:pt>
                  <c:pt idx="41">
                    <c:v>3:40</c:v>
                  </c:pt>
                  <c:pt idx="42">
                    <c:v>16:45</c:v>
                  </c:pt>
                  <c:pt idx="43">
                    <c:v>15:35</c:v>
                  </c:pt>
                  <c:pt idx="44">
                    <c:v>19:45</c:v>
                  </c:pt>
                  <c:pt idx="45">
                    <c:v>11:45</c:v>
                  </c:pt>
                  <c:pt idx="46">
                    <c:v>4:40</c:v>
                  </c:pt>
                  <c:pt idx="47">
                    <c:v>14:35</c:v>
                  </c:pt>
                  <c:pt idx="48">
                    <c:v>18:05</c:v>
                  </c:pt>
                  <c:pt idx="49">
                    <c:v>22:00</c:v>
                  </c:pt>
                  <c:pt idx="50">
                    <c:v>2:10</c:v>
                  </c:pt>
                  <c:pt idx="51">
                    <c:v>11:15</c:v>
                  </c:pt>
                  <c:pt idx="52">
                    <c:v>11:15</c:v>
                  </c:pt>
                  <c:pt idx="53">
                    <c:v>14:15</c:v>
                  </c:pt>
                  <c:pt idx="54">
                    <c:v>12:45</c:v>
                  </c:pt>
                  <c:pt idx="55">
                    <c:v>14:35</c:v>
                  </c:pt>
                  <c:pt idx="56">
                    <c:v>12:10</c:v>
                  </c:pt>
                  <c:pt idx="57">
                    <c:v>15:35</c:v>
                  </c:pt>
                  <c:pt idx="58">
                    <c:v>18:25</c:v>
                  </c:pt>
                  <c:pt idx="59">
                    <c:v>0:10</c:v>
                  </c:pt>
                  <c:pt idx="60">
                    <c:v>3:45</c:v>
                  </c:pt>
                  <c:pt idx="61">
                    <c:v>11:10</c:v>
                  </c:pt>
                  <c:pt idx="62">
                    <c:v>15:15</c:v>
                  </c:pt>
                  <c:pt idx="63">
                    <c:v>18:20</c:v>
                  </c:pt>
                  <c:pt idx="64">
                    <c:v>22:50</c:v>
                  </c:pt>
                  <c:pt idx="65">
                    <c:v>2:14</c:v>
                  </c:pt>
                  <c:pt idx="66">
                    <c:v>11:10</c:v>
                  </c:pt>
                  <c:pt idx="67">
                    <c:v>14:40</c:v>
                  </c:pt>
                  <c:pt idx="68">
                    <c:v>18:20</c:v>
                  </c:pt>
                  <c:pt idx="69">
                    <c:v>22:40</c:v>
                  </c:pt>
                  <c:pt idx="70">
                    <c:v>2:25</c:v>
                  </c:pt>
                  <c:pt idx="71">
                    <c:v>12:30</c:v>
                  </c:pt>
                  <c:pt idx="72">
                    <c:v>14:40</c:v>
                  </c:pt>
                  <c:pt idx="73">
                    <c:v>18:20</c:v>
                  </c:pt>
                  <c:pt idx="74">
                    <c:v>22:50</c:v>
                  </c:pt>
                  <c:pt idx="75">
                    <c:v>2:20</c:v>
                  </c:pt>
                  <c:pt idx="76">
                    <c:v>12:15</c:v>
                  </c:pt>
                  <c:pt idx="77">
                    <c:v>14:45</c:v>
                  </c:pt>
                  <c:pt idx="78">
                    <c:v>18:30</c:v>
                  </c:pt>
                  <c:pt idx="79">
                    <c:v>22:40</c:v>
                  </c:pt>
                  <c:pt idx="80">
                    <c:v>2:10</c:v>
                  </c:pt>
                  <c:pt idx="81">
                    <c:v>12:45</c:v>
                  </c:pt>
                  <c:pt idx="82">
                    <c:v>15:15</c:v>
                  </c:pt>
                  <c:pt idx="83">
                    <c:v>2:05</c:v>
                  </c:pt>
                  <c:pt idx="84">
                    <c:v>12:00</c:v>
                  </c:pt>
                  <c:pt idx="85">
                    <c:v>15:30</c:v>
                  </c:pt>
                  <c:pt idx="86">
                    <c:v>2:15</c:v>
                  </c:pt>
                  <c:pt idx="87">
                    <c:v>5:30</c:v>
                  </c:pt>
                  <c:pt idx="88">
                    <c:v>22:50</c:v>
                  </c:pt>
                  <c:pt idx="89">
                    <c:v>2:15</c:v>
                  </c:pt>
                  <c:pt idx="90">
                    <c:v>11:05</c:v>
                  </c:pt>
                  <c:pt idx="91">
                    <c:v>14:45</c:v>
                  </c:pt>
                  <c:pt idx="92">
                    <c:v>18:50</c:v>
                  </c:pt>
                  <c:pt idx="93">
                    <c:v>22:45</c:v>
                  </c:pt>
                  <c:pt idx="94">
                    <c:v>11:00</c:v>
                  </c:pt>
                  <c:pt idx="95">
                    <c:v>14:45</c:v>
                  </c:pt>
                  <c:pt idx="96">
                    <c:v>18:50</c:v>
                  </c:pt>
                  <c:pt idx="97">
                    <c:v>22:45</c:v>
                  </c:pt>
                  <c:pt idx="98">
                    <c:v>2:15</c:v>
                  </c:pt>
                  <c:pt idx="99">
                    <c:v>11:45</c:v>
                  </c:pt>
                  <c:pt idx="100">
                    <c:v>16:40</c:v>
                  </c:pt>
                  <c:pt idx="101">
                    <c:v>20:15</c:v>
                  </c:pt>
                  <c:pt idx="102">
                    <c:v>12:30</c:v>
                  </c:pt>
                  <c:pt idx="103">
                    <c:v>16:20</c:v>
                  </c:pt>
                  <c:pt idx="104">
                    <c:v>23:40</c:v>
                  </c:pt>
                  <c:pt idx="105">
                    <c:v>3:15</c:v>
                  </c:pt>
                  <c:pt idx="106">
                    <c:v>14:15</c:v>
                  </c:pt>
                  <c:pt idx="107">
                    <c:v>16:10</c:v>
                  </c:pt>
                  <c:pt idx="108">
                    <c:v>20:15</c:v>
                  </c:pt>
                  <c:pt idx="109">
                    <c:v>23:20</c:v>
                  </c:pt>
                  <c:pt idx="110">
                    <c:v>2:50</c:v>
                  </c:pt>
                  <c:pt idx="111">
                    <c:v>14:15</c:v>
                  </c:pt>
                  <c:pt idx="112">
                    <c:v>16:10</c:v>
                  </c:pt>
                  <c:pt idx="113">
                    <c:v>20:15</c:v>
                  </c:pt>
                  <c:pt idx="114">
                    <c:v>1:40</c:v>
                  </c:pt>
                  <c:pt idx="115">
                    <c:v>5:45</c:v>
                  </c:pt>
                  <c:pt idx="116">
                    <c:v>12:30</c:v>
                  </c:pt>
                  <c:pt idx="117">
                    <c:v>14:48</c:v>
                  </c:pt>
                  <c:pt idx="118">
                    <c:v>20:15</c:v>
                  </c:pt>
                  <c:pt idx="119">
                    <c:v>23:20</c:v>
                  </c:pt>
                  <c:pt idx="120">
                    <c:v>2:20</c:v>
                  </c:pt>
                  <c:pt idx="121">
                    <c:v>11:00</c:v>
                  </c:pt>
                  <c:pt idx="122">
                    <c:v>14:40</c:v>
                  </c:pt>
                  <c:pt idx="123">
                    <c:v>18:15</c:v>
                  </c:pt>
                  <c:pt idx="124">
                    <c:v>23:20</c:v>
                  </c:pt>
                  <c:pt idx="125">
                    <c:v>2:15</c:v>
                  </c:pt>
                  <c:pt idx="126">
                    <c:v>10:45</c:v>
                  </c:pt>
                  <c:pt idx="127">
                    <c:v>14:45</c:v>
                  </c:pt>
                  <c:pt idx="128">
                    <c:v>21:06</c:v>
                  </c:pt>
                  <c:pt idx="129">
                    <c:v>1:25</c:v>
                  </c:pt>
                  <c:pt idx="130">
                    <c:v>14:45</c:v>
                  </c:pt>
                  <c:pt idx="131">
                    <c:v>1:30</c:v>
                  </c:pt>
                  <c:pt idx="132">
                    <c:v>3:00</c:v>
                  </c:pt>
                  <c:pt idx="133">
                    <c:v>15:15</c:v>
                  </c:pt>
                  <c:pt idx="134">
                    <c:v>11:40</c:v>
                  </c:pt>
                  <c:pt idx="135">
                    <c:v>19:10</c:v>
                  </c:pt>
                  <c:pt idx="136">
                    <c:v>23:05</c:v>
                  </c:pt>
                  <c:pt idx="137">
                    <c:v>2:05</c:v>
                  </c:pt>
                  <c:pt idx="138">
                    <c:v>11:55</c:v>
                  </c:pt>
                  <c:pt idx="139">
                    <c:v>15:40</c:v>
                  </c:pt>
                  <c:pt idx="140">
                    <c:v>19:10</c:v>
                  </c:pt>
                  <c:pt idx="141">
                    <c:v>2:45</c:v>
                  </c:pt>
                  <c:pt idx="142">
                    <c:v>12:15</c:v>
                  </c:pt>
                  <c:pt idx="143">
                    <c:v>15:45</c:v>
                  </c:pt>
                  <c:pt idx="144">
                    <c:v>19:30</c:v>
                  </c:pt>
                  <c:pt idx="145">
                    <c:v>23:30</c:v>
                  </c:pt>
                  <c:pt idx="146">
                    <c:v>2:45</c:v>
                  </c:pt>
                  <c:pt idx="147">
                    <c:v>11:45</c:v>
                  </c:pt>
                  <c:pt idx="148">
                    <c:v>15:45</c:v>
                  </c:pt>
                  <c:pt idx="149">
                    <c:v>19:30</c:v>
                  </c:pt>
                  <c:pt idx="150">
                    <c:v>0:20</c:v>
                  </c:pt>
                  <c:pt idx="151">
                    <c:v>3:55</c:v>
                  </c:pt>
                  <c:pt idx="152">
                    <c:v>11:55</c:v>
                  </c:pt>
                  <c:pt idx="153">
                    <c:v>15:45</c:v>
                  </c:pt>
                  <c:pt idx="154">
                    <c:v>20:30</c:v>
                  </c:pt>
                  <c:pt idx="155">
                    <c:v>0:25</c:v>
                  </c:pt>
                  <c:pt idx="156">
                    <c:v>3:45</c:v>
                  </c:pt>
                  <c:pt idx="157">
                    <c:v>11:45</c:v>
                  </c:pt>
                  <c:pt idx="158">
                    <c:v>15:45</c:v>
                  </c:pt>
                  <c:pt idx="159">
                    <c:v>20:38</c:v>
                  </c:pt>
                  <c:pt idx="160">
                    <c:v>0:00</c:v>
                  </c:pt>
                  <c:pt idx="161">
                    <c:v>3:50</c:v>
                  </c:pt>
                  <c:pt idx="162">
                    <c:v>14:15</c:v>
                  </c:pt>
                  <c:pt idx="163">
                    <c:v>17:45</c:v>
                  </c:pt>
                  <c:pt idx="164">
                    <c:v>19:45</c:v>
                  </c:pt>
                  <c:pt idx="165">
                    <c:v>0:15</c:v>
                  </c:pt>
                  <c:pt idx="166">
                    <c:v>11:45</c:v>
                  </c:pt>
                  <c:pt idx="167">
                    <c:v>15:45</c:v>
                  </c:pt>
                  <c:pt idx="168">
                    <c:v>21:15</c:v>
                  </c:pt>
                  <c:pt idx="169">
                    <c:v>1:18</c:v>
                  </c:pt>
                  <c:pt idx="170">
                    <c:v>4:50</c:v>
                  </c:pt>
                  <c:pt idx="171">
                    <c:v>11:45</c:v>
                  </c:pt>
                  <c:pt idx="172">
                    <c:v>15:45</c:v>
                  </c:pt>
                  <c:pt idx="173">
                    <c:v>21:15</c:v>
                  </c:pt>
                  <c:pt idx="174">
                    <c:v>0:15</c:v>
                  </c:pt>
                  <c:pt idx="175">
                    <c:v>3:50</c:v>
                  </c:pt>
                  <c:pt idx="176">
                    <c:v>11:40</c:v>
                  </c:pt>
                  <c:pt idx="177">
                    <c:v>15:40</c:v>
                  </c:pt>
                  <c:pt idx="178">
                    <c:v>21:15</c:v>
                  </c:pt>
                  <c:pt idx="179">
                    <c:v>0:15</c:v>
                  </c:pt>
                  <c:pt idx="180">
                    <c:v>3:40</c:v>
                  </c:pt>
                  <c:pt idx="181">
                    <c:v>11:35</c:v>
                  </c:pt>
                  <c:pt idx="182">
                    <c:v>15:45</c:v>
                  </c:pt>
                  <c:pt idx="183">
                    <c:v>21:00</c:v>
                  </c:pt>
                </c:lvl>
                <c:lvl>
                  <c:pt idx="0">
                    <c:v>1-Jan-16</c:v>
                  </c:pt>
                  <c:pt idx="1">
                    <c:v>1-Jan-16</c:v>
                  </c:pt>
                  <c:pt idx="2">
                    <c:v>1-Jan-16</c:v>
                  </c:pt>
                  <c:pt idx="3">
                    <c:v>1-Jan-16</c:v>
                  </c:pt>
                  <c:pt idx="4">
                    <c:v>1-Jan-16</c:v>
                  </c:pt>
                  <c:pt idx="5">
                    <c:v>2-Jan-16</c:v>
                  </c:pt>
                  <c:pt idx="6">
                    <c:v>2-Jan-16</c:v>
                  </c:pt>
                  <c:pt idx="7">
                    <c:v>2-Jan-16</c:v>
                  </c:pt>
                  <c:pt idx="8">
                    <c:v>2-Jan-16</c:v>
                  </c:pt>
                  <c:pt idx="9">
                    <c:v>2-Jan-16</c:v>
                  </c:pt>
                  <c:pt idx="10">
                    <c:v>3-Jan-16</c:v>
                  </c:pt>
                  <c:pt idx="11">
                    <c:v>3-Jan-16</c:v>
                  </c:pt>
                  <c:pt idx="12">
                    <c:v>3-Jan-16</c:v>
                  </c:pt>
                  <c:pt idx="13">
                    <c:v>3-Jan-16</c:v>
                  </c:pt>
                  <c:pt idx="14">
                    <c:v>3-Jan-16</c:v>
                  </c:pt>
                  <c:pt idx="15">
                    <c:v>4-Jan-16</c:v>
                  </c:pt>
                  <c:pt idx="16">
                    <c:v>4-Jan-16</c:v>
                  </c:pt>
                  <c:pt idx="17">
                    <c:v>4-Jan-16</c:v>
                  </c:pt>
                  <c:pt idx="18">
                    <c:v>4-Jan-16</c:v>
                  </c:pt>
                  <c:pt idx="19">
                    <c:v>4-Jan-16</c:v>
                  </c:pt>
                  <c:pt idx="20">
                    <c:v>4-Jan-16</c:v>
                  </c:pt>
                  <c:pt idx="21">
                    <c:v>5-Jan-16</c:v>
                  </c:pt>
                  <c:pt idx="22">
                    <c:v>5-Jan-16</c:v>
                  </c:pt>
                  <c:pt idx="23">
                    <c:v>5-Jan-16</c:v>
                  </c:pt>
                  <c:pt idx="24">
                    <c:v>5-Jan-16</c:v>
                  </c:pt>
                  <c:pt idx="25">
                    <c:v>5-Jan-16</c:v>
                  </c:pt>
                  <c:pt idx="26">
                    <c:v>6-Jan-16</c:v>
                  </c:pt>
                  <c:pt idx="27">
                    <c:v>6-Jan-16</c:v>
                  </c:pt>
                  <c:pt idx="28">
                    <c:v>6-Jan-16</c:v>
                  </c:pt>
                  <c:pt idx="29">
                    <c:v>6-Jan-16</c:v>
                  </c:pt>
                  <c:pt idx="30">
                    <c:v>6-Jan-16</c:v>
                  </c:pt>
                  <c:pt idx="31">
                    <c:v>6-Jan-16</c:v>
                  </c:pt>
                  <c:pt idx="32">
                    <c:v>7-Jan-16</c:v>
                  </c:pt>
                  <c:pt idx="33">
                    <c:v>7-Jan-16</c:v>
                  </c:pt>
                  <c:pt idx="34">
                    <c:v>7-Jan-16</c:v>
                  </c:pt>
                  <c:pt idx="35">
                    <c:v>7-Jan-16</c:v>
                  </c:pt>
                  <c:pt idx="36">
                    <c:v>8-Jan-16</c:v>
                  </c:pt>
                  <c:pt idx="37">
                    <c:v>8-Jan-16</c:v>
                  </c:pt>
                  <c:pt idx="38">
                    <c:v>8-Jan-16</c:v>
                  </c:pt>
                  <c:pt idx="39">
                    <c:v>8-Jan-16</c:v>
                  </c:pt>
                  <c:pt idx="40">
                    <c:v>9-Jan-16</c:v>
                  </c:pt>
                  <c:pt idx="41">
                    <c:v>9-Jan-16</c:v>
                  </c:pt>
                  <c:pt idx="42">
                    <c:v>9-Jan-16</c:v>
                  </c:pt>
                  <c:pt idx="43">
                    <c:v>10-Jan-16</c:v>
                  </c:pt>
                  <c:pt idx="44">
                    <c:v>10-Jan-16</c:v>
                  </c:pt>
                  <c:pt idx="45">
                    <c:v>10-Jan-16</c:v>
                  </c:pt>
                  <c:pt idx="46">
                    <c:v>11-Jan-16</c:v>
                  </c:pt>
                  <c:pt idx="47">
                    <c:v>11-Jan-16</c:v>
                  </c:pt>
                  <c:pt idx="48">
                    <c:v>11-Jan-16</c:v>
                  </c:pt>
                  <c:pt idx="49">
                    <c:v>11-Jan-16</c:v>
                  </c:pt>
                  <c:pt idx="50">
                    <c:v>12-Jan-16</c:v>
                  </c:pt>
                  <c:pt idx="51">
                    <c:v>13-Jan-16</c:v>
                  </c:pt>
                  <c:pt idx="52">
                    <c:v>14-Jan-16</c:v>
                  </c:pt>
                  <c:pt idx="53">
                    <c:v>15-Jan-16</c:v>
                  </c:pt>
                  <c:pt idx="54">
                    <c:v>16-Jan-16</c:v>
                  </c:pt>
                  <c:pt idx="55">
                    <c:v>16-Jan-16</c:v>
                  </c:pt>
                  <c:pt idx="56">
                    <c:v>17-Jan-16</c:v>
                  </c:pt>
                  <c:pt idx="57">
                    <c:v>17-Jan-16</c:v>
                  </c:pt>
                  <c:pt idx="58">
                    <c:v>17-Jan-16</c:v>
                  </c:pt>
                  <c:pt idx="59">
                    <c:v>18-Jan-16</c:v>
                  </c:pt>
                  <c:pt idx="60">
                    <c:v>18-Jan-16</c:v>
                  </c:pt>
                  <c:pt idx="61">
                    <c:v>18-Jan-16</c:v>
                  </c:pt>
                  <c:pt idx="62">
                    <c:v>18-Jan-16</c:v>
                  </c:pt>
                  <c:pt idx="63">
                    <c:v>18-Jan-16</c:v>
                  </c:pt>
                  <c:pt idx="64">
                    <c:v>18-Jan-16</c:v>
                  </c:pt>
                  <c:pt idx="65">
                    <c:v>19-Jan-16</c:v>
                  </c:pt>
                  <c:pt idx="66">
                    <c:v>19-Jan-16</c:v>
                  </c:pt>
                  <c:pt idx="67">
                    <c:v>19-Jan-16</c:v>
                  </c:pt>
                  <c:pt idx="68">
                    <c:v>19-Jan-16</c:v>
                  </c:pt>
                  <c:pt idx="69">
                    <c:v>19-Jan-16</c:v>
                  </c:pt>
                  <c:pt idx="70">
                    <c:v>20-Jan-16</c:v>
                  </c:pt>
                  <c:pt idx="71">
                    <c:v>20-Jan-16</c:v>
                  </c:pt>
                  <c:pt idx="72">
                    <c:v>20-Jan-16</c:v>
                  </c:pt>
                  <c:pt idx="73">
                    <c:v>20-Jan-16</c:v>
                  </c:pt>
                  <c:pt idx="74">
                    <c:v>20-Jan-16</c:v>
                  </c:pt>
                  <c:pt idx="75">
                    <c:v>21-Jan-16</c:v>
                  </c:pt>
                  <c:pt idx="76">
                    <c:v>21-Jan-16</c:v>
                  </c:pt>
                  <c:pt idx="77">
                    <c:v>21-Jan-16</c:v>
                  </c:pt>
                  <c:pt idx="78">
                    <c:v>21-Jan-16</c:v>
                  </c:pt>
                  <c:pt idx="79">
                    <c:v>21-Jan-16</c:v>
                  </c:pt>
                  <c:pt idx="80">
                    <c:v>22-Jan-16</c:v>
                  </c:pt>
                  <c:pt idx="81">
                    <c:v>22-Jan-16</c:v>
                  </c:pt>
                  <c:pt idx="82">
                    <c:v>22-Jan-16</c:v>
                  </c:pt>
                  <c:pt idx="83">
                    <c:v>23-Jan-16</c:v>
                  </c:pt>
                  <c:pt idx="84">
                    <c:v>23-Jan-16</c:v>
                  </c:pt>
                  <c:pt idx="85">
                    <c:v>23-Jan-16</c:v>
                  </c:pt>
                  <c:pt idx="86">
                    <c:v>24-Jan-16</c:v>
                  </c:pt>
                  <c:pt idx="87">
                    <c:v>24-Jan-16</c:v>
                  </c:pt>
                  <c:pt idx="88">
                    <c:v>24-Jan-16</c:v>
                  </c:pt>
                  <c:pt idx="89">
                    <c:v>25-Jan-16</c:v>
                  </c:pt>
                  <c:pt idx="90">
                    <c:v>25-Jan-16</c:v>
                  </c:pt>
                  <c:pt idx="91">
                    <c:v>25-Jan-16</c:v>
                  </c:pt>
                  <c:pt idx="92">
                    <c:v>25-Jan-16</c:v>
                  </c:pt>
                  <c:pt idx="93">
                    <c:v>26-Jan-16</c:v>
                  </c:pt>
                  <c:pt idx="94">
                    <c:v>26-Jan-16</c:v>
                  </c:pt>
                  <c:pt idx="95">
                    <c:v>26-Jan-16</c:v>
                  </c:pt>
                  <c:pt idx="96">
                    <c:v>26-Jan-16</c:v>
                  </c:pt>
                  <c:pt idx="97">
                    <c:v>26-Jan-16</c:v>
                  </c:pt>
                  <c:pt idx="98">
                    <c:v>27-Jan-16</c:v>
                  </c:pt>
                  <c:pt idx="99">
                    <c:v>27-Jan-16</c:v>
                  </c:pt>
                  <c:pt idx="100">
                    <c:v>27-Jan-16</c:v>
                  </c:pt>
                  <c:pt idx="101">
                    <c:v>27-Jan-16</c:v>
                  </c:pt>
                  <c:pt idx="102">
                    <c:v>28-Jan-16</c:v>
                  </c:pt>
                  <c:pt idx="103">
                    <c:v>28-Jan-16</c:v>
                  </c:pt>
                  <c:pt idx="104">
                    <c:v>28-Jan-16</c:v>
                  </c:pt>
                  <c:pt idx="105">
                    <c:v>29-Jan-16</c:v>
                  </c:pt>
                  <c:pt idx="106">
                    <c:v>29-Jan-16</c:v>
                  </c:pt>
                  <c:pt idx="107">
                    <c:v>29-Jan-16</c:v>
                  </c:pt>
                  <c:pt idx="108">
                    <c:v>29-Jan-16</c:v>
                  </c:pt>
                  <c:pt idx="109">
                    <c:v>29-Jan-16</c:v>
                  </c:pt>
                  <c:pt idx="110">
                    <c:v>30-Jan-16</c:v>
                  </c:pt>
                  <c:pt idx="111">
                    <c:v>30-Jan-16</c:v>
                  </c:pt>
                  <c:pt idx="112">
                    <c:v>30-Jan-16</c:v>
                  </c:pt>
                  <c:pt idx="113">
                    <c:v>30-Jan-16</c:v>
                  </c:pt>
                  <c:pt idx="114">
                    <c:v>31-Jan-16</c:v>
                  </c:pt>
                  <c:pt idx="115">
                    <c:v>31-Jan-16</c:v>
                  </c:pt>
                  <c:pt idx="116">
                    <c:v>1-Feb-16</c:v>
                  </c:pt>
                  <c:pt idx="117">
                    <c:v>1-Feb-16</c:v>
                  </c:pt>
                  <c:pt idx="118">
                    <c:v>1-Feb-16</c:v>
                  </c:pt>
                  <c:pt idx="119">
                    <c:v>1-Feb-16</c:v>
                  </c:pt>
                  <c:pt idx="120">
                    <c:v>2-Feb-16</c:v>
                  </c:pt>
                  <c:pt idx="121">
                    <c:v>2-Feb-16</c:v>
                  </c:pt>
                  <c:pt idx="122">
                    <c:v>2-Feb-16</c:v>
                  </c:pt>
                  <c:pt idx="123">
                    <c:v>2-Feb-16</c:v>
                  </c:pt>
                  <c:pt idx="124">
                    <c:v>2-Feb-16</c:v>
                  </c:pt>
                  <c:pt idx="125">
                    <c:v>3-Feb-16</c:v>
                  </c:pt>
                  <c:pt idx="126">
                    <c:v>3-Feb-16</c:v>
                  </c:pt>
                  <c:pt idx="127">
                    <c:v>3-Feb-16</c:v>
                  </c:pt>
                  <c:pt idx="128">
                    <c:v>3-Feb-16</c:v>
                  </c:pt>
                  <c:pt idx="129">
                    <c:v>4-Feb-16</c:v>
                  </c:pt>
                  <c:pt idx="130">
                    <c:v>4-Feb-16</c:v>
                  </c:pt>
                  <c:pt idx="131">
                    <c:v>4-Feb-16</c:v>
                  </c:pt>
                  <c:pt idx="132">
                    <c:v>5-Feb-16</c:v>
                  </c:pt>
                  <c:pt idx="133">
                    <c:v>5-Feb-16</c:v>
                  </c:pt>
                  <c:pt idx="134">
                    <c:v>6-Feb-16</c:v>
                  </c:pt>
                  <c:pt idx="135">
                    <c:v>6-Feb-16</c:v>
                  </c:pt>
                  <c:pt idx="136">
                    <c:v>6-Feb-16</c:v>
                  </c:pt>
                  <c:pt idx="137">
                    <c:v>7-Feb-16</c:v>
                  </c:pt>
                  <c:pt idx="138">
                    <c:v>7-Feb-16</c:v>
                  </c:pt>
                  <c:pt idx="139">
                    <c:v>7-Feb-16</c:v>
                  </c:pt>
                  <c:pt idx="140">
                    <c:v>7-Feb-16</c:v>
                  </c:pt>
                  <c:pt idx="141">
                    <c:v>8-Feb-16</c:v>
                  </c:pt>
                  <c:pt idx="142">
                    <c:v>8-Feb-16</c:v>
                  </c:pt>
                  <c:pt idx="143">
                    <c:v>8-Feb-16</c:v>
                  </c:pt>
                  <c:pt idx="144">
                    <c:v>8-Feb-16</c:v>
                  </c:pt>
                  <c:pt idx="145">
                    <c:v>8-Feb-16</c:v>
                  </c:pt>
                  <c:pt idx="146">
                    <c:v>9-Feb-16</c:v>
                  </c:pt>
                  <c:pt idx="147">
                    <c:v>9-Feb-16</c:v>
                  </c:pt>
                  <c:pt idx="148">
                    <c:v>9-Feb-16</c:v>
                  </c:pt>
                  <c:pt idx="149">
                    <c:v>9-Feb-16</c:v>
                  </c:pt>
                  <c:pt idx="150">
                    <c:v>10-Feb-16</c:v>
                  </c:pt>
                  <c:pt idx="151">
                    <c:v>10-Feb-16</c:v>
                  </c:pt>
                  <c:pt idx="152">
                    <c:v>10-Feb-16</c:v>
                  </c:pt>
                  <c:pt idx="153">
                    <c:v>10-Feb-16</c:v>
                  </c:pt>
                  <c:pt idx="154">
                    <c:v>10-Feb-16</c:v>
                  </c:pt>
                  <c:pt idx="155">
                    <c:v>11-Feb-16</c:v>
                  </c:pt>
                  <c:pt idx="156">
                    <c:v>11-Feb-16</c:v>
                  </c:pt>
                  <c:pt idx="157">
                    <c:v>11-Feb-16</c:v>
                  </c:pt>
                  <c:pt idx="158">
                    <c:v>11-Feb-16</c:v>
                  </c:pt>
                  <c:pt idx="159">
                    <c:v>11-Feb-16</c:v>
                  </c:pt>
                  <c:pt idx="160">
                    <c:v>12-Feb-16</c:v>
                  </c:pt>
                  <c:pt idx="161">
                    <c:v>12-Feb-16</c:v>
                  </c:pt>
                  <c:pt idx="162">
                    <c:v>12-Feb-16</c:v>
                  </c:pt>
                  <c:pt idx="163">
                    <c:v>12-Feb-16</c:v>
                  </c:pt>
                  <c:pt idx="164">
                    <c:v>12-Feb-16</c:v>
                  </c:pt>
                  <c:pt idx="165">
                    <c:v>13-Feb-16</c:v>
                  </c:pt>
                  <c:pt idx="166">
                    <c:v>13-Feb-16</c:v>
                  </c:pt>
                  <c:pt idx="167">
                    <c:v>13-Feb-16</c:v>
                  </c:pt>
                  <c:pt idx="168">
                    <c:v>13-Feb-16</c:v>
                  </c:pt>
                  <c:pt idx="169">
                    <c:v>14-Feb-16</c:v>
                  </c:pt>
                  <c:pt idx="170">
                    <c:v>14-Feb-16</c:v>
                  </c:pt>
                  <c:pt idx="171">
                    <c:v>14-Feb-16</c:v>
                  </c:pt>
                  <c:pt idx="172">
                    <c:v>14-Feb-16</c:v>
                  </c:pt>
                  <c:pt idx="173">
                    <c:v>14-Feb-16</c:v>
                  </c:pt>
                  <c:pt idx="174">
                    <c:v>15-Feb-16</c:v>
                  </c:pt>
                  <c:pt idx="175">
                    <c:v>15-Feb-16</c:v>
                  </c:pt>
                  <c:pt idx="176">
                    <c:v>15-Feb-16</c:v>
                  </c:pt>
                  <c:pt idx="177">
                    <c:v>15-Feb-16</c:v>
                  </c:pt>
                  <c:pt idx="178">
                    <c:v>15-Feb-16</c:v>
                  </c:pt>
                  <c:pt idx="179">
                    <c:v>16-Feb-16</c:v>
                  </c:pt>
                  <c:pt idx="180">
                    <c:v>16-Feb-16</c:v>
                  </c:pt>
                  <c:pt idx="181">
                    <c:v>16-Feb-16</c:v>
                  </c:pt>
                  <c:pt idx="182">
                    <c:v>16-Feb-16</c:v>
                  </c:pt>
                  <c:pt idx="183">
                    <c:v>16-Feb-16</c:v>
                  </c:pt>
                </c:lvl>
              </c:multiLvlStrCache>
            </c:multiLvlStrRef>
          </c:cat>
          <c:val>
            <c:numRef>
              <c:f>'Coke Moisture'!$F$17:$F$1501</c:f>
              <c:numCache>
                <c:formatCode>General</c:formatCode>
                <c:ptCount val="1485"/>
                <c:pt idx="0">
                  <c:v>20</c:v>
                </c:pt>
                <c:pt idx="1">
                  <c:v>15</c:v>
                </c:pt>
                <c:pt idx="2">
                  <c:v>18.8</c:v>
                </c:pt>
                <c:pt idx="3">
                  <c:v>16</c:v>
                </c:pt>
                <c:pt idx="4">
                  <c:v>15.5</c:v>
                </c:pt>
                <c:pt idx="5">
                  <c:v>15.9</c:v>
                </c:pt>
                <c:pt idx="6">
                  <c:v>13.5</c:v>
                </c:pt>
                <c:pt idx="7">
                  <c:v>16.5</c:v>
                </c:pt>
                <c:pt idx="8">
                  <c:v>15</c:v>
                </c:pt>
                <c:pt idx="9">
                  <c:v>13</c:v>
                </c:pt>
                <c:pt idx="10">
                  <c:v>16</c:v>
                </c:pt>
                <c:pt idx="11">
                  <c:v>14.5</c:v>
                </c:pt>
                <c:pt idx="12">
                  <c:v>18.8</c:v>
                </c:pt>
                <c:pt idx="13">
                  <c:v>19.3</c:v>
                </c:pt>
                <c:pt idx="14">
                  <c:v>18.3</c:v>
                </c:pt>
                <c:pt idx="15">
                  <c:v>19.8</c:v>
                </c:pt>
                <c:pt idx="16">
                  <c:v>17</c:v>
                </c:pt>
                <c:pt idx="17">
                  <c:v>14.2</c:v>
                </c:pt>
                <c:pt idx="18">
                  <c:v>23.3</c:v>
                </c:pt>
                <c:pt idx="19">
                  <c:v>20</c:v>
                </c:pt>
                <c:pt idx="20">
                  <c:v>16.2</c:v>
                </c:pt>
                <c:pt idx="21">
                  <c:v>16.3</c:v>
                </c:pt>
                <c:pt idx="22">
                  <c:v>19.399999999999999</c:v>
                </c:pt>
                <c:pt idx="23">
                  <c:v>17.8</c:v>
                </c:pt>
                <c:pt idx="24">
                  <c:v>19.7</c:v>
                </c:pt>
                <c:pt idx="25">
                  <c:v>18.600000000000001</c:v>
                </c:pt>
                <c:pt idx="26">
                  <c:v>22.3</c:v>
                </c:pt>
                <c:pt idx="27">
                  <c:v>17.5</c:v>
                </c:pt>
                <c:pt idx="28">
                  <c:v>15.2</c:v>
                </c:pt>
                <c:pt idx="29">
                  <c:v>20.8</c:v>
                </c:pt>
                <c:pt idx="30">
                  <c:v>14.1</c:v>
                </c:pt>
                <c:pt idx="31">
                  <c:v>17.5</c:v>
                </c:pt>
                <c:pt idx="32">
                  <c:v>16</c:v>
                </c:pt>
                <c:pt idx="33">
                  <c:v>15.4</c:v>
                </c:pt>
                <c:pt idx="34">
                  <c:v>21.6</c:v>
                </c:pt>
                <c:pt idx="35">
                  <c:v>19.899999999999999</c:v>
                </c:pt>
                <c:pt idx="36">
                  <c:v>15.5</c:v>
                </c:pt>
                <c:pt idx="37">
                  <c:v>14.8</c:v>
                </c:pt>
                <c:pt idx="38">
                  <c:v>16.8</c:v>
                </c:pt>
                <c:pt idx="39">
                  <c:v>13.6</c:v>
                </c:pt>
                <c:pt idx="40">
                  <c:v>14.5</c:v>
                </c:pt>
                <c:pt idx="41">
                  <c:v>17.7</c:v>
                </c:pt>
                <c:pt idx="42">
                  <c:v>16</c:v>
                </c:pt>
                <c:pt idx="43">
                  <c:v>17.399999999999999</c:v>
                </c:pt>
                <c:pt idx="44">
                  <c:v>15.7</c:v>
                </c:pt>
                <c:pt idx="45">
                  <c:v>15.1</c:v>
                </c:pt>
                <c:pt idx="46">
                  <c:v>15.7</c:v>
                </c:pt>
                <c:pt idx="47">
                  <c:v>17.2</c:v>
                </c:pt>
                <c:pt idx="48">
                  <c:v>15.4</c:v>
                </c:pt>
                <c:pt idx="49">
                  <c:v>16.100000000000001</c:v>
                </c:pt>
                <c:pt idx="50">
                  <c:v>18.5</c:v>
                </c:pt>
                <c:pt idx="51">
                  <c:v>15.1</c:v>
                </c:pt>
                <c:pt idx="52">
                  <c:v>14</c:v>
                </c:pt>
                <c:pt idx="53">
                  <c:v>16.7</c:v>
                </c:pt>
                <c:pt idx="54">
                  <c:v>19</c:v>
                </c:pt>
                <c:pt idx="55">
                  <c:v>19</c:v>
                </c:pt>
                <c:pt idx="56">
                  <c:v>16.2</c:v>
                </c:pt>
                <c:pt idx="57">
                  <c:v>16</c:v>
                </c:pt>
                <c:pt idx="58">
                  <c:v>16.5</c:v>
                </c:pt>
                <c:pt idx="59">
                  <c:v>15.6</c:v>
                </c:pt>
                <c:pt idx="60">
                  <c:v>14.85</c:v>
                </c:pt>
                <c:pt idx="61">
                  <c:v>17.2</c:v>
                </c:pt>
                <c:pt idx="62">
                  <c:v>14.9</c:v>
                </c:pt>
                <c:pt idx="63">
                  <c:v>17.899999999999999</c:v>
                </c:pt>
                <c:pt idx="64">
                  <c:v>15.8</c:v>
                </c:pt>
                <c:pt idx="65">
                  <c:v>17.100000000000001</c:v>
                </c:pt>
                <c:pt idx="66">
                  <c:v>18.399999999999999</c:v>
                </c:pt>
                <c:pt idx="67">
                  <c:v>16.5</c:v>
                </c:pt>
                <c:pt idx="68">
                  <c:v>15.5</c:v>
                </c:pt>
                <c:pt idx="69">
                  <c:v>15.3</c:v>
                </c:pt>
                <c:pt idx="70">
                  <c:v>16.2</c:v>
                </c:pt>
                <c:pt idx="71">
                  <c:v>17.2</c:v>
                </c:pt>
                <c:pt idx="72">
                  <c:v>15.5</c:v>
                </c:pt>
                <c:pt idx="73">
                  <c:v>16.600000000000001</c:v>
                </c:pt>
                <c:pt idx="74">
                  <c:v>19</c:v>
                </c:pt>
                <c:pt idx="75">
                  <c:v>16.2</c:v>
                </c:pt>
                <c:pt idx="76">
                  <c:v>19</c:v>
                </c:pt>
                <c:pt idx="77">
                  <c:v>17.899999999999999</c:v>
                </c:pt>
                <c:pt idx="78">
                  <c:v>17.8</c:v>
                </c:pt>
                <c:pt idx="79">
                  <c:v>14.9</c:v>
                </c:pt>
                <c:pt idx="80">
                  <c:v>15.7</c:v>
                </c:pt>
                <c:pt idx="81">
                  <c:v>16.5</c:v>
                </c:pt>
                <c:pt idx="82">
                  <c:v>15.5</c:v>
                </c:pt>
                <c:pt idx="83">
                  <c:v>15.8</c:v>
                </c:pt>
                <c:pt idx="84">
                  <c:v>17.5</c:v>
                </c:pt>
                <c:pt idx="85">
                  <c:v>18.5</c:v>
                </c:pt>
                <c:pt idx="86">
                  <c:v>15.6</c:v>
                </c:pt>
                <c:pt idx="87">
                  <c:v>15</c:v>
                </c:pt>
                <c:pt idx="88">
                  <c:v>13.9</c:v>
                </c:pt>
                <c:pt idx="89">
                  <c:v>18.100000000000001</c:v>
                </c:pt>
                <c:pt idx="90">
                  <c:v>17.8</c:v>
                </c:pt>
                <c:pt idx="91">
                  <c:v>17</c:v>
                </c:pt>
                <c:pt idx="92">
                  <c:v>15.7</c:v>
                </c:pt>
                <c:pt idx="93">
                  <c:v>16.5</c:v>
                </c:pt>
                <c:pt idx="94">
                  <c:v>18.899999999999999</c:v>
                </c:pt>
                <c:pt idx="95">
                  <c:v>19.5</c:v>
                </c:pt>
                <c:pt idx="96">
                  <c:v>17.8</c:v>
                </c:pt>
                <c:pt idx="97">
                  <c:v>15.4</c:v>
                </c:pt>
                <c:pt idx="98">
                  <c:v>17.600000000000001</c:v>
                </c:pt>
                <c:pt idx="99">
                  <c:v>17</c:v>
                </c:pt>
                <c:pt idx="100">
                  <c:v>19.2</c:v>
                </c:pt>
                <c:pt idx="101">
                  <c:v>14.8</c:v>
                </c:pt>
                <c:pt idx="102">
                  <c:v>19.399999999999999</c:v>
                </c:pt>
                <c:pt idx="103">
                  <c:v>14.8</c:v>
                </c:pt>
                <c:pt idx="104">
                  <c:v>17.5</c:v>
                </c:pt>
                <c:pt idx="105">
                  <c:v>16.399999999999999</c:v>
                </c:pt>
                <c:pt idx="106">
                  <c:v>18.100000000000001</c:v>
                </c:pt>
                <c:pt idx="107">
                  <c:v>17.100000000000001</c:v>
                </c:pt>
                <c:pt idx="108">
                  <c:v>15.8</c:v>
                </c:pt>
                <c:pt idx="109">
                  <c:v>18.3</c:v>
                </c:pt>
                <c:pt idx="110">
                  <c:v>17.399999999999999</c:v>
                </c:pt>
                <c:pt idx="111">
                  <c:v>23</c:v>
                </c:pt>
                <c:pt idx="112">
                  <c:v>15.9</c:v>
                </c:pt>
                <c:pt idx="113">
                  <c:v>15.1</c:v>
                </c:pt>
                <c:pt idx="114">
                  <c:v>14.3</c:v>
                </c:pt>
                <c:pt idx="115">
                  <c:v>18.2</c:v>
                </c:pt>
                <c:pt idx="116">
                  <c:v>18.5</c:v>
                </c:pt>
                <c:pt idx="117">
                  <c:v>18.399999999999999</c:v>
                </c:pt>
                <c:pt idx="118">
                  <c:v>14.9</c:v>
                </c:pt>
                <c:pt idx="119">
                  <c:v>16.100000000000001</c:v>
                </c:pt>
                <c:pt idx="120">
                  <c:v>17.3</c:v>
                </c:pt>
                <c:pt idx="121">
                  <c:v>13.9</c:v>
                </c:pt>
                <c:pt idx="122">
                  <c:v>14.1</c:v>
                </c:pt>
                <c:pt idx="123">
                  <c:v>15.3</c:v>
                </c:pt>
                <c:pt idx="124">
                  <c:v>11.2</c:v>
                </c:pt>
                <c:pt idx="125">
                  <c:v>15.1</c:v>
                </c:pt>
                <c:pt idx="126">
                  <c:v>13.9</c:v>
                </c:pt>
                <c:pt idx="127">
                  <c:v>15.7</c:v>
                </c:pt>
                <c:pt idx="128">
                  <c:v>13.8</c:v>
                </c:pt>
                <c:pt idx="129">
                  <c:v>14.7</c:v>
                </c:pt>
                <c:pt idx="130">
                  <c:v>14.3</c:v>
                </c:pt>
                <c:pt idx="131">
                  <c:v>14.2</c:v>
                </c:pt>
                <c:pt idx="132">
                  <c:v>14.3</c:v>
                </c:pt>
                <c:pt idx="133">
                  <c:v>16.399999999999999</c:v>
                </c:pt>
                <c:pt idx="134">
                  <c:v>14</c:v>
                </c:pt>
                <c:pt idx="135">
                  <c:v>10.5</c:v>
                </c:pt>
                <c:pt idx="136">
                  <c:v>12.4</c:v>
                </c:pt>
                <c:pt idx="137">
                  <c:v>13.2</c:v>
                </c:pt>
                <c:pt idx="138">
                  <c:v>14.6</c:v>
                </c:pt>
                <c:pt idx="139">
                  <c:v>16.2</c:v>
                </c:pt>
                <c:pt idx="140">
                  <c:v>15.3</c:v>
                </c:pt>
                <c:pt idx="141">
                  <c:v>16.5</c:v>
                </c:pt>
                <c:pt idx="142">
                  <c:v>17.600000000000001</c:v>
                </c:pt>
                <c:pt idx="143">
                  <c:v>17.2</c:v>
                </c:pt>
                <c:pt idx="144">
                  <c:v>10.1</c:v>
                </c:pt>
                <c:pt idx="145">
                  <c:v>16.7</c:v>
                </c:pt>
                <c:pt idx="146">
                  <c:v>15.7</c:v>
                </c:pt>
                <c:pt idx="147">
                  <c:v>14.5</c:v>
                </c:pt>
                <c:pt idx="148">
                  <c:v>17.3</c:v>
                </c:pt>
                <c:pt idx="149">
                  <c:v>11.3</c:v>
                </c:pt>
                <c:pt idx="150">
                  <c:v>15.3</c:v>
                </c:pt>
                <c:pt idx="151">
                  <c:v>12.9</c:v>
                </c:pt>
                <c:pt idx="152">
                  <c:v>11.9</c:v>
                </c:pt>
                <c:pt idx="153">
                  <c:v>14.4</c:v>
                </c:pt>
                <c:pt idx="154">
                  <c:v>11.5</c:v>
                </c:pt>
                <c:pt idx="155">
                  <c:v>12.7</c:v>
                </c:pt>
                <c:pt idx="156">
                  <c:v>13.6</c:v>
                </c:pt>
                <c:pt idx="157">
                  <c:v>14.9</c:v>
                </c:pt>
                <c:pt idx="158">
                  <c:v>17.2</c:v>
                </c:pt>
                <c:pt idx="159">
                  <c:v>17.7</c:v>
                </c:pt>
                <c:pt idx="160">
                  <c:v>13.8</c:v>
                </c:pt>
                <c:pt idx="161">
                  <c:v>13.7</c:v>
                </c:pt>
                <c:pt idx="162">
                  <c:v>16.600000000000001</c:v>
                </c:pt>
                <c:pt idx="163">
                  <c:v>14</c:v>
                </c:pt>
                <c:pt idx="164">
                  <c:v>15.9</c:v>
                </c:pt>
                <c:pt idx="165">
                  <c:v>16.899999999999999</c:v>
                </c:pt>
                <c:pt idx="166">
                  <c:v>14.3</c:v>
                </c:pt>
                <c:pt idx="167">
                  <c:v>15.2</c:v>
                </c:pt>
                <c:pt idx="168">
                  <c:v>17.5</c:v>
                </c:pt>
                <c:pt idx="169">
                  <c:v>18.2</c:v>
                </c:pt>
                <c:pt idx="170">
                  <c:v>17.5</c:v>
                </c:pt>
                <c:pt idx="171">
                  <c:v>12.9</c:v>
                </c:pt>
                <c:pt idx="172">
                  <c:v>13.1</c:v>
                </c:pt>
                <c:pt idx="173">
                  <c:v>15.8</c:v>
                </c:pt>
                <c:pt idx="174">
                  <c:v>18.600000000000001</c:v>
                </c:pt>
                <c:pt idx="175">
                  <c:v>16.7</c:v>
                </c:pt>
                <c:pt idx="176">
                  <c:v>14.2</c:v>
                </c:pt>
                <c:pt idx="177">
                  <c:v>12.6</c:v>
                </c:pt>
                <c:pt idx="178">
                  <c:v>19.100000000000001</c:v>
                </c:pt>
                <c:pt idx="179">
                  <c:v>18.899999999999999</c:v>
                </c:pt>
                <c:pt idx="180">
                  <c:v>17</c:v>
                </c:pt>
                <c:pt idx="181">
                  <c:v>11.1</c:v>
                </c:pt>
                <c:pt idx="182">
                  <c:v>14.2</c:v>
                </c:pt>
                <c:pt idx="183">
                  <c:v>17</c:v>
                </c:pt>
                <c:pt idx="184">
                  <c:v>16.5</c:v>
                </c:pt>
                <c:pt idx="185">
                  <c:v>17.3</c:v>
                </c:pt>
                <c:pt idx="186">
                  <c:v>13.9</c:v>
                </c:pt>
                <c:pt idx="187">
                  <c:v>14.2</c:v>
                </c:pt>
                <c:pt idx="188">
                  <c:v>17</c:v>
                </c:pt>
                <c:pt idx="189">
                  <c:v>18</c:v>
                </c:pt>
                <c:pt idx="190">
                  <c:v>18.600000000000001</c:v>
                </c:pt>
                <c:pt idx="191">
                  <c:v>15.4</c:v>
                </c:pt>
                <c:pt idx="192">
                  <c:v>14.3</c:v>
                </c:pt>
                <c:pt idx="193">
                  <c:v>16.3</c:v>
                </c:pt>
                <c:pt idx="194">
                  <c:v>17.8</c:v>
                </c:pt>
                <c:pt idx="195">
                  <c:v>19</c:v>
                </c:pt>
                <c:pt idx="196">
                  <c:v>12.8</c:v>
                </c:pt>
                <c:pt idx="197">
                  <c:v>10.9</c:v>
                </c:pt>
                <c:pt idx="198">
                  <c:v>14.5</c:v>
                </c:pt>
                <c:pt idx="199">
                  <c:v>15.1</c:v>
                </c:pt>
                <c:pt idx="200">
                  <c:v>15.9</c:v>
                </c:pt>
                <c:pt idx="201">
                  <c:v>11.3</c:v>
                </c:pt>
                <c:pt idx="202">
                  <c:v>14.6</c:v>
                </c:pt>
                <c:pt idx="203">
                  <c:v>16.600000000000001</c:v>
                </c:pt>
                <c:pt idx="204">
                  <c:v>14</c:v>
                </c:pt>
                <c:pt idx="205">
                  <c:v>15.6</c:v>
                </c:pt>
                <c:pt idx="206">
                  <c:v>11.4</c:v>
                </c:pt>
                <c:pt idx="207">
                  <c:v>16.7</c:v>
                </c:pt>
                <c:pt idx="208">
                  <c:v>14.7</c:v>
                </c:pt>
                <c:pt idx="209">
                  <c:v>15.7</c:v>
                </c:pt>
                <c:pt idx="210">
                  <c:v>11.3</c:v>
                </c:pt>
                <c:pt idx="211">
                  <c:v>15.6</c:v>
                </c:pt>
                <c:pt idx="212">
                  <c:v>14.5</c:v>
                </c:pt>
                <c:pt idx="213">
                  <c:v>15</c:v>
                </c:pt>
                <c:pt idx="214">
                  <c:v>16.5</c:v>
                </c:pt>
                <c:pt idx="215">
                  <c:v>13.7</c:v>
                </c:pt>
                <c:pt idx="216">
                  <c:v>12.5</c:v>
                </c:pt>
                <c:pt idx="217">
                  <c:v>16.100000000000001</c:v>
                </c:pt>
                <c:pt idx="218">
                  <c:v>17.100000000000001</c:v>
                </c:pt>
                <c:pt idx="219">
                  <c:v>16.5</c:v>
                </c:pt>
                <c:pt idx="220">
                  <c:v>12.8</c:v>
                </c:pt>
                <c:pt idx="221">
                  <c:v>12.1</c:v>
                </c:pt>
                <c:pt idx="222">
                  <c:v>11.4</c:v>
                </c:pt>
                <c:pt idx="223">
                  <c:v>12.2</c:v>
                </c:pt>
                <c:pt idx="224">
                  <c:v>11.6</c:v>
                </c:pt>
                <c:pt idx="225">
                  <c:v>15.9</c:v>
                </c:pt>
                <c:pt idx="226">
                  <c:v>13.9</c:v>
                </c:pt>
                <c:pt idx="227">
                  <c:v>12.4</c:v>
                </c:pt>
                <c:pt idx="228">
                  <c:v>9.1</c:v>
                </c:pt>
                <c:pt idx="229">
                  <c:v>13.2</c:v>
                </c:pt>
                <c:pt idx="230">
                  <c:v>9.3000000000000007</c:v>
                </c:pt>
                <c:pt idx="231">
                  <c:v>12.9</c:v>
                </c:pt>
                <c:pt idx="232">
                  <c:v>12.5</c:v>
                </c:pt>
                <c:pt idx="233">
                  <c:v>12.1</c:v>
                </c:pt>
                <c:pt idx="234">
                  <c:v>13.1</c:v>
                </c:pt>
                <c:pt idx="235">
                  <c:v>16</c:v>
                </c:pt>
                <c:pt idx="236">
                  <c:v>16.5</c:v>
                </c:pt>
                <c:pt idx="237">
                  <c:v>12.3</c:v>
                </c:pt>
                <c:pt idx="238">
                  <c:v>10.3</c:v>
                </c:pt>
                <c:pt idx="239">
                  <c:v>16.2</c:v>
                </c:pt>
                <c:pt idx="240">
                  <c:v>15.9</c:v>
                </c:pt>
                <c:pt idx="241">
                  <c:v>16.7</c:v>
                </c:pt>
                <c:pt idx="242">
                  <c:v>14.4</c:v>
                </c:pt>
                <c:pt idx="243">
                  <c:v>13.2</c:v>
                </c:pt>
                <c:pt idx="244">
                  <c:v>16.399999999999999</c:v>
                </c:pt>
                <c:pt idx="245">
                  <c:v>16.8</c:v>
                </c:pt>
                <c:pt idx="246">
                  <c:v>16.399999999999999</c:v>
                </c:pt>
                <c:pt idx="247">
                  <c:v>18.5</c:v>
                </c:pt>
                <c:pt idx="248">
                  <c:v>18.2</c:v>
                </c:pt>
                <c:pt idx="249">
                  <c:v>16.3</c:v>
                </c:pt>
                <c:pt idx="250">
                  <c:v>16.399999999999999</c:v>
                </c:pt>
                <c:pt idx="251">
                  <c:v>15.4</c:v>
                </c:pt>
                <c:pt idx="252">
                  <c:v>13.6</c:v>
                </c:pt>
                <c:pt idx="253">
                  <c:v>18.8</c:v>
                </c:pt>
                <c:pt idx="254">
                  <c:v>12.8</c:v>
                </c:pt>
                <c:pt idx="255">
                  <c:v>11</c:v>
                </c:pt>
                <c:pt idx="256">
                  <c:v>14</c:v>
                </c:pt>
                <c:pt idx="257">
                  <c:v>14.5</c:v>
                </c:pt>
                <c:pt idx="258">
                  <c:v>15.6</c:v>
                </c:pt>
                <c:pt idx="259">
                  <c:v>15.1</c:v>
                </c:pt>
                <c:pt idx="260">
                  <c:v>10.9</c:v>
                </c:pt>
                <c:pt idx="261">
                  <c:v>13.5</c:v>
                </c:pt>
                <c:pt idx="262">
                  <c:v>13.9</c:v>
                </c:pt>
                <c:pt idx="263">
                  <c:v>15.8</c:v>
                </c:pt>
                <c:pt idx="264">
                  <c:v>16.5</c:v>
                </c:pt>
                <c:pt idx="265">
                  <c:v>18</c:v>
                </c:pt>
                <c:pt idx="266">
                  <c:v>18.5</c:v>
                </c:pt>
                <c:pt idx="267">
                  <c:v>18.100000000000001</c:v>
                </c:pt>
                <c:pt idx="268">
                  <c:v>14.5</c:v>
                </c:pt>
                <c:pt idx="269">
                  <c:v>17.7</c:v>
                </c:pt>
                <c:pt idx="270">
                  <c:v>15.8</c:v>
                </c:pt>
                <c:pt idx="271">
                  <c:v>11.5</c:v>
                </c:pt>
                <c:pt idx="272">
                  <c:v>14.2</c:v>
                </c:pt>
                <c:pt idx="273">
                  <c:v>11.8</c:v>
                </c:pt>
                <c:pt idx="274">
                  <c:v>15.7</c:v>
                </c:pt>
                <c:pt idx="275">
                  <c:v>15.6</c:v>
                </c:pt>
                <c:pt idx="276">
                  <c:v>14</c:v>
                </c:pt>
                <c:pt idx="277">
                  <c:v>12.2</c:v>
                </c:pt>
                <c:pt idx="278">
                  <c:v>19.100000000000001</c:v>
                </c:pt>
                <c:pt idx="279">
                  <c:v>15.7</c:v>
                </c:pt>
                <c:pt idx="280">
                  <c:v>14.3</c:v>
                </c:pt>
                <c:pt idx="281">
                  <c:v>12.6</c:v>
                </c:pt>
                <c:pt idx="282">
                  <c:v>10.3</c:v>
                </c:pt>
                <c:pt idx="283">
                  <c:v>13.6</c:v>
                </c:pt>
                <c:pt idx="284">
                  <c:v>11.8</c:v>
                </c:pt>
                <c:pt idx="285">
                  <c:v>14.6</c:v>
                </c:pt>
                <c:pt idx="286">
                  <c:v>16.8</c:v>
                </c:pt>
                <c:pt idx="287">
                  <c:v>13.2</c:v>
                </c:pt>
                <c:pt idx="288">
                  <c:v>13.2</c:v>
                </c:pt>
                <c:pt idx="289">
                  <c:v>13.5</c:v>
                </c:pt>
                <c:pt idx="290">
                  <c:v>11.4</c:v>
                </c:pt>
                <c:pt idx="291">
                  <c:v>12.7</c:v>
                </c:pt>
                <c:pt idx="292">
                  <c:v>10.6</c:v>
                </c:pt>
                <c:pt idx="293">
                  <c:v>18.5</c:v>
                </c:pt>
                <c:pt idx="294">
                  <c:v>9.1</c:v>
                </c:pt>
                <c:pt idx="295">
                  <c:v>16.2</c:v>
                </c:pt>
                <c:pt idx="296">
                  <c:v>14.6</c:v>
                </c:pt>
                <c:pt idx="297">
                  <c:v>17.600000000000001</c:v>
                </c:pt>
                <c:pt idx="298">
                  <c:v>14.7</c:v>
                </c:pt>
                <c:pt idx="299">
                  <c:v>16.2</c:v>
                </c:pt>
                <c:pt idx="300">
                  <c:v>14.7</c:v>
                </c:pt>
                <c:pt idx="301">
                  <c:v>17.5</c:v>
                </c:pt>
                <c:pt idx="302">
                  <c:v>17.600000000000001</c:v>
                </c:pt>
                <c:pt idx="303">
                  <c:v>16.3</c:v>
                </c:pt>
                <c:pt idx="304">
                  <c:v>13.6</c:v>
                </c:pt>
                <c:pt idx="305">
                  <c:v>15.9</c:v>
                </c:pt>
                <c:pt idx="306">
                  <c:v>15</c:v>
                </c:pt>
                <c:pt idx="307">
                  <c:v>15.4</c:v>
                </c:pt>
                <c:pt idx="308">
                  <c:v>10.5</c:v>
                </c:pt>
                <c:pt idx="309">
                  <c:v>17.5</c:v>
                </c:pt>
                <c:pt idx="310">
                  <c:v>11.1</c:v>
                </c:pt>
                <c:pt idx="311">
                  <c:v>14.5</c:v>
                </c:pt>
                <c:pt idx="312">
                  <c:v>13.9</c:v>
                </c:pt>
                <c:pt idx="313">
                  <c:v>13.7</c:v>
                </c:pt>
                <c:pt idx="314">
                  <c:v>13.6</c:v>
                </c:pt>
                <c:pt idx="315">
                  <c:v>13</c:v>
                </c:pt>
                <c:pt idx="316">
                  <c:v>12.3</c:v>
                </c:pt>
                <c:pt idx="317">
                  <c:v>13.8</c:v>
                </c:pt>
                <c:pt idx="318">
                  <c:v>16.899999999999999</c:v>
                </c:pt>
                <c:pt idx="319">
                  <c:v>15</c:v>
                </c:pt>
                <c:pt idx="320">
                  <c:v>11.6</c:v>
                </c:pt>
                <c:pt idx="321">
                  <c:v>17.8</c:v>
                </c:pt>
                <c:pt idx="322">
                  <c:v>13.8</c:v>
                </c:pt>
                <c:pt idx="323">
                  <c:v>17.5</c:v>
                </c:pt>
                <c:pt idx="324">
                  <c:v>17.5</c:v>
                </c:pt>
                <c:pt idx="325">
                  <c:v>12.9</c:v>
                </c:pt>
                <c:pt idx="326">
                  <c:v>11.9</c:v>
                </c:pt>
                <c:pt idx="327">
                  <c:v>11.5</c:v>
                </c:pt>
                <c:pt idx="328">
                  <c:v>16.7</c:v>
                </c:pt>
                <c:pt idx="329">
                  <c:v>15.7</c:v>
                </c:pt>
                <c:pt idx="330">
                  <c:v>10.7</c:v>
                </c:pt>
                <c:pt idx="331">
                  <c:v>13</c:v>
                </c:pt>
                <c:pt idx="332">
                  <c:v>17.5</c:v>
                </c:pt>
                <c:pt idx="333">
                  <c:v>18.5</c:v>
                </c:pt>
                <c:pt idx="334">
                  <c:v>15.1</c:v>
                </c:pt>
                <c:pt idx="335">
                  <c:v>12.1</c:v>
                </c:pt>
                <c:pt idx="336">
                  <c:v>12.9</c:v>
                </c:pt>
                <c:pt idx="337">
                  <c:v>20.8</c:v>
                </c:pt>
                <c:pt idx="338">
                  <c:v>17.3</c:v>
                </c:pt>
                <c:pt idx="339">
                  <c:v>19.3</c:v>
                </c:pt>
                <c:pt idx="340">
                  <c:v>15.3</c:v>
                </c:pt>
                <c:pt idx="341">
                  <c:v>19.5</c:v>
                </c:pt>
                <c:pt idx="342">
                  <c:v>19.8</c:v>
                </c:pt>
                <c:pt idx="343">
                  <c:v>18.600000000000001</c:v>
                </c:pt>
                <c:pt idx="344">
                  <c:v>13.4</c:v>
                </c:pt>
                <c:pt idx="345">
                  <c:v>13.5</c:v>
                </c:pt>
                <c:pt idx="346">
                  <c:v>17.600000000000001</c:v>
                </c:pt>
                <c:pt idx="347">
                  <c:v>18.899999999999999</c:v>
                </c:pt>
                <c:pt idx="348">
                  <c:v>18.5</c:v>
                </c:pt>
                <c:pt idx="349">
                  <c:v>14.4</c:v>
                </c:pt>
                <c:pt idx="350">
                  <c:v>11.9</c:v>
                </c:pt>
                <c:pt idx="351">
                  <c:v>16.5</c:v>
                </c:pt>
                <c:pt idx="352">
                  <c:v>15.4</c:v>
                </c:pt>
                <c:pt idx="353">
                  <c:v>16.7</c:v>
                </c:pt>
                <c:pt idx="354">
                  <c:v>16.7</c:v>
                </c:pt>
                <c:pt idx="355">
                  <c:v>13.8</c:v>
                </c:pt>
                <c:pt idx="356">
                  <c:v>14</c:v>
                </c:pt>
                <c:pt idx="357">
                  <c:v>16</c:v>
                </c:pt>
                <c:pt idx="358">
                  <c:v>11.7</c:v>
                </c:pt>
                <c:pt idx="359">
                  <c:v>15.4</c:v>
                </c:pt>
                <c:pt idx="360">
                  <c:v>14.5</c:v>
                </c:pt>
                <c:pt idx="361">
                  <c:v>13.3</c:v>
                </c:pt>
                <c:pt idx="362">
                  <c:v>13.4</c:v>
                </c:pt>
                <c:pt idx="363">
                  <c:v>14.2</c:v>
                </c:pt>
                <c:pt idx="364">
                  <c:v>16.3</c:v>
                </c:pt>
                <c:pt idx="365">
                  <c:v>15.7</c:v>
                </c:pt>
                <c:pt idx="366">
                  <c:v>14.6</c:v>
                </c:pt>
                <c:pt idx="367">
                  <c:v>15.4</c:v>
                </c:pt>
                <c:pt idx="368">
                  <c:v>11.8</c:v>
                </c:pt>
                <c:pt idx="369">
                  <c:v>15.7</c:v>
                </c:pt>
                <c:pt idx="370">
                  <c:v>16.100000000000001</c:v>
                </c:pt>
                <c:pt idx="371">
                  <c:v>17.100000000000001</c:v>
                </c:pt>
                <c:pt idx="372">
                  <c:v>13.7</c:v>
                </c:pt>
                <c:pt idx="373">
                  <c:v>12.2</c:v>
                </c:pt>
                <c:pt idx="374">
                  <c:v>17.3</c:v>
                </c:pt>
                <c:pt idx="375">
                  <c:v>16.100000000000001</c:v>
                </c:pt>
                <c:pt idx="376">
                  <c:v>15</c:v>
                </c:pt>
                <c:pt idx="377">
                  <c:v>12.6</c:v>
                </c:pt>
                <c:pt idx="378">
                  <c:v>15.6</c:v>
                </c:pt>
                <c:pt idx="379">
                  <c:v>12</c:v>
                </c:pt>
                <c:pt idx="380">
                  <c:v>15.5</c:v>
                </c:pt>
                <c:pt idx="381">
                  <c:v>14.7</c:v>
                </c:pt>
                <c:pt idx="382">
                  <c:v>16.399999999999999</c:v>
                </c:pt>
                <c:pt idx="383">
                  <c:v>18.2</c:v>
                </c:pt>
                <c:pt idx="384">
                  <c:v>17.899999999999999</c:v>
                </c:pt>
                <c:pt idx="385">
                  <c:v>16.600000000000001</c:v>
                </c:pt>
                <c:pt idx="386">
                  <c:v>16.3</c:v>
                </c:pt>
                <c:pt idx="387">
                  <c:v>20.8</c:v>
                </c:pt>
                <c:pt idx="388">
                  <c:v>19.5</c:v>
                </c:pt>
                <c:pt idx="389">
                  <c:v>19.5</c:v>
                </c:pt>
                <c:pt idx="390">
                  <c:v>18</c:v>
                </c:pt>
                <c:pt idx="391">
                  <c:v>13.9</c:v>
                </c:pt>
                <c:pt idx="392">
                  <c:v>17.899999999999999</c:v>
                </c:pt>
                <c:pt idx="393">
                  <c:v>19.600000000000001</c:v>
                </c:pt>
                <c:pt idx="394">
                  <c:v>17.899999999999999</c:v>
                </c:pt>
                <c:pt idx="395">
                  <c:v>18.100000000000001</c:v>
                </c:pt>
                <c:pt idx="396">
                  <c:v>17.5</c:v>
                </c:pt>
                <c:pt idx="397">
                  <c:v>19.600000000000001</c:v>
                </c:pt>
                <c:pt idx="398">
                  <c:v>16.899999999999999</c:v>
                </c:pt>
                <c:pt idx="399">
                  <c:v>16.3</c:v>
                </c:pt>
                <c:pt idx="400">
                  <c:v>19.3</c:v>
                </c:pt>
                <c:pt idx="401">
                  <c:v>19.2</c:v>
                </c:pt>
                <c:pt idx="402">
                  <c:v>19.8</c:v>
                </c:pt>
                <c:pt idx="403">
                  <c:v>18.7</c:v>
                </c:pt>
                <c:pt idx="404">
                  <c:v>18.399999999999999</c:v>
                </c:pt>
                <c:pt idx="405">
                  <c:v>19.600000000000001</c:v>
                </c:pt>
                <c:pt idx="406">
                  <c:v>19.2</c:v>
                </c:pt>
                <c:pt idx="407">
                  <c:v>18.7</c:v>
                </c:pt>
                <c:pt idx="408">
                  <c:v>19.899999999999999</c:v>
                </c:pt>
                <c:pt idx="409">
                  <c:v>18.7</c:v>
                </c:pt>
                <c:pt idx="410">
                  <c:v>17.2</c:v>
                </c:pt>
                <c:pt idx="411">
                  <c:v>19.5</c:v>
                </c:pt>
                <c:pt idx="412">
                  <c:v>19.5</c:v>
                </c:pt>
                <c:pt idx="413">
                  <c:v>18.2</c:v>
                </c:pt>
                <c:pt idx="414">
                  <c:v>17.399999999999999</c:v>
                </c:pt>
                <c:pt idx="415">
                  <c:v>16.8</c:v>
                </c:pt>
                <c:pt idx="416">
                  <c:v>19.399999999999999</c:v>
                </c:pt>
                <c:pt idx="417">
                  <c:v>19.8</c:v>
                </c:pt>
                <c:pt idx="418">
                  <c:v>18.5</c:v>
                </c:pt>
                <c:pt idx="419">
                  <c:v>18.399999999999999</c:v>
                </c:pt>
                <c:pt idx="420">
                  <c:v>18.7</c:v>
                </c:pt>
                <c:pt idx="421">
                  <c:v>17.7</c:v>
                </c:pt>
                <c:pt idx="422">
                  <c:v>15.5</c:v>
                </c:pt>
                <c:pt idx="423">
                  <c:v>13.4</c:v>
                </c:pt>
                <c:pt idx="424">
                  <c:v>18.399999999999999</c:v>
                </c:pt>
                <c:pt idx="425">
                  <c:v>19</c:v>
                </c:pt>
                <c:pt idx="426">
                  <c:v>19.600000000000001</c:v>
                </c:pt>
                <c:pt idx="427">
                  <c:v>20</c:v>
                </c:pt>
                <c:pt idx="428">
                  <c:v>17.899999999999999</c:v>
                </c:pt>
                <c:pt idx="429">
                  <c:v>16.899999999999999</c:v>
                </c:pt>
                <c:pt idx="430">
                  <c:v>18.899999999999999</c:v>
                </c:pt>
                <c:pt idx="431">
                  <c:v>23.5</c:v>
                </c:pt>
                <c:pt idx="432">
                  <c:v>20.7</c:v>
                </c:pt>
                <c:pt idx="433">
                  <c:v>17.899999999999999</c:v>
                </c:pt>
                <c:pt idx="434">
                  <c:v>18.899999999999999</c:v>
                </c:pt>
                <c:pt idx="435">
                  <c:v>19.5</c:v>
                </c:pt>
                <c:pt idx="436">
                  <c:v>20.3</c:v>
                </c:pt>
                <c:pt idx="437">
                  <c:v>21.5</c:v>
                </c:pt>
                <c:pt idx="438">
                  <c:v>16.5</c:v>
                </c:pt>
                <c:pt idx="439">
                  <c:v>18.2</c:v>
                </c:pt>
                <c:pt idx="440">
                  <c:v>18.100000000000001</c:v>
                </c:pt>
                <c:pt idx="441">
                  <c:v>22.3</c:v>
                </c:pt>
                <c:pt idx="442">
                  <c:v>21.5</c:v>
                </c:pt>
                <c:pt idx="443">
                  <c:v>19.2</c:v>
                </c:pt>
                <c:pt idx="444">
                  <c:v>18.2</c:v>
                </c:pt>
                <c:pt idx="445">
                  <c:v>19.100000000000001</c:v>
                </c:pt>
                <c:pt idx="446">
                  <c:v>21.5</c:v>
                </c:pt>
                <c:pt idx="447">
                  <c:v>19.899999999999999</c:v>
                </c:pt>
                <c:pt idx="448">
                  <c:v>18.100000000000001</c:v>
                </c:pt>
                <c:pt idx="449">
                  <c:v>19.600000000000001</c:v>
                </c:pt>
                <c:pt idx="450">
                  <c:v>19.5</c:v>
                </c:pt>
                <c:pt idx="451">
                  <c:v>19.7</c:v>
                </c:pt>
                <c:pt idx="452">
                  <c:v>19.899999999999999</c:v>
                </c:pt>
                <c:pt idx="453">
                  <c:v>18.5</c:v>
                </c:pt>
                <c:pt idx="454">
                  <c:v>18.600000000000001</c:v>
                </c:pt>
                <c:pt idx="455">
                  <c:v>20.2</c:v>
                </c:pt>
                <c:pt idx="456">
                  <c:v>30.9</c:v>
                </c:pt>
                <c:pt idx="457">
                  <c:v>27.3</c:v>
                </c:pt>
                <c:pt idx="458">
                  <c:v>21.1</c:v>
                </c:pt>
                <c:pt idx="459">
                  <c:v>19.600000000000001</c:v>
                </c:pt>
                <c:pt idx="460">
                  <c:v>18.600000000000001</c:v>
                </c:pt>
                <c:pt idx="461">
                  <c:v>19.2</c:v>
                </c:pt>
                <c:pt idx="462">
                  <c:v>19.600000000000001</c:v>
                </c:pt>
                <c:pt idx="463">
                  <c:v>20.100000000000001</c:v>
                </c:pt>
                <c:pt idx="464">
                  <c:v>20.3</c:v>
                </c:pt>
                <c:pt idx="465">
                  <c:v>20.100000000000001</c:v>
                </c:pt>
                <c:pt idx="466">
                  <c:v>19</c:v>
                </c:pt>
                <c:pt idx="467">
                  <c:v>21.5</c:v>
                </c:pt>
                <c:pt idx="468">
                  <c:v>20.6</c:v>
                </c:pt>
                <c:pt idx="469">
                  <c:v>24.3</c:v>
                </c:pt>
                <c:pt idx="470">
                  <c:v>26.5</c:v>
                </c:pt>
                <c:pt idx="471">
                  <c:v>23</c:v>
                </c:pt>
                <c:pt idx="472">
                  <c:v>27.7</c:v>
                </c:pt>
                <c:pt idx="473">
                  <c:v>23.6</c:v>
                </c:pt>
                <c:pt idx="474">
                  <c:v>19.600000000000001</c:v>
                </c:pt>
                <c:pt idx="475">
                  <c:v>19.600000000000001</c:v>
                </c:pt>
                <c:pt idx="476">
                  <c:v>20.399999999999999</c:v>
                </c:pt>
                <c:pt idx="477">
                  <c:v>17.8</c:v>
                </c:pt>
                <c:pt idx="478">
                  <c:v>21.1</c:v>
                </c:pt>
                <c:pt idx="479">
                  <c:v>22.3</c:v>
                </c:pt>
                <c:pt idx="480">
                  <c:v>17.399999999999999</c:v>
                </c:pt>
                <c:pt idx="481">
                  <c:v>24.1</c:v>
                </c:pt>
                <c:pt idx="482">
                  <c:v>20.100000000000001</c:v>
                </c:pt>
                <c:pt idx="483">
                  <c:v>23.4</c:v>
                </c:pt>
                <c:pt idx="484">
                  <c:v>21.1</c:v>
                </c:pt>
                <c:pt idx="485">
                  <c:v>15.2</c:v>
                </c:pt>
                <c:pt idx="486">
                  <c:v>20.100000000000001</c:v>
                </c:pt>
                <c:pt idx="487">
                  <c:v>19.3</c:v>
                </c:pt>
                <c:pt idx="488">
                  <c:v>24.6</c:v>
                </c:pt>
                <c:pt idx="489">
                  <c:v>24.6</c:v>
                </c:pt>
                <c:pt idx="490">
                  <c:v>19.600000000000001</c:v>
                </c:pt>
                <c:pt idx="491">
                  <c:v>19</c:v>
                </c:pt>
                <c:pt idx="492">
                  <c:v>19.2</c:v>
                </c:pt>
                <c:pt idx="493">
                  <c:v>20.3</c:v>
                </c:pt>
                <c:pt idx="494">
                  <c:v>22.4</c:v>
                </c:pt>
                <c:pt idx="495">
                  <c:v>22.3</c:v>
                </c:pt>
                <c:pt idx="496">
                  <c:v>19.7</c:v>
                </c:pt>
                <c:pt idx="497">
                  <c:v>16.100000000000001</c:v>
                </c:pt>
                <c:pt idx="498">
                  <c:v>19.8</c:v>
                </c:pt>
                <c:pt idx="499">
                  <c:v>20.2</c:v>
                </c:pt>
                <c:pt idx="500">
                  <c:v>18.399999999999999</c:v>
                </c:pt>
                <c:pt idx="501">
                  <c:v>22.3</c:v>
                </c:pt>
                <c:pt idx="502">
                  <c:v>20.2</c:v>
                </c:pt>
                <c:pt idx="503">
                  <c:v>20.5</c:v>
                </c:pt>
                <c:pt idx="504">
                  <c:v>22.1</c:v>
                </c:pt>
                <c:pt idx="505">
                  <c:v>17.3</c:v>
                </c:pt>
                <c:pt idx="506">
                  <c:v>22.2</c:v>
                </c:pt>
                <c:pt idx="507">
                  <c:v>22</c:v>
                </c:pt>
                <c:pt idx="508">
                  <c:v>19.399999999999999</c:v>
                </c:pt>
                <c:pt idx="509">
                  <c:v>22.7</c:v>
                </c:pt>
                <c:pt idx="510">
                  <c:v>17.899999999999999</c:v>
                </c:pt>
                <c:pt idx="511">
                  <c:v>19.2</c:v>
                </c:pt>
                <c:pt idx="512">
                  <c:v>20.100000000000001</c:v>
                </c:pt>
                <c:pt idx="513">
                  <c:v>24.3</c:v>
                </c:pt>
                <c:pt idx="514">
                  <c:v>22.1</c:v>
                </c:pt>
                <c:pt idx="515">
                  <c:v>17.3</c:v>
                </c:pt>
                <c:pt idx="516">
                  <c:v>17.3</c:v>
                </c:pt>
                <c:pt idx="517">
                  <c:v>19.3</c:v>
                </c:pt>
                <c:pt idx="518">
                  <c:v>17.899999999999999</c:v>
                </c:pt>
                <c:pt idx="519">
                  <c:v>21</c:v>
                </c:pt>
                <c:pt idx="520">
                  <c:v>17.5</c:v>
                </c:pt>
                <c:pt idx="521">
                  <c:v>17.3</c:v>
                </c:pt>
                <c:pt idx="522">
                  <c:v>19.3</c:v>
                </c:pt>
                <c:pt idx="523">
                  <c:v>17.899999999999999</c:v>
                </c:pt>
                <c:pt idx="524">
                  <c:v>18</c:v>
                </c:pt>
                <c:pt idx="525">
                  <c:v>22.6</c:v>
                </c:pt>
                <c:pt idx="526">
                  <c:v>18.8</c:v>
                </c:pt>
                <c:pt idx="527">
                  <c:v>18.600000000000001</c:v>
                </c:pt>
                <c:pt idx="528">
                  <c:v>19.100000000000001</c:v>
                </c:pt>
                <c:pt idx="529">
                  <c:v>18.5</c:v>
                </c:pt>
                <c:pt idx="530">
                  <c:v>21.1</c:v>
                </c:pt>
                <c:pt idx="531">
                  <c:v>21.5</c:v>
                </c:pt>
                <c:pt idx="532">
                  <c:v>20.6</c:v>
                </c:pt>
                <c:pt idx="533">
                  <c:v>19.2</c:v>
                </c:pt>
                <c:pt idx="534">
                  <c:v>20.7</c:v>
                </c:pt>
                <c:pt idx="535">
                  <c:v>19.899999999999999</c:v>
                </c:pt>
                <c:pt idx="536">
                  <c:v>19.3</c:v>
                </c:pt>
                <c:pt idx="537">
                  <c:v>18.600000000000001</c:v>
                </c:pt>
                <c:pt idx="538">
                  <c:v>20</c:v>
                </c:pt>
                <c:pt idx="539">
                  <c:v>21.2</c:v>
                </c:pt>
                <c:pt idx="540">
                  <c:v>18.600000000000001</c:v>
                </c:pt>
                <c:pt idx="541">
                  <c:v>19.399999999999999</c:v>
                </c:pt>
                <c:pt idx="542">
                  <c:v>19.399999999999999</c:v>
                </c:pt>
                <c:pt idx="543">
                  <c:v>19.399999999999999</c:v>
                </c:pt>
                <c:pt idx="544">
                  <c:v>18.5</c:v>
                </c:pt>
                <c:pt idx="545">
                  <c:v>18.5</c:v>
                </c:pt>
                <c:pt idx="546">
                  <c:v>18.5</c:v>
                </c:pt>
                <c:pt idx="547">
                  <c:v>18.5</c:v>
                </c:pt>
                <c:pt idx="548">
                  <c:v>18.5</c:v>
                </c:pt>
                <c:pt idx="549">
                  <c:v>18.5</c:v>
                </c:pt>
                <c:pt idx="550">
                  <c:v>18.5</c:v>
                </c:pt>
                <c:pt idx="551">
                  <c:v>18.5</c:v>
                </c:pt>
                <c:pt idx="552">
                  <c:v>18.5</c:v>
                </c:pt>
                <c:pt idx="553">
                  <c:v>23.1</c:v>
                </c:pt>
                <c:pt idx="554">
                  <c:v>18.600000000000001</c:v>
                </c:pt>
                <c:pt idx="555">
                  <c:v>17.8</c:v>
                </c:pt>
                <c:pt idx="556">
                  <c:v>18.100000000000001</c:v>
                </c:pt>
                <c:pt idx="557">
                  <c:v>18</c:v>
                </c:pt>
                <c:pt idx="558">
                  <c:v>17.8</c:v>
                </c:pt>
                <c:pt idx="559">
                  <c:v>14.4</c:v>
                </c:pt>
                <c:pt idx="560">
                  <c:v>18.2</c:v>
                </c:pt>
                <c:pt idx="561">
                  <c:v>16.600000000000001</c:v>
                </c:pt>
                <c:pt idx="562">
                  <c:v>16</c:v>
                </c:pt>
                <c:pt idx="563">
                  <c:v>17.600000000000001</c:v>
                </c:pt>
                <c:pt idx="564">
                  <c:v>16.3</c:v>
                </c:pt>
                <c:pt idx="565">
                  <c:v>20</c:v>
                </c:pt>
                <c:pt idx="566">
                  <c:v>20.8</c:v>
                </c:pt>
                <c:pt idx="567">
                  <c:v>18.3</c:v>
                </c:pt>
                <c:pt idx="568">
                  <c:v>18.5</c:v>
                </c:pt>
                <c:pt idx="569">
                  <c:v>20.6</c:v>
                </c:pt>
                <c:pt idx="570">
                  <c:v>21.2</c:v>
                </c:pt>
                <c:pt idx="571">
                  <c:v>19.3</c:v>
                </c:pt>
                <c:pt idx="572">
                  <c:v>19.8</c:v>
                </c:pt>
                <c:pt idx="573">
                  <c:v>18.100000000000001</c:v>
                </c:pt>
                <c:pt idx="574">
                  <c:v>17.8</c:v>
                </c:pt>
                <c:pt idx="575">
                  <c:v>18.3</c:v>
                </c:pt>
                <c:pt idx="576">
                  <c:v>15.8</c:v>
                </c:pt>
                <c:pt idx="577">
                  <c:v>23.4</c:v>
                </c:pt>
                <c:pt idx="578">
                  <c:v>19.3</c:v>
                </c:pt>
                <c:pt idx="579">
                  <c:v>11.5</c:v>
                </c:pt>
                <c:pt idx="580">
                  <c:v>21.1</c:v>
                </c:pt>
                <c:pt idx="581">
                  <c:v>13.9</c:v>
                </c:pt>
                <c:pt idx="582">
                  <c:v>19.899999999999999</c:v>
                </c:pt>
                <c:pt idx="583">
                  <c:v>20.100000000000001</c:v>
                </c:pt>
                <c:pt idx="584">
                  <c:v>22</c:v>
                </c:pt>
                <c:pt idx="585">
                  <c:v>22.5</c:v>
                </c:pt>
                <c:pt idx="586">
                  <c:v>24.7</c:v>
                </c:pt>
                <c:pt idx="587">
                  <c:v>22.1</c:v>
                </c:pt>
                <c:pt idx="588">
                  <c:v>22.5</c:v>
                </c:pt>
                <c:pt idx="589">
                  <c:v>21.6</c:v>
                </c:pt>
                <c:pt idx="590">
                  <c:v>14.9</c:v>
                </c:pt>
                <c:pt idx="591">
                  <c:v>17.600000000000001</c:v>
                </c:pt>
                <c:pt idx="592">
                  <c:v>17.3</c:v>
                </c:pt>
                <c:pt idx="593">
                  <c:v>17.3</c:v>
                </c:pt>
                <c:pt idx="594">
                  <c:v>23.1</c:v>
                </c:pt>
                <c:pt idx="595">
                  <c:v>12.9</c:v>
                </c:pt>
                <c:pt idx="596">
                  <c:v>10.4</c:v>
                </c:pt>
                <c:pt idx="597">
                  <c:v>16.399999999999999</c:v>
                </c:pt>
                <c:pt idx="598">
                  <c:v>19.899999999999999</c:v>
                </c:pt>
                <c:pt idx="599">
                  <c:v>20.3</c:v>
                </c:pt>
                <c:pt idx="600">
                  <c:v>20.3</c:v>
                </c:pt>
                <c:pt idx="601">
                  <c:v>17.600000000000001</c:v>
                </c:pt>
                <c:pt idx="602">
                  <c:v>16.600000000000001</c:v>
                </c:pt>
                <c:pt idx="603">
                  <c:v>19.7</c:v>
                </c:pt>
                <c:pt idx="604">
                  <c:v>14.9</c:v>
                </c:pt>
                <c:pt idx="605">
                  <c:v>12.1</c:v>
                </c:pt>
                <c:pt idx="606">
                  <c:v>16.600000000000001</c:v>
                </c:pt>
                <c:pt idx="607">
                  <c:v>20.9</c:v>
                </c:pt>
                <c:pt idx="608">
                  <c:v>19.8</c:v>
                </c:pt>
                <c:pt idx="609">
                  <c:v>17.100000000000001</c:v>
                </c:pt>
                <c:pt idx="610">
                  <c:v>18.2</c:v>
                </c:pt>
                <c:pt idx="611">
                  <c:v>16.600000000000001</c:v>
                </c:pt>
                <c:pt idx="612">
                  <c:v>19.600000000000001</c:v>
                </c:pt>
                <c:pt idx="613">
                  <c:v>10.5</c:v>
                </c:pt>
                <c:pt idx="614">
                  <c:v>9.6</c:v>
                </c:pt>
                <c:pt idx="615">
                  <c:v>13.4</c:v>
                </c:pt>
                <c:pt idx="616">
                  <c:v>16.899999999999999</c:v>
                </c:pt>
                <c:pt idx="617">
                  <c:v>17.2</c:v>
                </c:pt>
                <c:pt idx="618">
                  <c:v>18.399999999999999</c:v>
                </c:pt>
                <c:pt idx="619">
                  <c:v>16.7</c:v>
                </c:pt>
                <c:pt idx="620">
                  <c:v>13.8</c:v>
                </c:pt>
                <c:pt idx="621">
                  <c:v>17.2</c:v>
                </c:pt>
                <c:pt idx="622">
                  <c:v>18.8</c:v>
                </c:pt>
                <c:pt idx="623">
                  <c:v>13.8</c:v>
                </c:pt>
                <c:pt idx="624">
                  <c:v>9.6</c:v>
                </c:pt>
                <c:pt idx="625">
                  <c:v>18.600000000000001</c:v>
                </c:pt>
                <c:pt idx="626">
                  <c:v>19.2</c:v>
                </c:pt>
                <c:pt idx="627">
                  <c:v>18.100000000000001</c:v>
                </c:pt>
                <c:pt idx="628">
                  <c:v>12.1</c:v>
                </c:pt>
                <c:pt idx="629">
                  <c:v>15.3</c:v>
                </c:pt>
                <c:pt idx="630">
                  <c:v>20.2</c:v>
                </c:pt>
                <c:pt idx="631">
                  <c:v>16.7</c:v>
                </c:pt>
                <c:pt idx="632">
                  <c:v>15.2</c:v>
                </c:pt>
                <c:pt idx="633">
                  <c:v>17.600000000000001</c:v>
                </c:pt>
                <c:pt idx="634">
                  <c:v>17.8</c:v>
                </c:pt>
                <c:pt idx="635">
                  <c:v>16.3</c:v>
                </c:pt>
                <c:pt idx="636">
                  <c:v>19.100000000000001</c:v>
                </c:pt>
                <c:pt idx="637">
                  <c:v>19.5</c:v>
                </c:pt>
                <c:pt idx="638">
                  <c:v>16.2</c:v>
                </c:pt>
                <c:pt idx="639">
                  <c:v>13.2</c:v>
                </c:pt>
                <c:pt idx="640">
                  <c:v>20.100000000000001</c:v>
                </c:pt>
                <c:pt idx="641">
                  <c:v>21.2</c:v>
                </c:pt>
                <c:pt idx="642">
                  <c:v>18.600000000000001</c:v>
                </c:pt>
                <c:pt idx="643">
                  <c:v>14.6</c:v>
                </c:pt>
                <c:pt idx="644">
                  <c:v>13.9</c:v>
                </c:pt>
                <c:pt idx="645">
                  <c:v>21.3</c:v>
                </c:pt>
                <c:pt idx="646">
                  <c:v>18.399999999999999</c:v>
                </c:pt>
                <c:pt idx="647">
                  <c:v>18.2</c:v>
                </c:pt>
                <c:pt idx="648">
                  <c:v>22.4</c:v>
                </c:pt>
                <c:pt idx="649">
                  <c:v>19.399999999999999</c:v>
                </c:pt>
                <c:pt idx="650">
                  <c:v>15.6</c:v>
                </c:pt>
                <c:pt idx="651">
                  <c:v>18.100000000000001</c:v>
                </c:pt>
                <c:pt idx="652">
                  <c:v>15.6</c:v>
                </c:pt>
                <c:pt idx="653">
                  <c:v>14.1</c:v>
                </c:pt>
                <c:pt idx="654">
                  <c:v>18.3</c:v>
                </c:pt>
                <c:pt idx="655">
                  <c:v>17.8</c:v>
                </c:pt>
                <c:pt idx="656">
                  <c:v>17.899999999999999</c:v>
                </c:pt>
                <c:pt idx="657">
                  <c:v>18.600000000000001</c:v>
                </c:pt>
                <c:pt idx="658">
                  <c:v>14.2</c:v>
                </c:pt>
                <c:pt idx="659">
                  <c:v>20.3</c:v>
                </c:pt>
                <c:pt idx="660">
                  <c:v>22.3</c:v>
                </c:pt>
                <c:pt idx="661">
                  <c:v>17.7</c:v>
                </c:pt>
                <c:pt idx="662">
                  <c:v>16.5</c:v>
                </c:pt>
                <c:pt idx="663">
                  <c:v>15.3</c:v>
                </c:pt>
                <c:pt idx="664">
                  <c:v>22.5</c:v>
                </c:pt>
                <c:pt idx="665">
                  <c:v>25.1</c:v>
                </c:pt>
                <c:pt idx="666">
                  <c:v>16.5</c:v>
                </c:pt>
                <c:pt idx="667">
                  <c:v>17.2</c:v>
                </c:pt>
                <c:pt idx="668">
                  <c:v>17.899999999999999</c:v>
                </c:pt>
                <c:pt idx="669">
                  <c:v>20.399999999999999</c:v>
                </c:pt>
                <c:pt idx="670">
                  <c:v>24.2</c:v>
                </c:pt>
                <c:pt idx="671">
                  <c:v>19.899999999999999</c:v>
                </c:pt>
                <c:pt idx="672">
                  <c:v>19.600000000000001</c:v>
                </c:pt>
                <c:pt idx="673">
                  <c:v>20</c:v>
                </c:pt>
                <c:pt idx="674">
                  <c:v>18.7</c:v>
                </c:pt>
                <c:pt idx="675">
                  <c:v>17</c:v>
                </c:pt>
                <c:pt idx="676">
                  <c:v>16.8</c:v>
                </c:pt>
                <c:pt idx="677">
                  <c:v>18.899999999999999</c:v>
                </c:pt>
                <c:pt idx="678">
                  <c:v>17.5</c:v>
                </c:pt>
                <c:pt idx="679">
                  <c:v>19.2</c:v>
                </c:pt>
                <c:pt idx="680">
                  <c:v>15.4</c:v>
                </c:pt>
                <c:pt idx="681">
                  <c:v>14.7</c:v>
                </c:pt>
                <c:pt idx="682">
                  <c:v>19.600000000000001</c:v>
                </c:pt>
                <c:pt idx="683">
                  <c:v>17.600000000000001</c:v>
                </c:pt>
                <c:pt idx="684">
                  <c:v>19.899999999999999</c:v>
                </c:pt>
                <c:pt idx="685">
                  <c:v>19.100000000000001</c:v>
                </c:pt>
                <c:pt idx="686">
                  <c:v>19.3</c:v>
                </c:pt>
                <c:pt idx="687">
                  <c:v>16.2</c:v>
                </c:pt>
                <c:pt idx="688">
                  <c:v>19.3</c:v>
                </c:pt>
                <c:pt idx="689">
                  <c:v>19.7</c:v>
                </c:pt>
                <c:pt idx="690">
                  <c:v>21.8</c:v>
                </c:pt>
                <c:pt idx="691">
                  <c:v>19.8</c:v>
                </c:pt>
                <c:pt idx="692">
                  <c:v>19.600000000000001</c:v>
                </c:pt>
                <c:pt idx="693">
                  <c:v>19.600000000000001</c:v>
                </c:pt>
                <c:pt idx="694">
                  <c:v>22.2</c:v>
                </c:pt>
                <c:pt idx="695">
                  <c:v>19.8</c:v>
                </c:pt>
                <c:pt idx="696">
                  <c:v>19.7</c:v>
                </c:pt>
                <c:pt idx="697">
                  <c:v>19.399999999999999</c:v>
                </c:pt>
                <c:pt idx="698">
                  <c:v>19.8</c:v>
                </c:pt>
                <c:pt idx="699">
                  <c:v>15.6</c:v>
                </c:pt>
                <c:pt idx="700">
                  <c:v>19</c:v>
                </c:pt>
                <c:pt idx="701">
                  <c:v>19.2</c:v>
                </c:pt>
                <c:pt idx="702">
                  <c:v>18.399999999999999</c:v>
                </c:pt>
                <c:pt idx="703">
                  <c:v>19.899999999999999</c:v>
                </c:pt>
                <c:pt idx="704">
                  <c:v>22.5</c:v>
                </c:pt>
                <c:pt idx="705">
                  <c:v>19.2</c:v>
                </c:pt>
                <c:pt idx="706">
                  <c:v>19.3</c:v>
                </c:pt>
                <c:pt idx="707">
                  <c:v>21.5</c:v>
                </c:pt>
                <c:pt idx="708">
                  <c:v>22</c:v>
                </c:pt>
                <c:pt idx="709">
                  <c:v>20.399999999999999</c:v>
                </c:pt>
                <c:pt idx="710">
                  <c:v>19.600000000000001</c:v>
                </c:pt>
                <c:pt idx="711">
                  <c:v>19.7</c:v>
                </c:pt>
                <c:pt idx="712">
                  <c:v>19.8</c:v>
                </c:pt>
                <c:pt idx="713">
                  <c:v>22.8</c:v>
                </c:pt>
                <c:pt idx="714">
                  <c:v>21.4</c:v>
                </c:pt>
                <c:pt idx="715">
                  <c:v>17.3</c:v>
                </c:pt>
                <c:pt idx="716">
                  <c:v>18.399999999999999</c:v>
                </c:pt>
                <c:pt idx="717">
                  <c:v>15.6</c:v>
                </c:pt>
                <c:pt idx="718">
                  <c:v>18.600000000000001</c:v>
                </c:pt>
                <c:pt idx="719">
                  <c:v>14.6</c:v>
                </c:pt>
                <c:pt idx="720">
                  <c:v>18.899999999999999</c:v>
                </c:pt>
                <c:pt idx="721">
                  <c:v>18.600000000000001</c:v>
                </c:pt>
                <c:pt idx="722">
                  <c:v>14.2</c:v>
                </c:pt>
                <c:pt idx="723">
                  <c:v>16.8</c:v>
                </c:pt>
                <c:pt idx="724">
                  <c:v>17.3</c:v>
                </c:pt>
                <c:pt idx="725">
                  <c:v>20.100000000000001</c:v>
                </c:pt>
                <c:pt idx="726">
                  <c:v>15.6</c:v>
                </c:pt>
                <c:pt idx="727">
                  <c:v>14.8</c:v>
                </c:pt>
                <c:pt idx="728">
                  <c:v>16.5</c:v>
                </c:pt>
                <c:pt idx="729">
                  <c:v>12.2</c:v>
                </c:pt>
                <c:pt idx="730">
                  <c:v>14.2</c:v>
                </c:pt>
                <c:pt idx="731">
                  <c:v>17</c:v>
                </c:pt>
                <c:pt idx="732">
                  <c:v>10.7</c:v>
                </c:pt>
                <c:pt idx="733">
                  <c:v>14.9</c:v>
                </c:pt>
                <c:pt idx="734">
                  <c:v>14.6</c:v>
                </c:pt>
                <c:pt idx="735">
                  <c:v>13.6</c:v>
                </c:pt>
                <c:pt idx="736">
                  <c:v>20.6</c:v>
                </c:pt>
                <c:pt idx="737">
                  <c:v>12.5</c:v>
                </c:pt>
                <c:pt idx="738">
                  <c:v>11.1</c:v>
                </c:pt>
                <c:pt idx="739">
                  <c:v>17.7</c:v>
                </c:pt>
                <c:pt idx="740">
                  <c:v>12.3</c:v>
                </c:pt>
                <c:pt idx="741">
                  <c:v>20.100000000000001</c:v>
                </c:pt>
                <c:pt idx="742">
                  <c:v>21.9</c:v>
                </c:pt>
                <c:pt idx="743">
                  <c:v>13.9</c:v>
                </c:pt>
                <c:pt idx="744">
                  <c:v>18</c:v>
                </c:pt>
                <c:pt idx="745">
                  <c:v>17.2</c:v>
                </c:pt>
                <c:pt idx="746">
                  <c:v>14.7</c:v>
                </c:pt>
                <c:pt idx="747">
                  <c:v>19.100000000000001</c:v>
                </c:pt>
                <c:pt idx="748">
                  <c:v>18.399999999999999</c:v>
                </c:pt>
                <c:pt idx="749">
                  <c:v>20.6</c:v>
                </c:pt>
                <c:pt idx="750">
                  <c:v>18.7</c:v>
                </c:pt>
                <c:pt idx="751">
                  <c:v>18.2</c:v>
                </c:pt>
                <c:pt idx="752">
                  <c:v>17.399999999999999</c:v>
                </c:pt>
                <c:pt idx="753">
                  <c:v>12.6</c:v>
                </c:pt>
                <c:pt idx="754">
                  <c:v>19.899999999999999</c:v>
                </c:pt>
                <c:pt idx="755">
                  <c:v>17.8</c:v>
                </c:pt>
                <c:pt idx="756">
                  <c:v>11.4</c:v>
                </c:pt>
                <c:pt idx="757">
                  <c:v>20</c:v>
                </c:pt>
                <c:pt idx="758">
                  <c:v>20.2</c:v>
                </c:pt>
                <c:pt idx="759">
                  <c:v>22.4</c:v>
                </c:pt>
                <c:pt idx="760">
                  <c:v>17.600000000000001</c:v>
                </c:pt>
                <c:pt idx="761">
                  <c:v>12.9</c:v>
                </c:pt>
                <c:pt idx="762">
                  <c:v>19.100000000000001</c:v>
                </c:pt>
                <c:pt idx="763">
                  <c:v>20.5</c:v>
                </c:pt>
                <c:pt idx="764">
                  <c:v>17.7</c:v>
                </c:pt>
                <c:pt idx="765">
                  <c:v>19.600000000000001</c:v>
                </c:pt>
                <c:pt idx="766">
                  <c:v>20.8</c:v>
                </c:pt>
                <c:pt idx="767">
                  <c:v>18.2</c:v>
                </c:pt>
                <c:pt idx="768">
                  <c:v>17.8</c:v>
                </c:pt>
                <c:pt idx="769">
                  <c:v>21.9</c:v>
                </c:pt>
                <c:pt idx="770">
                  <c:v>20.6</c:v>
                </c:pt>
                <c:pt idx="771">
                  <c:v>19.7</c:v>
                </c:pt>
                <c:pt idx="772">
                  <c:v>19.399999999999999</c:v>
                </c:pt>
                <c:pt idx="773">
                  <c:v>20.2</c:v>
                </c:pt>
                <c:pt idx="774">
                  <c:v>19.3</c:v>
                </c:pt>
                <c:pt idx="775">
                  <c:v>19.7</c:v>
                </c:pt>
                <c:pt idx="776">
                  <c:v>18.600000000000001</c:v>
                </c:pt>
                <c:pt idx="777">
                  <c:v>18</c:v>
                </c:pt>
                <c:pt idx="778">
                  <c:v>20.7</c:v>
                </c:pt>
                <c:pt idx="779">
                  <c:v>21.3</c:v>
                </c:pt>
                <c:pt idx="780">
                  <c:v>17.2</c:v>
                </c:pt>
                <c:pt idx="781">
                  <c:v>22</c:v>
                </c:pt>
                <c:pt idx="782">
                  <c:v>21.4</c:v>
                </c:pt>
                <c:pt idx="783">
                  <c:v>17.5</c:v>
                </c:pt>
                <c:pt idx="784">
                  <c:v>16.8</c:v>
                </c:pt>
                <c:pt idx="785">
                  <c:v>19.8</c:v>
                </c:pt>
                <c:pt idx="786">
                  <c:v>17.2</c:v>
                </c:pt>
                <c:pt idx="787">
                  <c:v>17.5</c:v>
                </c:pt>
                <c:pt idx="788">
                  <c:v>13.2</c:v>
                </c:pt>
                <c:pt idx="789">
                  <c:v>21.2</c:v>
                </c:pt>
                <c:pt idx="790">
                  <c:v>20.8</c:v>
                </c:pt>
                <c:pt idx="791">
                  <c:v>17.8</c:v>
                </c:pt>
                <c:pt idx="792">
                  <c:v>23.3</c:v>
                </c:pt>
                <c:pt idx="793">
                  <c:v>18.600000000000001</c:v>
                </c:pt>
                <c:pt idx="794">
                  <c:v>20.7</c:v>
                </c:pt>
                <c:pt idx="795">
                  <c:v>20.9</c:v>
                </c:pt>
                <c:pt idx="796">
                  <c:v>20.9</c:v>
                </c:pt>
                <c:pt idx="797">
                  <c:v>20.399999999999999</c:v>
                </c:pt>
                <c:pt idx="798">
                  <c:v>18.8</c:v>
                </c:pt>
                <c:pt idx="799">
                  <c:v>15.4</c:v>
                </c:pt>
                <c:pt idx="800">
                  <c:v>17.899999999999999</c:v>
                </c:pt>
                <c:pt idx="801">
                  <c:v>17.899999999999999</c:v>
                </c:pt>
                <c:pt idx="802">
                  <c:v>23.6</c:v>
                </c:pt>
                <c:pt idx="803">
                  <c:v>17.600000000000001</c:v>
                </c:pt>
                <c:pt idx="804">
                  <c:v>17.600000000000001</c:v>
                </c:pt>
                <c:pt idx="805">
                  <c:v>17.600000000000001</c:v>
                </c:pt>
                <c:pt idx="806">
                  <c:v>17.600000000000001</c:v>
                </c:pt>
                <c:pt idx="807">
                  <c:v>22</c:v>
                </c:pt>
                <c:pt idx="808">
                  <c:v>16.899999999999999</c:v>
                </c:pt>
                <c:pt idx="809">
                  <c:v>20.100000000000001</c:v>
                </c:pt>
                <c:pt idx="810">
                  <c:v>13.2</c:v>
                </c:pt>
                <c:pt idx="811">
                  <c:v>16.100000000000001</c:v>
                </c:pt>
                <c:pt idx="812">
                  <c:v>19.7</c:v>
                </c:pt>
                <c:pt idx="813">
                  <c:v>18.600000000000001</c:v>
                </c:pt>
                <c:pt idx="814">
                  <c:v>16.899999999999999</c:v>
                </c:pt>
                <c:pt idx="815">
                  <c:v>18.3</c:v>
                </c:pt>
                <c:pt idx="816">
                  <c:v>11.9</c:v>
                </c:pt>
                <c:pt idx="817">
                  <c:v>19.7</c:v>
                </c:pt>
                <c:pt idx="818">
                  <c:v>20.9</c:v>
                </c:pt>
                <c:pt idx="819">
                  <c:v>16.3</c:v>
                </c:pt>
                <c:pt idx="820">
                  <c:v>19.600000000000001</c:v>
                </c:pt>
                <c:pt idx="821">
                  <c:v>15</c:v>
                </c:pt>
                <c:pt idx="822">
                  <c:v>16.600000000000001</c:v>
                </c:pt>
                <c:pt idx="823">
                  <c:v>19.7</c:v>
                </c:pt>
                <c:pt idx="824">
                  <c:v>23.2</c:v>
                </c:pt>
                <c:pt idx="825">
                  <c:v>18</c:v>
                </c:pt>
                <c:pt idx="826">
                  <c:v>15.1</c:v>
                </c:pt>
                <c:pt idx="827">
                  <c:v>21.1</c:v>
                </c:pt>
                <c:pt idx="828">
                  <c:v>18.899999999999999</c:v>
                </c:pt>
                <c:pt idx="829">
                  <c:v>18.899999999999999</c:v>
                </c:pt>
                <c:pt idx="830">
                  <c:v>22</c:v>
                </c:pt>
                <c:pt idx="831">
                  <c:v>13.4</c:v>
                </c:pt>
                <c:pt idx="832">
                  <c:v>19.600000000000001</c:v>
                </c:pt>
                <c:pt idx="833">
                  <c:v>17.8</c:v>
                </c:pt>
                <c:pt idx="834">
                  <c:v>16.2</c:v>
                </c:pt>
                <c:pt idx="835">
                  <c:v>12.7</c:v>
                </c:pt>
                <c:pt idx="836">
                  <c:v>16.100000000000001</c:v>
                </c:pt>
                <c:pt idx="837">
                  <c:v>17</c:v>
                </c:pt>
                <c:pt idx="838">
                  <c:v>19.399999999999999</c:v>
                </c:pt>
                <c:pt idx="839">
                  <c:v>16.600000000000001</c:v>
                </c:pt>
                <c:pt idx="840">
                  <c:v>19.399999999999999</c:v>
                </c:pt>
                <c:pt idx="841">
                  <c:v>18.2</c:v>
                </c:pt>
                <c:pt idx="842">
                  <c:v>19</c:v>
                </c:pt>
                <c:pt idx="843">
                  <c:v>17.399999999999999</c:v>
                </c:pt>
                <c:pt idx="844">
                  <c:v>18.100000000000001</c:v>
                </c:pt>
                <c:pt idx="845">
                  <c:v>23.5</c:v>
                </c:pt>
                <c:pt idx="846">
                  <c:v>20.3</c:v>
                </c:pt>
                <c:pt idx="847">
                  <c:v>15.4</c:v>
                </c:pt>
                <c:pt idx="848">
                  <c:v>18.3</c:v>
                </c:pt>
                <c:pt idx="849">
                  <c:v>17.600000000000001</c:v>
                </c:pt>
                <c:pt idx="850">
                  <c:v>21.8</c:v>
                </c:pt>
                <c:pt idx="851">
                  <c:v>21.5</c:v>
                </c:pt>
                <c:pt idx="852">
                  <c:v>14.2</c:v>
                </c:pt>
                <c:pt idx="853">
                  <c:v>19.5</c:v>
                </c:pt>
                <c:pt idx="854">
                  <c:v>18.100000000000001</c:v>
                </c:pt>
                <c:pt idx="855">
                  <c:v>22.6</c:v>
                </c:pt>
                <c:pt idx="856">
                  <c:v>17.399999999999999</c:v>
                </c:pt>
                <c:pt idx="857">
                  <c:v>18.7</c:v>
                </c:pt>
                <c:pt idx="858">
                  <c:v>18.7</c:v>
                </c:pt>
                <c:pt idx="859">
                  <c:v>17.2</c:v>
                </c:pt>
                <c:pt idx="860">
                  <c:v>14.6</c:v>
                </c:pt>
                <c:pt idx="861">
                  <c:v>12.2</c:v>
                </c:pt>
                <c:pt idx="862">
                  <c:v>18.7</c:v>
                </c:pt>
                <c:pt idx="863">
                  <c:v>18.7</c:v>
                </c:pt>
                <c:pt idx="864">
                  <c:v>17.600000000000001</c:v>
                </c:pt>
                <c:pt idx="865">
                  <c:v>15.8</c:v>
                </c:pt>
                <c:pt idx="866">
                  <c:v>17.600000000000001</c:v>
                </c:pt>
                <c:pt idx="867">
                  <c:v>20.2</c:v>
                </c:pt>
                <c:pt idx="868">
                  <c:v>19.7</c:v>
                </c:pt>
                <c:pt idx="869">
                  <c:v>19.5</c:v>
                </c:pt>
                <c:pt idx="870">
                  <c:v>21.4</c:v>
                </c:pt>
                <c:pt idx="871">
                  <c:v>13.9</c:v>
                </c:pt>
                <c:pt idx="872">
                  <c:v>20.8</c:v>
                </c:pt>
                <c:pt idx="873">
                  <c:v>13.2</c:v>
                </c:pt>
                <c:pt idx="874">
                  <c:v>21.5</c:v>
                </c:pt>
                <c:pt idx="875">
                  <c:v>21.5</c:v>
                </c:pt>
                <c:pt idx="876">
                  <c:v>22.2</c:v>
                </c:pt>
                <c:pt idx="877">
                  <c:v>17.2</c:v>
                </c:pt>
                <c:pt idx="878">
                  <c:v>20.6</c:v>
                </c:pt>
                <c:pt idx="879">
                  <c:v>20.5</c:v>
                </c:pt>
                <c:pt idx="880">
                  <c:v>23.2</c:v>
                </c:pt>
                <c:pt idx="881">
                  <c:v>19.2</c:v>
                </c:pt>
                <c:pt idx="882">
                  <c:v>21.4</c:v>
                </c:pt>
                <c:pt idx="883">
                  <c:v>22.3</c:v>
                </c:pt>
                <c:pt idx="884">
                  <c:v>14.2</c:v>
                </c:pt>
                <c:pt idx="885">
                  <c:v>12.2</c:v>
                </c:pt>
                <c:pt idx="886">
                  <c:v>18.7</c:v>
                </c:pt>
                <c:pt idx="887">
                  <c:v>16.899999999999999</c:v>
                </c:pt>
                <c:pt idx="888">
                  <c:v>19.2</c:v>
                </c:pt>
                <c:pt idx="889">
                  <c:v>20.2</c:v>
                </c:pt>
                <c:pt idx="890">
                  <c:v>18.5</c:v>
                </c:pt>
                <c:pt idx="891">
                  <c:v>20.5</c:v>
                </c:pt>
                <c:pt idx="892">
                  <c:v>19.2</c:v>
                </c:pt>
                <c:pt idx="893">
                  <c:v>19.2</c:v>
                </c:pt>
                <c:pt idx="894">
                  <c:v>17.100000000000001</c:v>
                </c:pt>
                <c:pt idx="895">
                  <c:v>21.8</c:v>
                </c:pt>
                <c:pt idx="896">
                  <c:v>23.4</c:v>
                </c:pt>
                <c:pt idx="897">
                  <c:v>17.2</c:v>
                </c:pt>
                <c:pt idx="898">
                  <c:v>19.2</c:v>
                </c:pt>
                <c:pt idx="899">
                  <c:v>15.4</c:v>
                </c:pt>
                <c:pt idx="900">
                  <c:v>11.1</c:v>
                </c:pt>
                <c:pt idx="901">
                  <c:v>16.8</c:v>
                </c:pt>
                <c:pt idx="902">
                  <c:v>18.899999999999999</c:v>
                </c:pt>
                <c:pt idx="903">
                  <c:v>19.7</c:v>
                </c:pt>
                <c:pt idx="904">
                  <c:v>18.7</c:v>
                </c:pt>
                <c:pt idx="905">
                  <c:v>14.1</c:v>
                </c:pt>
                <c:pt idx="906">
                  <c:v>18.7</c:v>
                </c:pt>
                <c:pt idx="907">
                  <c:v>19.899999999999999</c:v>
                </c:pt>
                <c:pt idx="908">
                  <c:v>18.7</c:v>
                </c:pt>
                <c:pt idx="909">
                  <c:v>14.6</c:v>
                </c:pt>
                <c:pt idx="910">
                  <c:v>19.899999999999999</c:v>
                </c:pt>
                <c:pt idx="911">
                  <c:v>20.2</c:v>
                </c:pt>
                <c:pt idx="912">
                  <c:v>20</c:v>
                </c:pt>
                <c:pt idx="913">
                  <c:v>17.2</c:v>
                </c:pt>
                <c:pt idx="914">
                  <c:v>20.2</c:v>
                </c:pt>
                <c:pt idx="915">
                  <c:v>19</c:v>
                </c:pt>
                <c:pt idx="916">
                  <c:v>18.7</c:v>
                </c:pt>
                <c:pt idx="917">
                  <c:v>17.899999999999999</c:v>
                </c:pt>
                <c:pt idx="918">
                  <c:v>17.2</c:v>
                </c:pt>
                <c:pt idx="919">
                  <c:v>19.7</c:v>
                </c:pt>
                <c:pt idx="920">
                  <c:v>16.600000000000001</c:v>
                </c:pt>
                <c:pt idx="921">
                  <c:v>18.5</c:v>
                </c:pt>
                <c:pt idx="922">
                  <c:v>17.899999999999999</c:v>
                </c:pt>
                <c:pt idx="923">
                  <c:v>18.3</c:v>
                </c:pt>
                <c:pt idx="924">
                  <c:v>18.7</c:v>
                </c:pt>
                <c:pt idx="925">
                  <c:v>19.5</c:v>
                </c:pt>
                <c:pt idx="926">
                  <c:v>18.5</c:v>
                </c:pt>
                <c:pt idx="927">
                  <c:v>19.3</c:v>
                </c:pt>
                <c:pt idx="928">
                  <c:v>15.6</c:v>
                </c:pt>
                <c:pt idx="929">
                  <c:v>18.8</c:v>
                </c:pt>
                <c:pt idx="930">
                  <c:v>24.4</c:v>
                </c:pt>
                <c:pt idx="931">
                  <c:v>18.2</c:v>
                </c:pt>
                <c:pt idx="932">
                  <c:v>18.899999999999999</c:v>
                </c:pt>
                <c:pt idx="933">
                  <c:v>21.8</c:v>
                </c:pt>
                <c:pt idx="934">
                  <c:v>19.600000000000001</c:v>
                </c:pt>
                <c:pt idx="935">
                  <c:v>12.4</c:v>
                </c:pt>
                <c:pt idx="936">
                  <c:v>14.9</c:v>
                </c:pt>
                <c:pt idx="937">
                  <c:v>21.6</c:v>
                </c:pt>
                <c:pt idx="938">
                  <c:v>15.5</c:v>
                </c:pt>
                <c:pt idx="939">
                  <c:v>19.899999999999999</c:v>
                </c:pt>
                <c:pt idx="940">
                  <c:v>23.2</c:v>
                </c:pt>
                <c:pt idx="941">
                  <c:v>20.8</c:v>
                </c:pt>
                <c:pt idx="942">
                  <c:v>19.399999999999999</c:v>
                </c:pt>
                <c:pt idx="943">
                  <c:v>23</c:v>
                </c:pt>
                <c:pt idx="944">
                  <c:v>19.7</c:v>
                </c:pt>
                <c:pt idx="945">
                  <c:v>17.399999999999999</c:v>
                </c:pt>
                <c:pt idx="946">
                  <c:v>16.2</c:v>
                </c:pt>
                <c:pt idx="947">
                  <c:v>21.3</c:v>
                </c:pt>
                <c:pt idx="948">
                  <c:v>15.8</c:v>
                </c:pt>
                <c:pt idx="949">
                  <c:v>20.3</c:v>
                </c:pt>
                <c:pt idx="950">
                  <c:v>13.4</c:v>
                </c:pt>
                <c:pt idx="951">
                  <c:v>16.5</c:v>
                </c:pt>
                <c:pt idx="952">
                  <c:v>12.9</c:v>
                </c:pt>
                <c:pt idx="953">
                  <c:v>15.8</c:v>
                </c:pt>
                <c:pt idx="954">
                  <c:v>18.100000000000001</c:v>
                </c:pt>
                <c:pt idx="955">
                  <c:v>18.3</c:v>
                </c:pt>
                <c:pt idx="956">
                  <c:v>20.2</c:v>
                </c:pt>
                <c:pt idx="957">
                  <c:v>15.4</c:v>
                </c:pt>
                <c:pt idx="958">
                  <c:v>21.6</c:v>
                </c:pt>
                <c:pt idx="959">
                  <c:v>17.5</c:v>
                </c:pt>
                <c:pt idx="960">
                  <c:v>19.600000000000001</c:v>
                </c:pt>
                <c:pt idx="961">
                  <c:v>21.6</c:v>
                </c:pt>
                <c:pt idx="962">
                  <c:v>17.8</c:v>
                </c:pt>
                <c:pt idx="963">
                  <c:v>14.2</c:v>
                </c:pt>
                <c:pt idx="964">
                  <c:v>19.2</c:v>
                </c:pt>
                <c:pt idx="965">
                  <c:v>19.8</c:v>
                </c:pt>
                <c:pt idx="966">
                  <c:v>21.2</c:v>
                </c:pt>
                <c:pt idx="967">
                  <c:v>19.7</c:v>
                </c:pt>
                <c:pt idx="968">
                  <c:v>15.6</c:v>
                </c:pt>
                <c:pt idx="969">
                  <c:v>18.5</c:v>
                </c:pt>
                <c:pt idx="970">
                  <c:v>22.8</c:v>
                </c:pt>
                <c:pt idx="971">
                  <c:v>15.2</c:v>
                </c:pt>
                <c:pt idx="972">
                  <c:v>11.8</c:v>
                </c:pt>
                <c:pt idx="973">
                  <c:v>15.9</c:v>
                </c:pt>
                <c:pt idx="974">
                  <c:v>13.2</c:v>
                </c:pt>
                <c:pt idx="975">
                  <c:v>20</c:v>
                </c:pt>
                <c:pt idx="976">
                  <c:v>16.2</c:v>
                </c:pt>
                <c:pt idx="977">
                  <c:v>13.3</c:v>
                </c:pt>
                <c:pt idx="978">
                  <c:v>16.7</c:v>
                </c:pt>
                <c:pt idx="979">
                  <c:v>16.5</c:v>
                </c:pt>
                <c:pt idx="980">
                  <c:v>19.7</c:v>
                </c:pt>
                <c:pt idx="981">
                  <c:v>18.899999999999999</c:v>
                </c:pt>
                <c:pt idx="982">
                  <c:v>19.5</c:v>
                </c:pt>
                <c:pt idx="983">
                  <c:v>17.7</c:v>
                </c:pt>
                <c:pt idx="984">
                  <c:v>18.600000000000001</c:v>
                </c:pt>
                <c:pt idx="985">
                  <c:v>18.399999999999999</c:v>
                </c:pt>
                <c:pt idx="986">
                  <c:v>17.399999999999999</c:v>
                </c:pt>
                <c:pt idx="987">
                  <c:v>20.2</c:v>
                </c:pt>
                <c:pt idx="988">
                  <c:v>14.6</c:v>
                </c:pt>
                <c:pt idx="989">
                  <c:v>20.5</c:v>
                </c:pt>
                <c:pt idx="990">
                  <c:v>19.8</c:v>
                </c:pt>
                <c:pt idx="991">
                  <c:v>20.5</c:v>
                </c:pt>
                <c:pt idx="992">
                  <c:v>19.2</c:v>
                </c:pt>
                <c:pt idx="993">
                  <c:v>11.1</c:v>
                </c:pt>
                <c:pt idx="994">
                  <c:v>11.1</c:v>
                </c:pt>
                <c:pt idx="995">
                  <c:v>11.1</c:v>
                </c:pt>
                <c:pt idx="996">
                  <c:v>11.1</c:v>
                </c:pt>
                <c:pt idx="997">
                  <c:v>18.2</c:v>
                </c:pt>
                <c:pt idx="998">
                  <c:v>19.8</c:v>
                </c:pt>
                <c:pt idx="999">
                  <c:v>16.600000000000001</c:v>
                </c:pt>
                <c:pt idx="1000">
                  <c:v>14.2</c:v>
                </c:pt>
                <c:pt idx="1001">
                  <c:v>15.3</c:v>
                </c:pt>
                <c:pt idx="1002">
                  <c:v>17.600000000000001</c:v>
                </c:pt>
                <c:pt idx="1003">
                  <c:v>21.4</c:v>
                </c:pt>
                <c:pt idx="1004">
                  <c:v>19.600000000000001</c:v>
                </c:pt>
                <c:pt idx="1005">
                  <c:v>17.899999999999999</c:v>
                </c:pt>
                <c:pt idx="1006">
                  <c:v>19.2</c:v>
                </c:pt>
                <c:pt idx="1007">
                  <c:v>17.2</c:v>
                </c:pt>
                <c:pt idx="1008">
                  <c:v>18.899999999999999</c:v>
                </c:pt>
                <c:pt idx="1009">
                  <c:v>21.6</c:v>
                </c:pt>
                <c:pt idx="1010">
                  <c:v>21.7</c:v>
                </c:pt>
                <c:pt idx="1011">
                  <c:v>19.600000000000001</c:v>
                </c:pt>
                <c:pt idx="1012">
                  <c:v>20.3</c:v>
                </c:pt>
                <c:pt idx="1013">
                  <c:v>19.7</c:v>
                </c:pt>
                <c:pt idx="1014">
                  <c:v>16</c:v>
                </c:pt>
                <c:pt idx="1015">
                  <c:v>20.7</c:v>
                </c:pt>
                <c:pt idx="1016">
                  <c:v>18.899999999999999</c:v>
                </c:pt>
                <c:pt idx="1017">
                  <c:v>19.399999999999999</c:v>
                </c:pt>
                <c:pt idx="1018">
                  <c:v>16.7</c:v>
                </c:pt>
                <c:pt idx="1019">
                  <c:v>19.600000000000001</c:v>
                </c:pt>
                <c:pt idx="1020">
                  <c:v>19.3</c:v>
                </c:pt>
                <c:pt idx="1021">
                  <c:v>21.3</c:v>
                </c:pt>
                <c:pt idx="1022">
                  <c:v>17.2</c:v>
                </c:pt>
                <c:pt idx="1023">
                  <c:v>18.2</c:v>
                </c:pt>
                <c:pt idx="1024">
                  <c:v>16.5</c:v>
                </c:pt>
                <c:pt idx="1025">
                  <c:v>19.100000000000001</c:v>
                </c:pt>
                <c:pt idx="1026">
                  <c:v>19.5</c:v>
                </c:pt>
                <c:pt idx="1027">
                  <c:v>20.6</c:v>
                </c:pt>
                <c:pt idx="1028">
                  <c:v>15.5</c:v>
                </c:pt>
                <c:pt idx="1029">
                  <c:v>15.6</c:v>
                </c:pt>
                <c:pt idx="1030">
                  <c:v>15.7</c:v>
                </c:pt>
                <c:pt idx="1031">
                  <c:v>13.5</c:v>
                </c:pt>
                <c:pt idx="1032">
                  <c:v>17.3</c:v>
                </c:pt>
                <c:pt idx="1033">
                  <c:v>18.399999999999999</c:v>
                </c:pt>
                <c:pt idx="1034">
                  <c:v>15.3</c:v>
                </c:pt>
                <c:pt idx="1035">
                  <c:v>14.9</c:v>
                </c:pt>
                <c:pt idx="1036">
                  <c:v>17.8</c:v>
                </c:pt>
                <c:pt idx="1037">
                  <c:v>15.8</c:v>
                </c:pt>
                <c:pt idx="1038">
                  <c:v>19</c:v>
                </c:pt>
                <c:pt idx="1039">
                  <c:v>15.4</c:v>
                </c:pt>
                <c:pt idx="1040">
                  <c:v>14.7</c:v>
                </c:pt>
                <c:pt idx="1041">
                  <c:v>19.8</c:v>
                </c:pt>
                <c:pt idx="1042">
                  <c:v>17.399999999999999</c:v>
                </c:pt>
                <c:pt idx="1043">
                  <c:v>19</c:v>
                </c:pt>
                <c:pt idx="1044">
                  <c:v>14.1</c:v>
                </c:pt>
                <c:pt idx="1045">
                  <c:v>15.2</c:v>
                </c:pt>
                <c:pt idx="1046">
                  <c:v>16.2</c:v>
                </c:pt>
                <c:pt idx="1047">
                  <c:v>18</c:v>
                </c:pt>
                <c:pt idx="1048">
                  <c:v>19.100000000000001</c:v>
                </c:pt>
                <c:pt idx="1049">
                  <c:v>15.6</c:v>
                </c:pt>
                <c:pt idx="1050">
                  <c:v>14.5</c:v>
                </c:pt>
                <c:pt idx="1051">
                  <c:v>18</c:v>
                </c:pt>
                <c:pt idx="1052">
                  <c:v>17.2</c:v>
                </c:pt>
                <c:pt idx="1053">
                  <c:v>16.600000000000001</c:v>
                </c:pt>
                <c:pt idx="1054">
                  <c:v>12.6</c:v>
                </c:pt>
                <c:pt idx="1055">
                  <c:v>20.6</c:v>
                </c:pt>
                <c:pt idx="1056">
                  <c:v>22.6</c:v>
                </c:pt>
                <c:pt idx="1057">
                  <c:v>20.3</c:v>
                </c:pt>
                <c:pt idx="1058">
                  <c:v>19.399999999999999</c:v>
                </c:pt>
                <c:pt idx="1059">
                  <c:v>18.7</c:v>
                </c:pt>
                <c:pt idx="1060">
                  <c:v>19.7</c:v>
                </c:pt>
                <c:pt idx="1061">
                  <c:v>17.7</c:v>
                </c:pt>
                <c:pt idx="1062">
                  <c:v>20.100000000000001</c:v>
                </c:pt>
                <c:pt idx="1063">
                  <c:v>17.899999999999999</c:v>
                </c:pt>
                <c:pt idx="1064">
                  <c:v>17.2</c:v>
                </c:pt>
                <c:pt idx="1065">
                  <c:v>18.600000000000001</c:v>
                </c:pt>
                <c:pt idx="1066">
                  <c:v>19.5</c:v>
                </c:pt>
                <c:pt idx="1067">
                  <c:v>15.5</c:v>
                </c:pt>
                <c:pt idx="1068">
                  <c:v>17.100000000000001</c:v>
                </c:pt>
                <c:pt idx="1069">
                  <c:v>13.3</c:v>
                </c:pt>
                <c:pt idx="1070">
                  <c:v>17.5</c:v>
                </c:pt>
                <c:pt idx="1071">
                  <c:v>16.3</c:v>
                </c:pt>
                <c:pt idx="1072">
                  <c:v>16.100000000000001</c:v>
                </c:pt>
                <c:pt idx="1073">
                  <c:v>22.5</c:v>
                </c:pt>
                <c:pt idx="1074">
                  <c:v>18.3</c:v>
                </c:pt>
                <c:pt idx="1075">
                  <c:v>14.8</c:v>
                </c:pt>
                <c:pt idx="1076">
                  <c:v>15.6</c:v>
                </c:pt>
                <c:pt idx="1077">
                  <c:v>18.5</c:v>
                </c:pt>
                <c:pt idx="1078">
                  <c:v>17.399999999999999</c:v>
                </c:pt>
                <c:pt idx="1079">
                  <c:v>21.4</c:v>
                </c:pt>
                <c:pt idx="1080">
                  <c:v>19.899999999999999</c:v>
                </c:pt>
                <c:pt idx="1081">
                  <c:v>15.3</c:v>
                </c:pt>
                <c:pt idx="1082">
                  <c:v>18.3</c:v>
                </c:pt>
                <c:pt idx="1083">
                  <c:v>11.4</c:v>
                </c:pt>
                <c:pt idx="1084">
                  <c:v>21.3</c:v>
                </c:pt>
                <c:pt idx="1085">
                  <c:v>19.899999999999999</c:v>
                </c:pt>
                <c:pt idx="1086">
                  <c:v>16.899999999999999</c:v>
                </c:pt>
                <c:pt idx="1087">
                  <c:v>20</c:v>
                </c:pt>
                <c:pt idx="1088">
                  <c:v>18.3</c:v>
                </c:pt>
                <c:pt idx="1089">
                  <c:v>18.899999999999999</c:v>
                </c:pt>
                <c:pt idx="1090">
                  <c:v>18.5</c:v>
                </c:pt>
                <c:pt idx="1091">
                  <c:v>21.6</c:v>
                </c:pt>
                <c:pt idx="1092">
                  <c:v>15.6</c:v>
                </c:pt>
                <c:pt idx="1093">
                  <c:v>22.6</c:v>
                </c:pt>
                <c:pt idx="1094">
                  <c:v>20.7</c:v>
                </c:pt>
                <c:pt idx="1095">
                  <c:v>20.7</c:v>
                </c:pt>
                <c:pt idx="1096">
                  <c:v>14.5</c:v>
                </c:pt>
                <c:pt idx="1097">
                  <c:v>19.5</c:v>
                </c:pt>
                <c:pt idx="1098">
                  <c:v>14.7</c:v>
                </c:pt>
                <c:pt idx="1099">
                  <c:v>12.4</c:v>
                </c:pt>
                <c:pt idx="1100">
                  <c:v>17.2</c:v>
                </c:pt>
                <c:pt idx="1101">
                  <c:v>19</c:v>
                </c:pt>
                <c:pt idx="1102">
                  <c:v>18.600000000000001</c:v>
                </c:pt>
                <c:pt idx="1103">
                  <c:v>13.3</c:v>
                </c:pt>
                <c:pt idx="1104">
                  <c:v>19.8</c:v>
                </c:pt>
                <c:pt idx="1105">
                  <c:v>20.8</c:v>
                </c:pt>
                <c:pt idx="1106">
                  <c:v>19.8</c:v>
                </c:pt>
                <c:pt idx="1107">
                  <c:v>15.4</c:v>
                </c:pt>
                <c:pt idx="1108">
                  <c:v>16.8</c:v>
                </c:pt>
                <c:pt idx="1109">
                  <c:v>18.5</c:v>
                </c:pt>
                <c:pt idx="1110">
                  <c:v>18.600000000000001</c:v>
                </c:pt>
                <c:pt idx="1111">
                  <c:v>12.7</c:v>
                </c:pt>
                <c:pt idx="1112">
                  <c:v>20.399999999999999</c:v>
                </c:pt>
                <c:pt idx="1113">
                  <c:v>18.8</c:v>
                </c:pt>
                <c:pt idx="1114">
                  <c:v>14.3</c:v>
                </c:pt>
                <c:pt idx="1115">
                  <c:v>18.2</c:v>
                </c:pt>
                <c:pt idx="1116">
                  <c:v>20.7</c:v>
                </c:pt>
                <c:pt idx="1117">
                  <c:v>16.600000000000001</c:v>
                </c:pt>
                <c:pt idx="1118">
                  <c:v>14.7</c:v>
                </c:pt>
                <c:pt idx="1119">
                  <c:v>20.2</c:v>
                </c:pt>
                <c:pt idx="1120">
                  <c:v>21.3</c:v>
                </c:pt>
                <c:pt idx="1121">
                  <c:v>21.5</c:v>
                </c:pt>
                <c:pt idx="1122">
                  <c:v>19.600000000000001</c:v>
                </c:pt>
                <c:pt idx="1123">
                  <c:v>18.8</c:v>
                </c:pt>
                <c:pt idx="1124">
                  <c:v>20.7</c:v>
                </c:pt>
                <c:pt idx="1125">
                  <c:v>21.6</c:v>
                </c:pt>
                <c:pt idx="1126">
                  <c:v>17.899999999999999</c:v>
                </c:pt>
                <c:pt idx="1127">
                  <c:v>23.5</c:v>
                </c:pt>
                <c:pt idx="1128">
                  <c:v>17.8</c:v>
                </c:pt>
                <c:pt idx="1129">
                  <c:v>17.3</c:v>
                </c:pt>
                <c:pt idx="1130">
                  <c:v>16.399999999999999</c:v>
                </c:pt>
                <c:pt idx="1131">
                  <c:v>18.600000000000001</c:v>
                </c:pt>
                <c:pt idx="1132">
                  <c:v>22.6</c:v>
                </c:pt>
                <c:pt idx="1133">
                  <c:v>18.399999999999999</c:v>
                </c:pt>
                <c:pt idx="1134">
                  <c:v>20.8</c:v>
                </c:pt>
                <c:pt idx="1135">
                  <c:v>17.8</c:v>
                </c:pt>
                <c:pt idx="1136">
                  <c:v>16.8</c:v>
                </c:pt>
                <c:pt idx="1137">
                  <c:v>15.6</c:v>
                </c:pt>
                <c:pt idx="1138">
                  <c:v>18.399999999999999</c:v>
                </c:pt>
                <c:pt idx="1139">
                  <c:v>12.4</c:v>
                </c:pt>
                <c:pt idx="1140">
                  <c:v>19.3</c:v>
                </c:pt>
                <c:pt idx="1141">
                  <c:v>15.9</c:v>
                </c:pt>
                <c:pt idx="1142">
                  <c:v>17.899999999999999</c:v>
                </c:pt>
                <c:pt idx="1143">
                  <c:v>12.5</c:v>
                </c:pt>
                <c:pt idx="1144">
                  <c:v>19.3</c:v>
                </c:pt>
                <c:pt idx="1145">
                  <c:v>16.100000000000001</c:v>
                </c:pt>
                <c:pt idx="1146">
                  <c:v>16.2</c:v>
                </c:pt>
                <c:pt idx="1147">
                  <c:v>13.6</c:v>
                </c:pt>
                <c:pt idx="1148">
                  <c:v>20.2</c:v>
                </c:pt>
                <c:pt idx="1149">
                  <c:v>16.2</c:v>
                </c:pt>
                <c:pt idx="1150">
                  <c:v>16.5</c:v>
                </c:pt>
                <c:pt idx="1151">
                  <c:v>19.899999999999999</c:v>
                </c:pt>
                <c:pt idx="1152">
                  <c:v>18.899999999999999</c:v>
                </c:pt>
                <c:pt idx="1153">
                  <c:v>19.3</c:v>
                </c:pt>
                <c:pt idx="1154">
                  <c:v>19.899999999999999</c:v>
                </c:pt>
                <c:pt idx="1155">
                  <c:v>19.600000000000001</c:v>
                </c:pt>
                <c:pt idx="1156">
                  <c:v>18.399999999999999</c:v>
                </c:pt>
                <c:pt idx="1157">
                  <c:v>17.600000000000001</c:v>
                </c:pt>
                <c:pt idx="1158">
                  <c:v>19.399999999999999</c:v>
                </c:pt>
                <c:pt idx="1159">
                  <c:v>19.7</c:v>
                </c:pt>
                <c:pt idx="1160">
                  <c:v>21.7</c:v>
                </c:pt>
                <c:pt idx="1161">
                  <c:v>20.6</c:v>
                </c:pt>
                <c:pt idx="1162">
                  <c:v>19.600000000000001</c:v>
                </c:pt>
                <c:pt idx="1163">
                  <c:v>17.5</c:v>
                </c:pt>
                <c:pt idx="1164">
                  <c:v>17.5</c:v>
                </c:pt>
                <c:pt idx="1165">
                  <c:v>17.2</c:v>
                </c:pt>
                <c:pt idx="1166">
                  <c:v>20.7</c:v>
                </c:pt>
                <c:pt idx="1167">
                  <c:v>18.899999999999999</c:v>
                </c:pt>
                <c:pt idx="1168">
                  <c:v>17.600000000000001</c:v>
                </c:pt>
                <c:pt idx="1169">
                  <c:v>16.5</c:v>
                </c:pt>
                <c:pt idx="1170">
                  <c:v>15.9</c:v>
                </c:pt>
                <c:pt idx="1171">
                  <c:v>19.3</c:v>
                </c:pt>
                <c:pt idx="1172">
                  <c:v>17.600000000000001</c:v>
                </c:pt>
                <c:pt idx="1173">
                  <c:v>17.8</c:v>
                </c:pt>
                <c:pt idx="1174">
                  <c:v>14.5</c:v>
                </c:pt>
                <c:pt idx="1175">
                  <c:v>13.5</c:v>
                </c:pt>
                <c:pt idx="1176">
                  <c:v>17.2</c:v>
                </c:pt>
                <c:pt idx="1177">
                  <c:v>17.399999999999999</c:v>
                </c:pt>
                <c:pt idx="1178">
                  <c:v>15.5</c:v>
                </c:pt>
                <c:pt idx="1179">
                  <c:v>17.7</c:v>
                </c:pt>
                <c:pt idx="1180">
                  <c:v>18.399999999999999</c:v>
                </c:pt>
                <c:pt idx="1181">
                  <c:v>21.3</c:v>
                </c:pt>
                <c:pt idx="1182">
                  <c:v>16.600000000000001</c:v>
                </c:pt>
                <c:pt idx="1183">
                  <c:v>19.8</c:v>
                </c:pt>
                <c:pt idx="1184">
                  <c:v>21.1</c:v>
                </c:pt>
                <c:pt idx="1185">
                  <c:v>18.8</c:v>
                </c:pt>
                <c:pt idx="1186">
                  <c:v>15.6</c:v>
                </c:pt>
                <c:pt idx="1187">
                  <c:v>14.4</c:v>
                </c:pt>
                <c:pt idx="1188">
                  <c:v>11.3</c:v>
                </c:pt>
                <c:pt idx="1189">
                  <c:v>19.7</c:v>
                </c:pt>
                <c:pt idx="1190">
                  <c:v>16.8</c:v>
                </c:pt>
                <c:pt idx="1191">
                  <c:v>12.7</c:v>
                </c:pt>
                <c:pt idx="1192">
                  <c:v>25.8</c:v>
                </c:pt>
                <c:pt idx="1193">
                  <c:v>20.399999999999999</c:v>
                </c:pt>
                <c:pt idx="1194">
                  <c:v>15.4</c:v>
                </c:pt>
                <c:pt idx="1195">
                  <c:v>18.100000000000001</c:v>
                </c:pt>
                <c:pt idx="1196">
                  <c:v>18</c:v>
                </c:pt>
                <c:pt idx="1197">
                  <c:v>19.7</c:v>
                </c:pt>
                <c:pt idx="1198">
                  <c:v>17.3</c:v>
                </c:pt>
                <c:pt idx="1199">
                  <c:v>14.7</c:v>
                </c:pt>
                <c:pt idx="1200">
                  <c:v>18.3</c:v>
                </c:pt>
                <c:pt idx="1201">
                  <c:v>18.600000000000001</c:v>
                </c:pt>
                <c:pt idx="1202">
                  <c:v>16</c:v>
                </c:pt>
                <c:pt idx="1203">
                  <c:v>20.6</c:v>
                </c:pt>
                <c:pt idx="1204">
                  <c:v>18.600000000000001</c:v>
                </c:pt>
                <c:pt idx="1205">
                  <c:v>22</c:v>
                </c:pt>
                <c:pt idx="1206">
                  <c:v>19.600000000000001</c:v>
                </c:pt>
                <c:pt idx="1207">
                  <c:v>21.4</c:v>
                </c:pt>
                <c:pt idx="1208">
                  <c:v>18.600000000000001</c:v>
                </c:pt>
                <c:pt idx="1209">
                  <c:v>19.5</c:v>
                </c:pt>
                <c:pt idx="1210">
                  <c:v>16.2</c:v>
                </c:pt>
                <c:pt idx="1211">
                  <c:v>14.6</c:v>
                </c:pt>
                <c:pt idx="1212">
                  <c:v>16.2</c:v>
                </c:pt>
                <c:pt idx="1213">
                  <c:v>19</c:v>
                </c:pt>
                <c:pt idx="1214">
                  <c:v>15.7</c:v>
                </c:pt>
                <c:pt idx="1215">
                  <c:v>20.8</c:v>
                </c:pt>
                <c:pt idx="1216">
                  <c:v>18.7</c:v>
                </c:pt>
                <c:pt idx="1217">
                  <c:v>19.8</c:v>
                </c:pt>
                <c:pt idx="1218">
                  <c:v>20.3</c:v>
                </c:pt>
                <c:pt idx="1219">
                  <c:v>18.3</c:v>
                </c:pt>
                <c:pt idx="1220">
                  <c:v>18.3</c:v>
                </c:pt>
                <c:pt idx="1221">
                  <c:v>15.6</c:v>
                </c:pt>
                <c:pt idx="1222">
                  <c:v>14.3</c:v>
                </c:pt>
                <c:pt idx="1223">
                  <c:v>17.899999999999999</c:v>
                </c:pt>
                <c:pt idx="1224">
                  <c:v>13.8</c:v>
                </c:pt>
                <c:pt idx="1225">
                  <c:v>15.3</c:v>
                </c:pt>
                <c:pt idx="1226">
                  <c:v>14.5</c:v>
                </c:pt>
                <c:pt idx="1227">
                  <c:v>14.1</c:v>
                </c:pt>
                <c:pt idx="1228">
                  <c:v>19.2</c:v>
                </c:pt>
                <c:pt idx="1229">
                  <c:v>16.600000000000001</c:v>
                </c:pt>
                <c:pt idx="1230">
                  <c:v>12.3</c:v>
                </c:pt>
                <c:pt idx="1231">
                  <c:v>16.8</c:v>
                </c:pt>
                <c:pt idx="1232">
                  <c:v>16.100000000000001</c:v>
                </c:pt>
                <c:pt idx="1233">
                  <c:v>19.899999999999999</c:v>
                </c:pt>
                <c:pt idx="1234">
                  <c:v>18.600000000000001</c:v>
                </c:pt>
                <c:pt idx="1235">
                  <c:v>18.2</c:v>
                </c:pt>
                <c:pt idx="1236">
                  <c:v>18.7</c:v>
                </c:pt>
                <c:pt idx="1237">
                  <c:v>14.6</c:v>
                </c:pt>
                <c:pt idx="1238">
                  <c:v>16.8</c:v>
                </c:pt>
                <c:pt idx="1239">
                  <c:v>20.8</c:v>
                </c:pt>
                <c:pt idx="1240">
                  <c:v>18.600000000000001</c:v>
                </c:pt>
                <c:pt idx="1241">
                  <c:v>19.600000000000001</c:v>
                </c:pt>
                <c:pt idx="1242">
                  <c:v>19.5</c:v>
                </c:pt>
                <c:pt idx="1243">
                  <c:v>14.9</c:v>
                </c:pt>
                <c:pt idx="1244">
                  <c:v>17.8</c:v>
                </c:pt>
                <c:pt idx="1245">
                  <c:v>17.2</c:v>
                </c:pt>
                <c:pt idx="1246">
                  <c:v>11.5</c:v>
                </c:pt>
                <c:pt idx="1247">
                  <c:v>13.1</c:v>
                </c:pt>
                <c:pt idx="1248">
                  <c:v>15.2</c:v>
                </c:pt>
                <c:pt idx="1249">
                  <c:v>15.6</c:v>
                </c:pt>
                <c:pt idx="1250">
                  <c:v>18.7</c:v>
                </c:pt>
                <c:pt idx="1251">
                  <c:v>18.399999999999999</c:v>
                </c:pt>
                <c:pt idx="1252">
                  <c:v>17.2</c:v>
                </c:pt>
                <c:pt idx="1253">
                  <c:v>13.8</c:v>
                </c:pt>
                <c:pt idx="1254">
                  <c:v>19.5</c:v>
                </c:pt>
                <c:pt idx="1255">
                  <c:v>20.3</c:v>
                </c:pt>
                <c:pt idx="1256">
                  <c:v>15.3</c:v>
                </c:pt>
                <c:pt idx="1257">
                  <c:v>17.3</c:v>
                </c:pt>
                <c:pt idx="1258">
                  <c:v>14.4</c:v>
                </c:pt>
                <c:pt idx="1259">
                  <c:v>18.399999999999999</c:v>
                </c:pt>
                <c:pt idx="1260">
                  <c:v>17.2</c:v>
                </c:pt>
                <c:pt idx="1261">
                  <c:v>18.600000000000001</c:v>
                </c:pt>
                <c:pt idx="1262">
                  <c:v>17.3</c:v>
                </c:pt>
                <c:pt idx="1263">
                  <c:v>18.7</c:v>
                </c:pt>
                <c:pt idx="1264">
                  <c:v>15.2</c:v>
                </c:pt>
                <c:pt idx="1265">
                  <c:v>11.8</c:v>
                </c:pt>
                <c:pt idx="1266">
                  <c:v>19.5</c:v>
                </c:pt>
                <c:pt idx="1267">
                  <c:v>21.5</c:v>
                </c:pt>
                <c:pt idx="1268">
                  <c:v>18.5</c:v>
                </c:pt>
                <c:pt idx="1269">
                  <c:v>15.3</c:v>
                </c:pt>
                <c:pt idx="1270">
                  <c:v>18.899999999999999</c:v>
                </c:pt>
                <c:pt idx="1271">
                  <c:v>17.8</c:v>
                </c:pt>
                <c:pt idx="1272">
                  <c:v>19.2</c:v>
                </c:pt>
                <c:pt idx="1273">
                  <c:v>13.2</c:v>
                </c:pt>
                <c:pt idx="1274">
                  <c:v>17.3</c:v>
                </c:pt>
                <c:pt idx="1275">
                  <c:v>15.9</c:v>
                </c:pt>
                <c:pt idx="1276">
                  <c:v>19.3</c:v>
                </c:pt>
                <c:pt idx="1277">
                  <c:v>13.8</c:v>
                </c:pt>
                <c:pt idx="1278">
                  <c:v>17.7</c:v>
                </c:pt>
                <c:pt idx="1279">
                  <c:v>19.7</c:v>
                </c:pt>
                <c:pt idx="1280">
                  <c:v>16.3</c:v>
                </c:pt>
                <c:pt idx="1281">
                  <c:v>20.7</c:v>
                </c:pt>
                <c:pt idx="1282">
                  <c:v>15.7</c:v>
                </c:pt>
                <c:pt idx="1283">
                  <c:v>13.3</c:v>
                </c:pt>
                <c:pt idx="1284">
                  <c:v>12.3</c:v>
                </c:pt>
                <c:pt idx="1285">
                  <c:v>18.7</c:v>
                </c:pt>
                <c:pt idx="1286">
                  <c:v>17.3</c:v>
                </c:pt>
                <c:pt idx="1287">
                  <c:v>20.6</c:v>
                </c:pt>
                <c:pt idx="1288">
                  <c:v>18.600000000000001</c:v>
                </c:pt>
                <c:pt idx="1289">
                  <c:v>12.6</c:v>
                </c:pt>
                <c:pt idx="1290">
                  <c:v>15.3</c:v>
                </c:pt>
                <c:pt idx="1291">
                  <c:v>11.6</c:v>
                </c:pt>
                <c:pt idx="1292">
                  <c:v>17.8</c:v>
                </c:pt>
                <c:pt idx="1293">
                  <c:v>9.4</c:v>
                </c:pt>
                <c:pt idx="1294">
                  <c:v>13.6</c:v>
                </c:pt>
                <c:pt idx="1295">
                  <c:v>9.8000000000000007</c:v>
                </c:pt>
                <c:pt idx="1296">
                  <c:v>11.3</c:v>
                </c:pt>
                <c:pt idx="1297">
                  <c:v>21.8</c:v>
                </c:pt>
                <c:pt idx="1298">
                  <c:v>11.6</c:v>
                </c:pt>
                <c:pt idx="1299">
                  <c:v>9.6</c:v>
                </c:pt>
                <c:pt idx="1300">
                  <c:v>9.8000000000000007</c:v>
                </c:pt>
                <c:pt idx="1301">
                  <c:v>9.3000000000000007</c:v>
                </c:pt>
                <c:pt idx="1302">
                  <c:v>17.7</c:v>
                </c:pt>
                <c:pt idx="1303">
                  <c:v>11.7</c:v>
                </c:pt>
                <c:pt idx="1304">
                  <c:v>13.8</c:v>
                </c:pt>
                <c:pt idx="1305">
                  <c:v>18</c:v>
                </c:pt>
                <c:pt idx="1306">
                  <c:v>17.8</c:v>
                </c:pt>
                <c:pt idx="1307">
                  <c:v>10.6</c:v>
                </c:pt>
                <c:pt idx="1308">
                  <c:v>9.1999999999999993</c:v>
                </c:pt>
                <c:pt idx="1309">
                  <c:v>11.5</c:v>
                </c:pt>
                <c:pt idx="1310">
                  <c:v>14.8</c:v>
                </c:pt>
                <c:pt idx="1311">
                  <c:v>17.2</c:v>
                </c:pt>
                <c:pt idx="1312">
                  <c:v>17</c:v>
                </c:pt>
                <c:pt idx="1313">
                  <c:v>12.9</c:v>
                </c:pt>
                <c:pt idx="1314">
                  <c:v>12.6</c:v>
                </c:pt>
                <c:pt idx="1315">
                  <c:v>11.6</c:v>
                </c:pt>
                <c:pt idx="1316">
                  <c:v>19</c:v>
                </c:pt>
                <c:pt idx="1317">
                  <c:v>14.1</c:v>
                </c:pt>
                <c:pt idx="1318">
                  <c:v>10.199999999999999</c:v>
                </c:pt>
                <c:pt idx="1319">
                  <c:v>8.5</c:v>
                </c:pt>
                <c:pt idx="1320">
                  <c:v>14.2</c:v>
                </c:pt>
                <c:pt idx="1321">
                  <c:v>11.4</c:v>
                </c:pt>
                <c:pt idx="1322">
                  <c:v>19.2</c:v>
                </c:pt>
                <c:pt idx="1323">
                  <c:v>16.2</c:v>
                </c:pt>
                <c:pt idx="1324">
                  <c:v>20.399999999999999</c:v>
                </c:pt>
                <c:pt idx="1325">
                  <c:v>12.6</c:v>
                </c:pt>
                <c:pt idx="1326">
                  <c:v>19.399999999999999</c:v>
                </c:pt>
                <c:pt idx="1327">
                  <c:v>15.8</c:v>
                </c:pt>
                <c:pt idx="1328">
                  <c:v>13.3</c:v>
                </c:pt>
                <c:pt idx="1329">
                  <c:v>12.2</c:v>
                </c:pt>
                <c:pt idx="1330">
                  <c:v>11.5</c:v>
                </c:pt>
                <c:pt idx="1331">
                  <c:v>10.8</c:v>
                </c:pt>
                <c:pt idx="1332">
                  <c:v>12.9</c:v>
                </c:pt>
                <c:pt idx="1333">
                  <c:v>13.8</c:v>
                </c:pt>
                <c:pt idx="1334">
                  <c:v>11.6</c:v>
                </c:pt>
                <c:pt idx="1335">
                  <c:v>10.199999999999999</c:v>
                </c:pt>
                <c:pt idx="1336">
                  <c:v>12.9</c:v>
                </c:pt>
                <c:pt idx="1337">
                  <c:v>10.7</c:v>
                </c:pt>
                <c:pt idx="1338">
                  <c:v>9.6999999999999993</c:v>
                </c:pt>
                <c:pt idx="1339">
                  <c:v>11.3</c:v>
                </c:pt>
                <c:pt idx="1340">
                  <c:v>13.7</c:v>
                </c:pt>
                <c:pt idx="1341">
                  <c:v>12.4</c:v>
                </c:pt>
                <c:pt idx="1342">
                  <c:v>13.5</c:v>
                </c:pt>
                <c:pt idx="1343">
                  <c:v>14.7</c:v>
                </c:pt>
                <c:pt idx="1344">
                  <c:v>12.5</c:v>
                </c:pt>
                <c:pt idx="1345">
                  <c:v>15.6</c:v>
                </c:pt>
                <c:pt idx="1346">
                  <c:v>12.6</c:v>
                </c:pt>
                <c:pt idx="1347">
                  <c:v>11.6</c:v>
                </c:pt>
                <c:pt idx="1348">
                  <c:v>10.9</c:v>
                </c:pt>
                <c:pt idx="1349">
                  <c:v>9.9</c:v>
                </c:pt>
                <c:pt idx="1350">
                  <c:v>12.3</c:v>
                </c:pt>
                <c:pt idx="1351">
                  <c:v>13.2</c:v>
                </c:pt>
                <c:pt idx="1352">
                  <c:v>17</c:v>
                </c:pt>
                <c:pt idx="1353">
                  <c:v>11.5</c:v>
                </c:pt>
                <c:pt idx="1354">
                  <c:v>14.6</c:v>
                </c:pt>
                <c:pt idx="1355">
                  <c:v>10.7</c:v>
                </c:pt>
                <c:pt idx="1356">
                  <c:v>16.5</c:v>
                </c:pt>
                <c:pt idx="1357">
                  <c:v>10.4</c:v>
                </c:pt>
              </c:numCache>
            </c:numRef>
          </c:val>
          <c:smooth val="0"/>
          <c:extLst>
            <c:ext xmlns:c16="http://schemas.microsoft.com/office/drawing/2014/chart" uri="{C3380CC4-5D6E-409C-BE32-E72D297353CC}">
              <c16:uniqueId val="{00000000-66D2-4613-A3DE-E2EB50831565}"/>
            </c:ext>
          </c:extLst>
        </c:ser>
        <c:dLbls>
          <c:showLegendKey val="0"/>
          <c:showVal val="0"/>
          <c:showCatName val="0"/>
          <c:showSerName val="0"/>
          <c:showPercent val="0"/>
          <c:showBubbleSize val="0"/>
        </c:dLbls>
        <c:marker val="1"/>
        <c:smooth val="0"/>
        <c:axId val="405168896"/>
        <c:axId val="405168352"/>
      </c:lineChart>
      <c:lineChart>
        <c:grouping val="stacked"/>
        <c:varyColors val="0"/>
        <c:ser>
          <c:idx val="1"/>
          <c:order val="1"/>
          <c:tx>
            <c:v>AV Coke Temperature</c:v>
          </c:tx>
          <c:spPr>
            <a:ln w="57150">
              <a:solidFill>
                <a:srgbClr val="FF0000"/>
              </a:solidFill>
            </a:ln>
          </c:spPr>
          <c:marker>
            <c:symbol val="none"/>
          </c:marker>
          <c:cat>
            <c:multiLvlStrRef>
              <c:f>'Coke Moisture'!$C$17:$D$500</c:f>
              <c:multiLvlStrCache>
                <c:ptCount val="484"/>
                <c:lvl>
                  <c:pt idx="0">
                    <c:v>8:10</c:v>
                  </c:pt>
                  <c:pt idx="1">
                    <c:v>13:30</c:v>
                  </c:pt>
                  <c:pt idx="2">
                    <c:v>17:00</c:v>
                  </c:pt>
                  <c:pt idx="3">
                    <c:v>20:45</c:v>
                  </c:pt>
                  <c:pt idx="4">
                    <c:v>23:10</c:v>
                  </c:pt>
                  <c:pt idx="5">
                    <c:v>3:40</c:v>
                  </c:pt>
                  <c:pt idx="6">
                    <c:v>11:25</c:v>
                  </c:pt>
                  <c:pt idx="7">
                    <c:v>15:00</c:v>
                  </c:pt>
                  <c:pt idx="8">
                    <c:v>18:15</c:v>
                  </c:pt>
                  <c:pt idx="9">
                    <c:v>22:50</c:v>
                  </c:pt>
                  <c:pt idx="10">
                    <c:v>2:05</c:v>
                  </c:pt>
                  <c:pt idx="11">
                    <c:v>11:00</c:v>
                  </c:pt>
                  <c:pt idx="12">
                    <c:v>15:30</c:v>
                  </c:pt>
                  <c:pt idx="13">
                    <c:v>18:10</c:v>
                  </c:pt>
                  <c:pt idx="14">
                    <c:v>22:50</c:v>
                  </c:pt>
                  <c:pt idx="15">
                    <c:v>2:05</c:v>
                  </c:pt>
                  <c:pt idx="16">
                    <c:v>8:30</c:v>
                  </c:pt>
                  <c:pt idx="17">
                    <c:v>12:00</c:v>
                  </c:pt>
                  <c:pt idx="18">
                    <c:v>15:40</c:v>
                  </c:pt>
                  <c:pt idx="19">
                    <c:v>18:10</c:v>
                  </c:pt>
                  <c:pt idx="20">
                    <c:v>22:00</c:v>
                  </c:pt>
                  <c:pt idx="21">
                    <c:v>2:10</c:v>
                  </c:pt>
                  <c:pt idx="22">
                    <c:v>12:10</c:v>
                  </c:pt>
                  <c:pt idx="23">
                    <c:v>15:45</c:v>
                  </c:pt>
                  <c:pt idx="24">
                    <c:v>19:10</c:v>
                  </c:pt>
                  <c:pt idx="25">
                    <c:v>23:10</c:v>
                  </c:pt>
                  <c:pt idx="26">
                    <c:v>2:30</c:v>
                  </c:pt>
                  <c:pt idx="27">
                    <c:v>3:25</c:v>
                  </c:pt>
                  <c:pt idx="28">
                    <c:v>12:50</c:v>
                  </c:pt>
                  <c:pt idx="29">
                    <c:v>14:35</c:v>
                  </c:pt>
                  <c:pt idx="30">
                    <c:v>18:10</c:v>
                  </c:pt>
                  <c:pt idx="31">
                    <c:v>22:30</c:v>
                  </c:pt>
                  <c:pt idx="32">
                    <c:v>2:45</c:v>
                  </c:pt>
                  <c:pt idx="33">
                    <c:v>9:35</c:v>
                  </c:pt>
                  <c:pt idx="34">
                    <c:v>13:05</c:v>
                  </c:pt>
                  <c:pt idx="35">
                    <c:v>20:10</c:v>
                  </c:pt>
                  <c:pt idx="36">
                    <c:v>2:10</c:v>
                  </c:pt>
                  <c:pt idx="37">
                    <c:v>9:00</c:v>
                  </c:pt>
                  <c:pt idx="38">
                    <c:v>14:15</c:v>
                  </c:pt>
                  <c:pt idx="39">
                    <c:v>23:10</c:v>
                  </c:pt>
                  <c:pt idx="40">
                    <c:v>0:15</c:v>
                  </c:pt>
                  <c:pt idx="41">
                    <c:v>3:40</c:v>
                  </c:pt>
                  <c:pt idx="42">
                    <c:v>16:45</c:v>
                  </c:pt>
                  <c:pt idx="43">
                    <c:v>15:35</c:v>
                  </c:pt>
                  <c:pt idx="44">
                    <c:v>19:45</c:v>
                  </c:pt>
                  <c:pt idx="45">
                    <c:v>11:45</c:v>
                  </c:pt>
                  <c:pt idx="46">
                    <c:v>4:40</c:v>
                  </c:pt>
                  <c:pt idx="47">
                    <c:v>14:35</c:v>
                  </c:pt>
                  <c:pt idx="48">
                    <c:v>18:05</c:v>
                  </c:pt>
                  <c:pt idx="49">
                    <c:v>22:00</c:v>
                  </c:pt>
                  <c:pt idx="50">
                    <c:v>2:10</c:v>
                  </c:pt>
                  <c:pt idx="51">
                    <c:v>11:15</c:v>
                  </c:pt>
                  <c:pt idx="52">
                    <c:v>11:15</c:v>
                  </c:pt>
                  <c:pt idx="53">
                    <c:v>14:15</c:v>
                  </c:pt>
                  <c:pt idx="54">
                    <c:v>12:45</c:v>
                  </c:pt>
                  <c:pt idx="55">
                    <c:v>14:35</c:v>
                  </c:pt>
                  <c:pt idx="56">
                    <c:v>12:10</c:v>
                  </c:pt>
                  <c:pt idx="57">
                    <c:v>15:35</c:v>
                  </c:pt>
                  <c:pt idx="58">
                    <c:v>18:25</c:v>
                  </c:pt>
                  <c:pt idx="59">
                    <c:v>0:10</c:v>
                  </c:pt>
                  <c:pt idx="60">
                    <c:v>3:45</c:v>
                  </c:pt>
                  <c:pt idx="61">
                    <c:v>11:10</c:v>
                  </c:pt>
                  <c:pt idx="62">
                    <c:v>15:15</c:v>
                  </c:pt>
                  <c:pt idx="63">
                    <c:v>18:20</c:v>
                  </c:pt>
                  <c:pt idx="64">
                    <c:v>22:50</c:v>
                  </c:pt>
                  <c:pt idx="65">
                    <c:v>2:14</c:v>
                  </c:pt>
                  <c:pt idx="66">
                    <c:v>11:10</c:v>
                  </c:pt>
                  <c:pt idx="67">
                    <c:v>14:40</c:v>
                  </c:pt>
                  <c:pt idx="68">
                    <c:v>18:20</c:v>
                  </c:pt>
                  <c:pt idx="69">
                    <c:v>22:40</c:v>
                  </c:pt>
                  <c:pt idx="70">
                    <c:v>2:25</c:v>
                  </c:pt>
                  <c:pt idx="71">
                    <c:v>12:30</c:v>
                  </c:pt>
                  <c:pt idx="72">
                    <c:v>14:40</c:v>
                  </c:pt>
                  <c:pt idx="73">
                    <c:v>18:20</c:v>
                  </c:pt>
                  <c:pt idx="74">
                    <c:v>22:50</c:v>
                  </c:pt>
                  <c:pt idx="75">
                    <c:v>2:20</c:v>
                  </c:pt>
                  <c:pt idx="76">
                    <c:v>12:15</c:v>
                  </c:pt>
                  <c:pt idx="77">
                    <c:v>14:45</c:v>
                  </c:pt>
                  <c:pt idx="78">
                    <c:v>18:30</c:v>
                  </c:pt>
                  <c:pt idx="79">
                    <c:v>22:40</c:v>
                  </c:pt>
                  <c:pt idx="80">
                    <c:v>2:10</c:v>
                  </c:pt>
                  <c:pt idx="81">
                    <c:v>12:45</c:v>
                  </c:pt>
                  <c:pt idx="82">
                    <c:v>15:15</c:v>
                  </c:pt>
                  <c:pt idx="83">
                    <c:v>2:05</c:v>
                  </c:pt>
                  <c:pt idx="84">
                    <c:v>12:00</c:v>
                  </c:pt>
                  <c:pt idx="85">
                    <c:v>15:30</c:v>
                  </c:pt>
                  <c:pt idx="86">
                    <c:v>2:15</c:v>
                  </c:pt>
                  <c:pt idx="87">
                    <c:v>5:30</c:v>
                  </c:pt>
                  <c:pt idx="88">
                    <c:v>22:50</c:v>
                  </c:pt>
                  <c:pt idx="89">
                    <c:v>2:15</c:v>
                  </c:pt>
                  <c:pt idx="90">
                    <c:v>11:05</c:v>
                  </c:pt>
                  <c:pt idx="91">
                    <c:v>14:45</c:v>
                  </c:pt>
                  <c:pt idx="92">
                    <c:v>18:50</c:v>
                  </c:pt>
                  <c:pt idx="93">
                    <c:v>22:45</c:v>
                  </c:pt>
                  <c:pt idx="94">
                    <c:v>11:00</c:v>
                  </c:pt>
                  <c:pt idx="95">
                    <c:v>14:45</c:v>
                  </c:pt>
                  <c:pt idx="96">
                    <c:v>18:50</c:v>
                  </c:pt>
                  <c:pt idx="97">
                    <c:v>22:45</c:v>
                  </c:pt>
                  <c:pt idx="98">
                    <c:v>2:15</c:v>
                  </c:pt>
                  <c:pt idx="99">
                    <c:v>11:45</c:v>
                  </c:pt>
                  <c:pt idx="100">
                    <c:v>16:40</c:v>
                  </c:pt>
                  <c:pt idx="101">
                    <c:v>20:15</c:v>
                  </c:pt>
                  <c:pt idx="102">
                    <c:v>12:30</c:v>
                  </c:pt>
                  <c:pt idx="103">
                    <c:v>16:20</c:v>
                  </c:pt>
                  <c:pt idx="104">
                    <c:v>23:40</c:v>
                  </c:pt>
                  <c:pt idx="105">
                    <c:v>3:15</c:v>
                  </c:pt>
                  <c:pt idx="106">
                    <c:v>14:15</c:v>
                  </c:pt>
                  <c:pt idx="107">
                    <c:v>16:10</c:v>
                  </c:pt>
                  <c:pt idx="108">
                    <c:v>20:15</c:v>
                  </c:pt>
                  <c:pt idx="109">
                    <c:v>23:20</c:v>
                  </c:pt>
                  <c:pt idx="110">
                    <c:v>2:50</c:v>
                  </c:pt>
                  <c:pt idx="111">
                    <c:v>14:15</c:v>
                  </c:pt>
                  <c:pt idx="112">
                    <c:v>16:10</c:v>
                  </c:pt>
                  <c:pt idx="113">
                    <c:v>20:15</c:v>
                  </c:pt>
                  <c:pt idx="114">
                    <c:v>1:40</c:v>
                  </c:pt>
                  <c:pt idx="115">
                    <c:v>5:45</c:v>
                  </c:pt>
                  <c:pt idx="116">
                    <c:v>12:30</c:v>
                  </c:pt>
                  <c:pt idx="117">
                    <c:v>14:48</c:v>
                  </c:pt>
                  <c:pt idx="118">
                    <c:v>20:15</c:v>
                  </c:pt>
                  <c:pt idx="119">
                    <c:v>23:20</c:v>
                  </c:pt>
                  <c:pt idx="120">
                    <c:v>2:20</c:v>
                  </c:pt>
                  <c:pt idx="121">
                    <c:v>11:00</c:v>
                  </c:pt>
                  <c:pt idx="122">
                    <c:v>14:40</c:v>
                  </c:pt>
                  <c:pt idx="123">
                    <c:v>18:15</c:v>
                  </c:pt>
                  <c:pt idx="124">
                    <c:v>23:20</c:v>
                  </c:pt>
                  <c:pt idx="125">
                    <c:v>2:15</c:v>
                  </c:pt>
                  <c:pt idx="126">
                    <c:v>10:45</c:v>
                  </c:pt>
                  <c:pt idx="127">
                    <c:v>14:45</c:v>
                  </c:pt>
                  <c:pt idx="128">
                    <c:v>21:06</c:v>
                  </c:pt>
                  <c:pt idx="129">
                    <c:v>1:25</c:v>
                  </c:pt>
                  <c:pt idx="130">
                    <c:v>14:45</c:v>
                  </c:pt>
                  <c:pt idx="131">
                    <c:v>1:30</c:v>
                  </c:pt>
                  <c:pt idx="132">
                    <c:v>3:00</c:v>
                  </c:pt>
                  <c:pt idx="133">
                    <c:v>15:15</c:v>
                  </c:pt>
                  <c:pt idx="134">
                    <c:v>11:40</c:v>
                  </c:pt>
                  <c:pt idx="135">
                    <c:v>19:10</c:v>
                  </c:pt>
                  <c:pt idx="136">
                    <c:v>23:05</c:v>
                  </c:pt>
                  <c:pt idx="137">
                    <c:v>2:05</c:v>
                  </c:pt>
                  <c:pt idx="138">
                    <c:v>11:55</c:v>
                  </c:pt>
                  <c:pt idx="139">
                    <c:v>15:40</c:v>
                  </c:pt>
                  <c:pt idx="140">
                    <c:v>19:10</c:v>
                  </c:pt>
                  <c:pt idx="141">
                    <c:v>2:45</c:v>
                  </c:pt>
                  <c:pt idx="142">
                    <c:v>12:15</c:v>
                  </c:pt>
                  <c:pt idx="143">
                    <c:v>15:45</c:v>
                  </c:pt>
                  <c:pt idx="144">
                    <c:v>19:30</c:v>
                  </c:pt>
                  <c:pt idx="145">
                    <c:v>23:30</c:v>
                  </c:pt>
                  <c:pt idx="146">
                    <c:v>2:45</c:v>
                  </c:pt>
                  <c:pt idx="147">
                    <c:v>11:45</c:v>
                  </c:pt>
                  <c:pt idx="148">
                    <c:v>15:45</c:v>
                  </c:pt>
                  <c:pt idx="149">
                    <c:v>19:30</c:v>
                  </c:pt>
                  <c:pt idx="150">
                    <c:v>0:20</c:v>
                  </c:pt>
                  <c:pt idx="151">
                    <c:v>3:55</c:v>
                  </c:pt>
                  <c:pt idx="152">
                    <c:v>11:55</c:v>
                  </c:pt>
                  <c:pt idx="153">
                    <c:v>15:45</c:v>
                  </c:pt>
                  <c:pt idx="154">
                    <c:v>20:30</c:v>
                  </c:pt>
                  <c:pt idx="155">
                    <c:v>0:25</c:v>
                  </c:pt>
                  <c:pt idx="156">
                    <c:v>3:45</c:v>
                  </c:pt>
                  <c:pt idx="157">
                    <c:v>11:45</c:v>
                  </c:pt>
                  <c:pt idx="158">
                    <c:v>15:45</c:v>
                  </c:pt>
                  <c:pt idx="159">
                    <c:v>20:38</c:v>
                  </c:pt>
                  <c:pt idx="160">
                    <c:v>0:00</c:v>
                  </c:pt>
                  <c:pt idx="161">
                    <c:v>3:50</c:v>
                  </c:pt>
                  <c:pt idx="162">
                    <c:v>14:15</c:v>
                  </c:pt>
                  <c:pt idx="163">
                    <c:v>17:45</c:v>
                  </c:pt>
                  <c:pt idx="164">
                    <c:v>19:45</c:v>
                  </c:pt>
                  <c:pt idx="165">
                    <c:v>0:15</c:v>
                  </c:pt>
                  <c:pt idx="166">
                    <c:v>11:45</c:v>
                  </c:pt>
                  <c:pt idx="167">
                    <c:v>15:45</c:v>
                  </c:pt>
                  <c:pt idx="168">
                    <c:v>21:15</c:v>
                  </c:pt>
                  <c:pt idx="169">
                    <c:v>1:18</c:v>
                  </c:pt>
                  <c:pt idx="170">
                    <c:v>4:50</c:v>
                  </c:pt>
                  <c:pt idx="171">
                    <c:v>11:45</c:v>
                  </c:pt>
                  <c:pt idx="172">
                    <c:v>15:45</c:v>
                  </c:pt>
                  <c:pt idx="173">
                    <c:v>21:15</c:v>
                  </c:pt>
                  <c:pt idx="174">
                    <c:v>0:15</c:v>
                  </c:pt>
                  <c:pt idx="175">
                    <c:v>3:50</c:v>
                  </c:pt>
                  <c:pt idx="176">
                    <c:v>11:40</c:v>
                  </c:pt>
                  <c:pt idx="177">
                    <c:v>15:40</c:v>
                  </c:pt>
                  <c:pt idx="178">
                    <c:v>21:15</c:v>
                  </c:pt>
                  <c:pt idx="179">
                    <c:v>0:15</c:v>
                  </c:pt>
                  <c:pt idx="180">
                    <c:v>3:40</c:v>
                  </c:pt>
                  <c:pt idx="181">
                    <c:v>11:35</c:v>
                  </c:pt>
                  <c:pt idx="182">
                    <c:v>15:45</c:v>
                  </c:pt>
                  <c:pt idx="183">
                    <c:v>21:00</c:v>
                  </c:pt>
                  <c:pt idx="184">
                    <c:v>0:15</c:v>
                  </c:pt>
                  <c:pt idx="185">
                    <c:v>3:50</c:v>
                  </c:pt>
                  <c:pt idx="186">
                    <c:v>11:40</c:v>
                  </c:pt>
                  <c:pt idx="187">
                    <c:v>16:00</c:v>
                  </c:pt>
                  <c:pt idx="188">
                    <c:v>21:00</c:v>
                  </c:pt>
                  <c:pt idx="189">
                    <c:v>0:15</c:v>
                  </c:pt>
                  <c:pt idx="190">
                    <c:v>3:40</c:v>
                  </c:pt>
                  <c:pt idx="191">
                    <c:v>11:40</c:v>
                  </c:pt>
                  <c:pt idx="192">
                    <c:v>15:40</c:v>
                  </c:pt>
                  <c:pt idx="193">
                    <c:v>20:44</c:v>
                  </c:pt>
                  <c:pt idx="194">
                    <c:v>0:15</c:v>
                  </c:pt>
                  <c:pt idx="195">
                    <c:v>3:45</c:v>
                  </c:pt>
                  <c:pt idx="196">
                    <c:v>11:30</c:v>
                  </c:pt>
                  <c:pt idx="197">
                    <c:v>15:55</c:v>
                  </c:pt>
                  <c:pt idx="198">
                    <c:v>0:15</c:v>
                  </c:pt>
                  <c:pt idx="199">
                    <c:v>3:45</c:v>
                  </c:pt>
                  <c:pt idx="200">
                    <c:v>11:30</c:v>
                  </c:pt>
                  <c:pt idx="201">
                    <c:v>15:45</c:v>
                  </c:pt>
                  <c:pt idx="202">
                    <c:v>0:20</c:v>
                  </c:pt>
                  <c:pt idx="203">
                    <c:v>11:30</c:v>
                  </c:pt>
                  <c:pt idx="204">
                    <c:v>15:42</c:v>
                  </c:pt>
                  <c:pt idx="205">
                    <c:v>20:50</c:v>
                  </c:pt>
                  <c:pt idx="206">
                    <c:v>0:20</c:v>
                  </c:pt>
                  <c:pt idx="207">
                    <c:v>15:45</c:v>
                  </c:pt>
                  <c:pt idx="208">
                    <c:v>0:20</c:v>
                  </c:pt>
                  <c:pt idx="209">
                    <c:v>11:30</c:v>
                  </c:pt>
                  <c:pt idx="210">
                    <c:v>15:45</c:v>
                  </c:pt>
                  <c:pt idx="211">
                    <c:v>19:15</c:v>
                  </c:pt>
                  <c:pt idx="212">
                    <c:v>0:20</c:v>
                  </c:pt>
                  <c:pt idx="213">
                    <c:v>3:43</c:v>
                  </c:pt>
                  <c:pt idx="214">
                    <c:v>10:30</c:v>
                  </c:pt>
                  <c:pt idx="215">
                    <c:v>14:45</c:v>
                  </c:pt>
                  <c:pt idx="216">
                    <c:v>18:15</c:v>
                  </c:pt>
                  <c:pt idx="217">
                    <c:v>23:15</c:v>
                  </c:pt>
                  <c:pt idx="218">
                    <c:v>2:43</c:v>
                  </c:pt>
                  <c:pt idx="219">
                    <c:v>10:45</c:v>
                  </c:pt>
                  <c:pt idx="220">
                    <c:v>14:45</c:v>
                  </c:pt>
                  <c:pt idx="221">
                    <c:v>18:15</c:v>
                  </c:pt>
                  <c:pt idx="222">
                    <c:v>22:50</c:v>
                  </c:pt>
                  <c:pt idx="223">
                    <c:v>2:55</c:v>
                  </c:pt>
                  <c:pt idx="224">
                    <c:v>10:30</c:v>
                  </c:pt>
                  <c:pt idx="225">
                    <c:v>14:40</c:v>
                  </c:pt>
                  <c:pt idx="226">
                    <c:v>18:15</c:v>
                  </c:pt>
                  <c:pt idx="227">
                    <c:v>23:20</c:v>
                  </c:pt>
                  <c:pt idx="228">
                    <c:v>2:50</c:v>
                  </c:pt>
                  <c:pt idx="229">
                    <c:v>9:40</c:v>
                  </c:pt>
                  <c:pt idx="230">
                    <c:v>16:05</c:v>
                  </c:pt>
                  <c:pt idx="231">
                    <c:v>18:15</c:v>
                  </c:pt>
                  <c:pt idx="232">
                    <c:v>23:20</c:v>
                  </c:pt>
                  <c:pt idx="233">
                    <c:v>2:50</c:v>
                  </c:pt>
                  <c:pt idx="234">
                    <c:v>9:10</c:v>
                  </c:pt>
                  <c:pt idx="235">
                    <c:v>13:45</c:v>
                  </c:pt>
                  <c:pt idx="236">
                    <c:v>17:45</c:v>
                  </c:pt>
                  <c:pt idx="237">
                    <c:v>23:29</c:v>
                  </c:pt>
                  <c:pt idx="238">
                    <c:v>2:45</c:v>
                  </c:pt>
                  <c:pt idx="239">
                    <c:v>11:45</c:v>
                  </c:pt>
                  <c:pt idx="240">
                    <c:v>14:45</c:v>
                  </c:pt>
                  <c:pt idx="241">
                    <c:v>18:15</c:v>
                  </c:pt>
                  <c:pt idx="242">
                    <c:v>23:28</c:v>
                  </c:pt>
                  <c:pt idx="243">
                    <c:v>2:45</c:v>
                  </c:pt>
                  <c:pt idx="244">
                    <c:v>11:45</c:v>
                  </c:pt>
                  <c:pt idx="245">
                    <c:v>14:45</c:v>
                  </c:pt>
                  <c:pt idx="246">
                    <c:v>18:15</c:v>
                  </c:pt>
                  <c:pt idx="247">
                    <c:v>23:28</c:v>
                  </c:pt>
                  <c:pt idx="248">
                    <c:v>2:48</c:v>
                  </c:pt>
                  <c:pt idx="249">
                    <c:v>14:30</c:v>
                  </c:pt>
                  <c:pt idx="250">
                    <c:v>18:15</c:v>
                  </c:pt>
                  <c:pt idx="251">
                    <c:v>2:35</c:v>
                  </c:pt>
                  <c:pt idx="252">
                    <c:v>15:30</c:v>
                  </c:pt>
                  <c:pt idx="253">
                    <c:v>12:30</c:v>
                  </c:pt>
                  <c:pt idx="254">
                    <c:v>16:20</c:v>
                  </c:pt>
                  <c:pt idx="255">
                    <c:v>19:45</c:v>
                  </c:pt>
                  <c:pt idx="256">
                    <c:v>23:45</c:v>
                  </c:pt>
                  <c:pt idx="257">
                    <c:v>3:20</c:v>
                  </c:pt>
                  <c:pt idx="258">
                    <c:v>11:40</c:v>
                  </c:pt>
                  <c:pt idx="259">
                    <c:v>15:25</c:v>
                  </c:pt>
                  <c:pt idx="260">
                    <c:v>20:45</c:v>
                  </c:pt>
                  <c:pt idx="261">
                    <c:v>0:10</c:v>
                  </c:pt>
                  <c:pt idx="262">
                    <c:v>5:00</c:v>
                  </c:pt>
                  <c:pt idx="263">
                    <c:v>15:00</c:v>
                  </c:pt>
                  <c:pt idx="264">
                    <c:v>18:20</c:v>
                  </c:pt>
                  <c:pt idx="265">
                    <c:v>23:15</c:v>
                  </c:pt>
                  <c:pt idx="266">
                    <c:v>2:50</c:v>
                  </c:pt>
                  <c:pt idx="267">
                    <c:v>14:40</c:v>
                  </c:pt>
                  <c:pt idx="268">
                    <c:v>18:30</c:v>
                  </c:pt>
                  <c:pt idx="269">
                    <c:v>23:50</c:v>
                  </c:pt>
                  <c:pt idx="270">
                    <c:v>2:45</c:v>
                  </c:pt>
                  <c:pt idx="271">
                    <c:v>14:40</c:v>
                  </c:pt>
                  <c:pt idx="272">
                    <c:v>18:30</c:v>
                  </c:pt>
                  <c:pt idx="273">
                    <c:v>23:20</c:v>
                  </c:pt>
                  <c:pt idx="274">
                    <c:v>2:45</c:v>
                  </c:pt>
                  <c:pt idx="275">
                    <c:v>15:00</c:v>
                  </c:pt>
                  <c:pt idx="276">
                    <c:v>18:30</c:v>
                  </c:pt>
                  <c:pt idx="277">
                    <c:v>21:45</c:v>
                  </c:pt>
                  <c:pt idx="278">
                    <c:v>1:20</c:v>
                  </c:pt>
                  <c:pt idx="279">
                    <c:v>3:45</c:v>
                  </c:pt>
                  <c:pt idx="280">
                    <c:v>16:30</c:v>
                  </c:pt>
                  <c:pt idx="281">
                    <c:v>20:15</c:v>
                  </c:pt>
                  <c:pt idx="282">
                    <c:v>23:25</c:v>
                  </c:pt>
                  <c:pt idx="283">
                    <c:v>2:40</c:v>
                  </c:pt>
                  <c:pt idx="284">
                    <c:v>16:30</c:v>
                  </c:pt>
                  <c:pt idx="285">
                    <c:v>20:15</c:v>
                  </c:pt>
                  <c:pt idx="286">
                    <c:v>1:20</c:v>
                  </c:pt>
                  <c:pt idx="287">
                    <c:v>4:50</c:v>
                  </c:pt>
                  <c:pt idx="288">
                    <c:v>16:50</c:v>
                  </c:pt>
                  <c:pt idx="289">
                    <c:v>20:10</c:v>
                  </c:pt>
                  <c:pt idx="290">
                    <c:v>1:25</c:v>
                  </c:pt>
                  <c:pt idx="291">
                    <c:v>4:50</c:v>
                  </c:pt>
                  <c:pt idx="292">
                    <c:v>12:45</c:v>
                  </c:pt>
                  <c:pt idx="293">
                    <c:v>16:03</c:v>
                  </c:pt>
                  <c:pt idx="294">
                    <c:v>21:10</c:v>
                  </c:pt>
                  <c:pt idx="295">
                    <c:v>0:45</c:v>
                  </c:pt>
                  <c:pt idx="296">
                    <c:v>4:50</c:v>
                  </c:pt>
                  <c:pt idx="297">
                    <c:v>23:35</c:v>
                  </c:pt>
                  <c:pt idx="298">
                    <c:v>15:10</c:v>
                  </c:pt>
                  <c:pt idx="299">
                    <c:v>18:45</c:v>
                  </c:pt>
                  <c:pt idx="300">
                    <c:v>0:50</c:v>
                  </c:pt>
                  <c:pt idx="301">
                    <c:v>3:25</c:v>
                  </c:pt>
                  <c:pt idx="302">
                    <c:v>12:35</c:v>
                  </c:pt>
                  <c:pt idx="303">
                    <c:v>15:30</c:v>
                  </c:pt>
                  <c:pt idx="304">
                    <c:v>18:55</c:v>
                  </c:pt>
                  <c:pt idx="305">
                    <c:v>23:45</c:v>
                  </c:pt>
                  <c:pt idx="306">
                    <c:v>3:00</c:v>
                  </c:pt>
                  <c:pt idx="307">
                    <c:v>11:45</c:v>
                  </c:pt>
                  <c:pt idx="308">
                    <c:v>16:05</c:v>
                  </c:pt>
                  <c:pt idx="309">
                    <c:v>18:50</c:v>
                  </c:pt>
                  <c:pt idx="310">
                    <c:v>23:50</c:v>
                  </c:pt>
                  <c:pt idx="311">
                    <c:v>3:15</c:v>
                  </c:pt>
                  <c:pt idx="312">
                    <c:v>11:45</c:v>
                  </c:pt>
                  <c:pt idx="313">
                    <c:v>16:05</c:v>
                  </c:pt>
                  <c:pt idx="314">
                    <c:v>18:50</c:v>
                  </c:pt>
                  <c:pt idx="315">
                    <c:v>23:40</c:v>
                  </c:pt>
                  <c:pt idx="316">
                    <c:v>3:15</c:v>
                  </c:pt>
                  <c:pt idx="317">
                    <c:v>11:45</c:v>
                  </c:pt>
                  <c:pt idx="318">
                    <c:v>18:58</c:v>
                  </c:pt>
                  <c:pt idx="319">
                    <c:v>23:50</c:v>
                  </c:pt>
                  <c:pt idx="320">
                    <c:v>3:15</c:v>
                  </c:pt>
                  <c:pt idx="321">
                    <c:v>10:40</c:v>
                  </c:pt>
                  <c:pt idx="322">
                    <c:v>15:15</c:v>
                  </c:pt>
                  <c:pt idx="323">
                    <c:v>18:35</c:v>
                  </c:pt>
                  <c:pt idx="324">
                    <c:v>23:55</c:v>
                  </c:pt>
                  <c:pt idx="325">
                    <c:v>3:10</c:v>
                  </c:pt>
                  <c:pt idx="326">
                    <c:v>11:45</c:v>
                  </c:pt>
                  <c:pt idx="327">
                    <c:v>15:15</c:v>
                  </c:pt>
                  <c:pt idx="328">
                    <c:v>18:35</c:v>
                  </c:pt>
                  <c:pt idx="329">
                    <c:v>23:58</c:v>
                  </c:pt>
                  <c:pt idx="330">
                    <c:v>3:10</c:v>
                  </c:pt>
                  <c:pt idx="331">
                    <c:v>11:45</c:v>
                  </c:pt>
                  <c:pt idx="332">
                    <c:v>15:35</c:v>
                  </c:pt>
                  <c:pt idx="333">
                    <c:v>20:10</c:v>
                  </c:pt>
                  <c:pt idx="334">
                    <c:v>1:15</c:v>
                  </c:pt>
                  <c:pt idx="335">
                    <c:v>4:40</c:v>
                  </c:pt>
                  <c:pt idx="336">
                    <c:v>11:45</c:v>
                  </c:pt>
                  <c:pt idx="337">
                    <c:v>15:10</c:v>
                  </c:pt>
                  <c:pt idx="338">
                    <c:v>18:35</c:v>
                  </c:pt>
                  <c:pt idx="339">
                    <c:v>23:58</c:v>
                  </c:pt>
                  <c:pt idx="340">
                    <c:v>3:10</c:v>
                  </c:pt>
                  <c:pt idx="341">
                    <c:v>10:15</c:v>
                  </c:pt>
                  <c:pt idx="342">
                    <c:v>14:45</c:v>
                  </c:pt>
                  <c:pt idx="343">
                    <c:v>20:10</c:v>
                  </c:pt>
                  <c:pt idx="344">
                    <c:v>23:40</c:v>
                  </c:pt>
                  <c:pt idx="345">
                    <c:v>3:20</c:v>
                  </c:pt>
                  <c:pt idx="346">
                    <c:v>10:15</c:v>
                  </c:pt>
                  <c:pt idx="347">
                    <c:v>14:45</c:v>
                  </c:pt>
                  <c:pt idx="348">
                    <c:v>20:10</c:v>
                  </c:pt>
                  <c:pt idx="349">
                    <c:v>23:40</c:v>
                  </c:pt>
                  <c:pt idx="350">
                    <c:v>2:40</c:v>
                  </c:pt>
                  <c:pt idx="351">
                    <c:v>10:15</c:v>
                  </c:pt>
                  <c:pt idx="352">
                    <c:v>14:45</c:v>
                  </c:pt>
                  <c:pt idx="353">
                    <c:v>18:10</c:v>
                  </c:pt>
                  <c:pt idx="354">
                    <c:v>23:00</c:v>
                  </c:pt>
                  <c:pt idx="355">
                    <c:v>2:45</c:v>
                  </c:pt>
                  <c:pt idx="356">
                    <c:v>10:45</c:v>
                  </c:pt>
                  <c:pt idx="357">
                    <c:v>14:45</c:v>
                  </c:pt>
                  <c:pt idx="358">
                    <c:v>18:25</c:v>
                  </c:pt>
                  <c:pt idx="359">
                    <c:v>23:00</c:v>
                  </c:pt>
                  <c:pt idx="360">
                    <c:v>2:40</c:v>
                  </c:pt>
                  <c:pt idx="361">
                    <c:v>12:25</c:v>
                  </c:pt>
                  <c:pt idx="362">
                    <c:v>16:25</c:v>
                  </c:pt>
                  <c:pt idx="363">
                    <c:v>20:15</c:v>
                  </c:pt>
                  <c:pt idx="364">
                    <c:v>23:15</c:v>
                  </c:pt>
                  <c:pt idx="365">
                    <c:v>4:10</c:v>
                  </c:pt>
                  <c:pt idx="366">
                    <c:v>11:20</c:v>
                  </c:pt>
                  <c:pt idx="367">
                    <c:v>17:15</c:v>
                  </c:pt>
                  <c:pt idx="368">
                    <c:v>20:45</c:v>
                  </c:pt>
                  <c:pt idx="369">
                    <c:v>0:10</c:v>
                  </c:pt>
                  <c:pt idx="370">
                    <c:v>5:10</c:v>
                  </c:pt>
                  <c:pt idx="371">
                    <c:v>11:50</c:v>
                  </c:pt>
                  <c:pt idx="372">
                    <c:v>15:15</c:v>
                  </c:pt>
                  <c:pt idx="373">
                    <c:v>18:15</c:v>
                  </c:pt>
                  <c:pt idx="374">
                    <c:v>23:15</c:v>
                  </c:pt>
                  <c:pt idx="375">
                    <c:v>2:50</c:v>
                  </c:pt>
                  <c:pt idx="376">
                    <c:v>13:30</c:v>
                  </c:pt>
                  <c:pt idx="377">
                    <c:v>18:10</c:v>
                  </c:pt>
                  <c:pt idx="378">
                    <c:v>20:30</c:v>
                  </c:pt>
                  <c:pt idx="379">
                    <c:v>0:15</c:v>
                  </c:pt>
                  <c:pt idx="380">
                    <c:v>3:40</c:v>
                  </c:pt>
                  <c:pt idx="381">
                    <c:v>11:25</c:v>
                  </c:pt>
                  <c:pt idx="382">
                    <c:v>15:15</c:v>
                  </c:pt>
                  <c:pt idx="383">
                    <c:v>20:45</c:v>
                  </c:pt>
                  <c:pt idx="384">
                    <c:v>0:10</c:v>
                  </c:pt>
                  <c:pt idx="385">
                    <c:v>3:45</c:v>
                  </c:pt>
                  <c:pt idx="386">
                    <c:v>11:25</c:v>
                  </c:pt>
                  <c:pt idx="387">
                    <c:v>15:20</c:v>
                  </c:pt>
                  <c:pt idx="388">
                    <c:v>18:50</c:v>
                  </c:pt>
                  <c:pt idx="389">
                    <c:v>0:20</c:v>
                  </c:pt>
                  <c:pt idx="390">
                    <c:v>3:50</c:v>
                  </c:pt>
                  <c:pt idx="391">
                    <c:v>11:15</c:v>
                  </c:pt>
                  <c:pt idx="392">
                    <c:v>15:28</c:v>
                  </c:pt>
                  <c:pt idx="393">
                    <c:v>20:45</c:v>
                  </c:pt>
                  <c:pt idx="394">
                    <c:v>0:25</c:v>
                  </c:pt>
                  <c:pt idx="395">
                    <c:v>3:45</c:v>
                  </c:pt>
                  <c:pt idx="396">
                    <c:v>11:30</c:v>
                  </c:pt>
                  <c:pt idx="397">
                    <c:v>15:28</c:v>
                  </c:pt>
                  <c:pt idx="398">
                    <c:v>20:40</c:v>
                  </c:pt>
                  <c:pt idx="399">
                    <c:v>0:15</c:v>
                  </c:pt>
                  <c:pt idx="400">
                    <c:v>3:45</c:v>
                  </c:pt>
                  <c:pt idx="401">
                    <c:v>11:20</c:v>
                  </c:pt>
                  <c:pt idx="402">
                    <c:v>15:10</c:v>
                  </c:pt>
                  <c:pt idx="403">
                    <c:v>19:35</c:v>
                  </c:pt>
                  <c:pt idx="404">
                    <c:v>0:15</c:v>
                  </c:pt>
                  <c:pt idx="405">
                    <c:v>3:40</c:v>
                  </c:pt>
                  <c:pt idx="406">
                    <c:v>11:15</c:v>
                  </c:pt>
                  <c:pt idx="407">
                    <c:v>15:40</c:v>
                  </c:pt>
                  <c:pt idx="408">
                    <c:v>19:15</c:v>
                  </c:pt>
                  <c:pt idx="409">
                    <c:v>23:45</c:v>
                  </c:pt>
                  <c:pt idx="410">
                    <c:v>3:15</c:v>
                  </c:pt>
                  <c:pt idx="411">
                    <c:v>11:15</c:v>
                  </c:pt>
                  <c:pt idx="412">
                    <c:v>15:42</c:v>
                  </c:pt>
                  <c:pt idx="413">
                    <c:v>21:30</c:v>
                  </c:pt>
                  <c:pt idx="414">
                    <c:v>0:50</c:v>
                  </c:pt>
                  <c:pt idx="415">
                    <c:v>4:15</c:v>
                  </c:pt>
                  <c:pt idx="416">
                    <c:v>11:15</c:v>
                  </c:pt>
                  <c:pt idx="417">
                    <c:v>15:35</c:v>
                  </c:pt>
                  <c:pt idx="418">
                    <c:v>21:47</c:v>
                  </c:pt>
                  <c:pt idx="419">
                    <c:v>2:15</c:v>
                  </c:pt>
                  <c:pt idx="420">
                    <c:v>11:20</c:v>
                  </c:pt>
                  <c:pt idx="421">
                    <c:v>15:45</c:v>
                  </c:pt>
                  <c:pt idx="422">
                    <c:v>21:25</c:v>
                  </c:pt>
                  <c:pt idx="423">
                    <c:v>0:45</c:v>
                  </c:pt>
                  <c:pt idx="424">
                    <c:v>4:15</c:v>
                  </c:pt>
                  <c:pt idx="425">
                    <c:v>11:45</c:v>
                  </c:pt>
                  <c:pt idx="426">
                    <c:v>15:45</c:v>
                  </c:pt>
                  <c:pt idx="427">
                    <c:v>21:10</c:v>
                  </c:pt>
                  <c:pt idx="428">
                    <c:v>0:50</c:v>
                  </c:pt>
                  <c:pt idx="429">
                    <c:v>4:10</c:v>
                  </c:pt>
                  <c:pt idx="430">
                    <c:v>11:40</c:v>
                  </c:pt>
                  <c:pt idx="431">
                    <c:v>16:10</c:v>
                  </c:pt>
                  <c:pt idx="432">
                    <c:v>21:15</c:v>
                  </c:pt>
                  <c:pt idx="433">
                    <c:v>0:50</c:v>
                  </c:pt>
                  <c:pt idx="434">
                    <c:v>4:20</c:v>
                  </c:pt>
                  <c:pt idx="435">
                    <c:v>10:15</c:v>
                  </c:pt>
                  <c:pt idx="436">
                    <c:v>14:45</c:v>
                  </c:pt>
                  <c:pt idx="437">
                    <c:v>18:15</c:v>
                  </c:pt>
                  <c:pt idx="438">
                    <c:v>23:10</c:v>
                  </c:pt>
                  <c:pt idx="439">
                    <c:v>2:50</c:v>
                  </c:pt>
                  <c:pt idx="440">
                    <c:v>10:45</c:v>
                  </c:pt>
                  <c:pt idx="441">
                    <c:v>14:45</c:v>
                  </c:pt>
                  <c:pt idx="442">
                    <c:v>18:15</c:v>
                  </c:pt>
                  <c:pt idx="443">
                    <c:v>0:50</c:v>
                  </c:pt>
                  <c:pt idx="444">
                    <c:v>2:45</c:v>
                  </c:pt>
                  <c:pt idx="445">
                    <c:v>10:35</c:v>
                  </c:pt>
                  <c:pt idx="446">
                    <c:v>14:45</c:v>
                  </c:pt>
                  <c:pt idx="447">
                    <c:v>18:15</c:v>
                  </c:pt>
                  <c:pt idx="448">
                    <c:v>23:00</c:v>
                  </c:pt>
                  <c:pt idx="449">
                    <c:v>2:40</c:v>
                  </c:pt>
                  <c:pt idx="450">
                    <c:v>11:00</c:v>
                  </c:pt>
                  <c:pt idx="451">
                    <c:v>14:45</c:v>
                  </c:pt>
                  <c:pt idx="452">
                    <c:v>18:15</c:v>
                  </c:pt>
                  <c:pt idx="453">
                    <c:v>23:15</c:v>
                  </c:pt>
                  <c:pt idx="454">
                    <c:v>2:45</c:v>
                  </c:pt>
                  <c:pt idx="455">
                    <c:v>11:20</c:v>
                  </c:pt>
                  <c:pt idx="456">
                    <c:v>14:35</c:v>
                  </c:pt>
                  <c:pt idx="457">
                    <c:v>18:15</c:v>
                  </c:pt>
                  <c:pt idx="458">
                    <c:v>23:15</c:v>
                  </c:pt>
                  <c:pt idx="459">
                    <c:v>2:45</c:v>
                  </c:pt>
                  <c:pt idx="460">
                    <c:v>12:35</c:v>
                  </c:pt>
                  <c:pt idx="461">
                    <c:v>15:35</c:v>
                  </c:pt>
                  <c:pt idx="462">
                    <c:v>18:40</c:v>
                  </c:pt>
                  <c:pt idx="463">
                    <c:v>23:10</c:v>
                  </c:pt>
                  <c:pt idx="464">
                    <c:v>2:45</c:v>
                  </c:pt>
                  <c:pt idx="465">
                    <c:v>14:45</c:v>
                  </c:pt>
                  <c:pt idx="466">
                    <c:v>18:30</c:v>
                  </c:pt>
                  <c:pt idx="467">
                    <c:v>21:45</c:v>
                  </c:pt>
                  <c:pt idx="468">
                    <c:v>1:15</c:v>
                  </c:pt>
                  <c:pt idx="469">
                    <c:v>4:55</c:v>
                  </c:pt>
                  <c:pt idx="470">
                    <c:v>14:30</c:v>
                  </c:pt>
                  <c:pt idx="471">
                    <c:v>17:00</c:v>
                  </c:pt>
                  <c:pt idx="472">
                    <c:v>20:45</c:v>
                  </c:pt>
                  <c:pt idx="473">
                    <c:v>23:30</c:v>
                  </c:pt>
                  <c:pt idx="474">
                    <c:v>3:15</c:v>
                  </c:pt>
                  <c:pt idx="475">
                    <c:v>12:45</c:v>
                  </c:pt>
                  <c:pt idx="476">
                    <c:v>16:45</c:v>
                  </c:pt>
                  <c:pt idx="477">
                    <c:v>22:45</c:v>
                  </c:pt>
                  <c:pt idx="478">
                    <c:v>2:10</c:v>
                  </c:pt>
                  <c:pt idx="479">
                    <c:v>5:45</c:v>
                  </c:pt>
                  <c:pt idx="480">
                    <c:v>13:40</c:v>
                  </c:pt>
                  <c:pt idx="481">
                    <c:v>17:20</c:v>
                  </c:pt>
                  <c:pt idx="482">
                    <c:v>21:50</c:v>
                  </c:pt>
                  <c:pt idx="483">
                    <c:v>1:10</c:v>
                  </c:pt>
                </c:lvl>
                <c:lvl>
                  <c:pt idx="0">
                    <c:v>1-Jan-16</c:v>
                  </c:pt>
                  <c:pt idx="1">
                    <c:v>1-Jan-16</c:v>
                  </c:pt>
                  <c:pt idx="2">
                    <c:v>1-Jan-16</c:v>
                  </c:pt>
                  <c:pt idx="3">
                    <c:v>1-Jan-16</c:v>
                  </c:pt>
                  <c:pt idx="4">
                    <c:v>1-Jan-16</c:v>
                  </c:pt>
                  <c:pt idx="5">
                    <c:v>2-Jan-16</c:v>
                  </c:pt>
                  <c:pt idx="6">
                    <c:v>2-Jan-16</c:v>
                  </c:pt>
                  <c:pt idx="7">
                    <c:v>2-Jan-16</c:v>
                  </c:pt>
                  <c:pt idx="8">
                    <c:v>2-Jan-16</c:v>
                  </c:pt>
                  <c:pt idx="9">
                    <c:v>2-Jan-16</c:v>
                  </c:pt>
                  <c:pt idx="10">
                    <c:v>3-Jan-16</c:v>
                  </c:pt>
                  <c:pt idx="11">
                    <c:v>3-Jan-16</c:v>
                  </c:pt>
                  <c:pt idx="12">
                    <c:v>3-Jan-16</c:v>
                  </c:pt>
                  <c:pt idx="13">
                    <c:v>3-Jan-16</c:v>
                  </c:pt>
                  <c:pt idx="14">
                    <c:v>3-Jan-16</c:v>
                  </c:pt>
                  <c:pt idx="15">
                    <c:v>4-Jan-16</c:v>
                  </c:pt>
                  <c:pt idx="16">
                    <c:v>4-Jan-16</c:v>
                  </c:pt>
                  <c:pt idx="17">
                    <c:v>4-Jan-16</c:v>
                  </c:pt>
                  <c:pt idx="18">
                    <c:v>4-Jan-16</c:v>
                  </c:pt>
                  <c:pt idx="19">
                    <c:v>4-Jan-16</c:v>
                  </c:pt>
                  <c:pt idx="20">
                    <c:v>4-Jan-16</c:v>
                  </c:pt>
                  <c:pt idx="21">
                    <c:v>5-Jan-16</c:v>
                  </c:pt>
                  <c:pt idx="22">
                    <c:v>5-Jan-16</c:v>
                  </c:pt>
                  <c:pt idx="23">
                    <c:v>5-Jan-16</c:v>
                  </c:pt>
                  <c:pt idx="24">
                    <c:v>5-Jan-16</c:v>
                  </c:pt>
                  <c:pt idx="25">
                    <c:v>5-Jan-16</c:v>
                  </c:pt>
                  <c:pt idx="26">
                    <c:v>6-Jan-16</c:v>
                  </c:pt>
                  <c:pt idx="27">
                    <c:v>6-Jan-16</c:v>
                  </c:pt>
                  <c:pt idx="28">
                    <c:v>6-Jan-16</c:v>
                  </c:pt>
                  <c:pt idx="29">
                    <c:v>6-Jan-16</c:v>
                  </c:pt>
                  <c:pt idx="30">
                    <c:v>6-Jan-16</c:v>
                  </c:pt>
                  <c:pt idx="31">
                    <c:v>6-Jan-16</c:v>
                  </c:pt>
                  <c:pt idx="32">
                    <c:v>7-Jan-16</c:v>
                  </c:pt>
                  <c:pt idx="33">
                    <c:v>7-Jan-16</c:v>
                  </c:pt>
                  <c:pt idx="34">
                    <c:v>7-Jan-16</c:v>
                  </c:pt>
                  <c:pt idx="35">
                    <c:v>7-Jan-16</c:v>
                  </c:pt>
                  <c:pt idx="36">
                    <c:v>8-Jan-16</c:v>
                  </c:pt>
                  <c:pt idx="37">
                    <c:v>8-Jan-16</c:v>
                  </c:pt>
                  <c:pt idx="38">
                    <c:v>8-Jan-16</c:v>
                  </c:pt>
                  <c:pt idx="39">
                    <c:v>8-Jan-16</c:v>
                  </c:pt>
                  <c:pt idx="40">
                    <c:v>9-Jan-16</c:v>
                  </c:pt>
                  <c:pt idx="41">
                    <c:v>9-Jan-16</c:v>
                  </c:pt>
                  <c:pt idx="42">
                    <c:v>9-Jan-16</c:v>
                  </c:pt>
                  <c:pt idx="43">
                    <c:v>10-Jan-16</c:v>
                  </c:pt>
                  <c:pt idx="44">
                    <c:v>10-Jan-16</c:v>
                  </c:pt>
                  <c:pt idx="45">
                    <c:v>10-Jan-16</c:v>
                  </c:pt>
                  <c:pt idx="46">
                    <c:v>11-Jan-16</c:v>
                  </c:pt>
                  <c:pt idx="47">
                    <c:v>11-Jan-16</c:v>
                  </c:pt>
                  <c:pt idx="48">
                    <c:v>11-Jan-16</c:v>
                  </c:pt>
                  <c:pt idx="49">
                    <c:v>11-Jan-16</c:v>
                  </c:pt>
                  <c:pt idx="50">
                    <c:v>12-Jan-16</c:v>
                  </c:pt>
                  <c:pt idx="51">
                    <c:v>13-Jan-16</c:v>
                  </c:pt>
                  <c:pt idx="52">
                    <c:v>14-Jan-16</c:v>
                  </c:pt>
                  <c:pt idx="53">
                    <c:v>15-Jan-16</c:v>
                  </c:pt>
                  <c:pt idx="54">
                    <c:v>16-Jan-16</c:v>
                  </c:pt>
                  <c:pt idx="55">
                    <c:v>16-Jan-16</c:v>
                  </c:pt>
                  <c:pt idx="56">
                    <c:v>17-Jan-16</c:v>
                  </c:pt>
                  <c:pt idx="57">
                    <c:v>17-Jan-16</c:v>
                  </c:pt>
                  <c:pt idx="58">
                    <c:v>17-Jan-16</c:v>
                  </c:pt>
                  <c:pt idx="59">
                    <c:v>18-Jan-16</c:v>
                  </c:pt>
                  <c:pt idx="60">
                    <c:v>18-Jan-16</c:v>
                  </c:pt>
                  <c:pt idx="61">
                    <c:v>18-Jan-16</c:v>
                  </c:pt>
                  <c:pt idx="62">
                    <c:v>18-Jan-16</c:v>
                  </c:pt>
                  <c:pt idx="63">
                    <c:v>18-Jan-16</c:v>
                  </c:pt>
                  <c:pt idx="64">
                    <c:v>18-Jan-16</c:v>
                  </c:pt>
                  <c:pt idx="65">
                    <c:v>19-Jan-16</c:v>
                  </c:pt>
                  <c:pt idx="66">
                    <c:v>19-Jan-16</c:v>
                  </c:pt>
                  <c:pt idx="67">
                    <c:v>19-Jan-16</c:v>
                  </c:pt>
                  <c:pt idx="68">
                    <c:v>19-Jan-16</c:v>
                  </c:pt>
                  <c:pt idx="69">
                    <c:v>19-Jan-16</c:v>
                  </c:pt>
                  <c:pt idx="70">
                    <c:v>20-Jan-16</c:v>
                  </c:pt>
                  <c:pt idx="71">
                    <c:v>20-Jan-16</c:v>
                  </c:pt>
                  <c:pt idx="72">
                    <c:v>20-Jan-16</c:v>
                  </c:pt>
                  <c:pt idx="73">
                    <c:v>20-Jan-16</c:v>
                  </c:pt>
                  <c:pt idx="74">
                    <c:v>20-Jan-16</c:v>
                  </c:pt>
                  <c:pt idx="75">
                    <c:v>21-Jan-16</c:v>
                  </c:pt>
                  <c:pt idx="76">
                    <c:v>21-Jan-16</c:v>
                  </c:pt>
                  <c:pt idx="77">
                    <c:v>21-Jan-16</c:v>
                  </c:pt>
                  <c:pt idx="78">
                    <c:v>21-Jan-16</c:v>
                  </c:pt>
                  <c:pt idx="79">
                    <c:v>21-Jan-16</c:v>
                  </c:pt>
                  <c:pt idx="80">
                    <c:v>22-Jan-16</c:v>
                  </c:pt>
                  <c:pt idx="81">
                    <c:v>22-Jan-16</c:v>
                  </c:pt>
                  <c:pt idx="82">
                    <c:v>22-Jan-16</c:v>
                  </c:pt>
                  <c:pt idx="83">
                    <c:v>23-Jan-16</c:v>
                  </c:pt>
                  <c:pt idx="84">
                    <c:v>23-Jan-16</c:v>
                  </c:pt>
                  <c:pt idx="85">
                    <c:v>23-Jan-16</c:v>
                  </c:pt>
                  <c:pt idx="86">
                    <c:v>24-Jan-16</c:v>
                  </c:pt>
                  <c:pt idx="87">
                    <c:v>24-Jan-16</c:v>
                  </c:pt>
                  <c:pt idx="88">
                    <c:v>24-Jan-16</c:v>
                  </c:pt>
                  <c:pt idx="89">
                    <c:v>25-Jan-16</c:v>
                  </c:pt>
                  <c:pt idx="90">
                    <c:v>25-Jan-16</c:v>
                  </c:pt>
                  <c:pt idx="91">
                    <c:v>25-Jan-16</c:v>
                  </c:pt>
                  <c:pt idx="92">
                    <c:v>25-Jan-16</c:v>
                  </c:pt>
                  <c:pt idx="93">
                    <c:v>26-Jan-16</c:v>
                  </c:pt>
                  <c:pt idx="94">
                    <c:v>26-Jan-16</c:v>
                  </c:pt>
                  <c:pt idx="95">
                    <c:v>26-Jan-16</c:v>
                  </c:pt>
                  <c:pt idx="96">
                    <c:v>26-Jan-16</c:v>
                  </c:pt>
                  <c:pt idx="97">
                    <c:v>26-Jan-16</c:v>
                  </c:pt>
                  <c:pt idx="98">
                    <c:v>27-Jan-16</c:v>
                  </c:pt>
                  <c:pt idx="99">
                    <c:v>27-Jan-16</c:v>
                  </c:pt>
                  <c:pt idx="100">
                    <c:v>27-Jan-16</c:v>
                  </c:pt>
                  <c:pt idx="101">
                    <c:v>27-Jan-16</c:v>
                  </c:pt>
                  <c:pt idx="102">
                    <c:v>28-Jan-16</c:v>
                  </c:pt>
                  <c:pt idx="103">
                    <c:v>28-Jan-16</c:v>
                  </c:pt>
                  <c:pt idx="104">
                    <c:v>28-Jan-16</c:v>
                  </c:pt>
                  <c:pt idx="105">
                    <c:v>29-Jan-16</c:v>
                  </c:pt>
                  <c:pt idx="106">
                    <c:v>29-Jan-16</c:v>
                  </c:pt>
                  <c:pt idx="107">
                    <c:v>29-Jan-16</c:v>
                  </c:pt>
                  <c:pt idx="108">
                    <c:v>29-Jan-16</c:v>
                  </c:pt>
                  <c:pt idx="109">
                    <c:v>29-Jan-16</c:v>
                  </c:pt>
                  <c:pt idx="110">
                    <c:v>30-Jan-16</c:v>
                  </c:pt>
                  <c:pt idx="111">
                    <c:v>30-Jan-16</c:v>
                  </c:pt>
                  <c:pt idx="112">
                    <c:v>30-Jan-16</c:v>
                  </c:pt>
                  <c:pt idx="113">
                    <c:v>30-Jan-16</c:v>
                  </c:pt>
                  <c:pt idx="114">
                    <c:v>31-Jan-16</c:v>
                  </c:pt>
                  <c:pt idx="115">
                    <c:v>31-Jan-16</c:v>
                  </c:pt>
                  <c:pt idx="116">
                    <c:v>1-Feb-16</c:v>
                  </c:pt>
                  <c:pt idx="117">
                    <c:v>1-Feb-16</c:v>
                  </c:pt>
                  <c:pt idx="118">
                    <c:v>1-Feb-16</c:v>
                  </c:pt>
                  <c:pt idx="119">
                    <c:v>1-Feb-16</c:v>
                  </c:pt>
                  <c:pt idx="120">
                    <c:v>2-Feb-16</c:v>
                  </c:pt>
                  <c:pt idx="121">
                    <c:v>2-Feb-16</c:v>
                  </c:pt>
                  <c:pt idx="122">
                    <c:v>2-Feb-16</c:v>
                  </c:pt>
                  <c:pt idx="123">
                    <c:v>2-Feb-16</c:v>
                  </c:pt>
                  <c:pt idx="124">
                    <c:v>2-Feb-16</c:v>
                  </c:pt>
                  <c:pt idx="125">
                    <c:v>3-Feb-16</c:v>
                  </c:pt>
                  <c:pt idx="126">
                    <c:v>3-Feb-16</c:v>
                  </c:pt>
                  <c:pt idx="127">
                    <c:v>3-Feb-16</c:v>
                  </c:pt>
                  <c:pt idx="128">
                    <c:v>3-Feb-16</c:v>
                  </c:pt>
                  <c:pt idx="129">
                    <c:v>4-Feb-16</c:v>
                  </c:pt>
                  <c:pt idx="130">
                    <c:v>4-Feb-16</c:v>
                  </c:pt>
                  <c:pt idx="131">
                    <c:v>4-Feb-16</c:v>
                  </c:pt>
                  <c:pt idx="132">
                    <c:v>5-Feb-16</c:v>
                  </c:pt>
                  <c:pt idx="133">
                    <c:v>5-Feb-16</c:v>
                  </c:pt>
                  <c:pt idx="134">
                    <c:v>6-Feb-16</c:v>
                  </c:pt>
                  <c:pt idx="135">
                    <c:v>6-Feb-16</c:v>
                  </c:pt>
                  <c:pt idx="136">
                    <c:v>6-Feb-16</c:v>
                  </c:pt>
                  <c:pt idx="137">
                    <c:v>7-Feb-16</c:v>
                  </c:pt>
                  <c:pt idx="138">
                    <c:v>7-Feb-16</c:v>
                  </c:pt>
                  <c:pt idx="139">
                    <c:v>7-Feb-16</c:v>
                  </c:pt>
                  <c:pt idx="140">
                    <c:v>7-Feb-16</c:v>
                  </c:pt>
                  <c:pt idx="141">
                    <c:v>8-Feb-16</c:v>
                  </c:pt>
                  <c:pt idx="142">
                    <c:v>8-Feb-16</c:v>
                  </c:pt>
                  <c:pt idx="143">
                    <c:v>8-Feb-16</c:v>
                  </c:pt>
                  <c:pt idx="144">
                    <c:v>8-Feb-16</c:v>
                  </c:pt>
                  <c:pt idx="145">
                    <c:v>8-Feb-16</c:v>
                  </c:pt>
                  <c:pt idx="146">
                    <c:v>9-Feb-16</c:v>
                  </c:pt>
                  <c:pt idx="147">
                    <c:v>9-Feb-16</c:v>
                  </c:pt>
                  <c:pt idx="148">
                    <c:v>9-Feb-16</c:v>
                  </c:pt>
                  <c:pt idx="149">
                    <c:v>9-Feb-16</c:v>
                  </c:pt>
                  <c:pt idx="150">
                    <c:v>10-Feb-16</c:v>
                  </c:pt>
                  <c:pt idx="151">
                    <c:v>10-Feb-16</c:v>
                  </c:pt>
                  <c:pt idx="152">
                    <c:v>10-Feb-16</c:v>
                  </c:pt>
                  <c:pt idx="153">
                    <c:v>10-Feb-16</c:v>
                  </c:pt>
                  <c:pt idx="154">
                    <c:v>10-Feb-16</c:v>
                  </c:pt>
                  <c:pt idx="155">
                    <c:v>11-Feb-16</c:v>
                  </c:pt>
                  <c:pt idx="156">
                    <c:v>11-Feb-16</c:v>
                  </c:pt>
                  <c:pt idx="157">
                    <c:v>11-Feb-16</c:v>
                  </c:pt>
                  <c:pt idx="158">
                    <c:v>11-Feb-16</c:v>
                  </c:pt>
                  <c:pt idx="159">
                    <c:v>11-Feb-16</c:v>
                  </c:pt>
                  <c:pt idx="160">
                    <c:v>12-Feb-16</c:v>
                  </c:pt>
                  <c:pt idx="161">
                    <c:v>12-Feb-16</c:v>
                  </c:pt>
                  <c:pt idx="162">
                    <c:v>12-Feb-16</c:v>
                  </c:pt>
                  <c:pt idx="163">
                    <c:v>12-Feb-16</c:v>
                  </c:pt>
                  <c:pt idx="164">
                    <c:v>12-Feb-16</c:v>
                  </c:pt>
                  <c:pt idx="165">
                    <c:v>13-Feb-16</c:v>
                  </c:pt>
                  <c:pt idx="166">
                    <c:v>13-Feb-16</c:v>
                  </c:pt>
                  <c:pt idx="167">
                    <c:v>13-Feb-16</c:v>
                  </c:pt>
                  <c:pt idx="168">
                    <c:v>13-Feb-16</c:v>
                  </c:pt>
                  <c:pt idx="169">
                    <c:v>14-Feb-16</c:v>
                  </c:pt>
                  <c:pt idx="170">
                    <c:v>14-Feb-16</c:v>
                  </c:pt>
                  <c:pt idx="171">
                    <c:v>14-Feb-16</c:v>
                  </c:pt>
                  <c:pt idx="172">
                    <c:v>14-Feb-16</c:v>
                  </c:pt>
                  <c:pt idx="173">
                    <c:v>14-Feb-16</c:v>
                  </c:pt>
                  <c:pt idx="174">
                    <c:v>15-Feb-16</c:v>
                  </c:pt>
                  <c:pt idx="175">
                    <c:v>15-Feb-16</c:v>
                  </c:pt>
                  <c:pt idx="176">
                    <c:v>15-Feb-16</c:v>
                  </c:pt>
                  <c:pt idx="177">
                    <c:v>15-Feb-16</c:v>
                  </c:pt>
                  <c:pt idx="178">
                    <c:v>15-Feb-16</c:v>
                  </c:pt>
                  <c:pt idx="179">
                    <c:v>16-Feb-16</c:v>
                  </c:pt>
                  <c:pt idx="180">
                    <c:v>16-Feb-16</c:v>
                  </c:pt>
                  <c:pt idx="181">
                    <c:v>16-Feb-16</c:v>
                  </c:pt>
                  <c:pt idx="182">
                    <c:v>16-Feb-16</c:v>
                  </c:pt>
                  <c:pt idx="183">
                    <c:v>16-Feb-16</c:v>
                  </c:pt>
                  <c:pt idx="184">
                    <c:v>17-Feb-16</c:v>
                  </c:pt>
                  <c:pt idx="185">
                    <c:v>17-Feb-16</c:v>
                  </c:pt>
                  <c:pt idx="186">
                    <c:v>17-Feb-16</c:v>
                  </c:pt>
                  <c:pt idx="187">
                    <c:v>17-Feb-16</c:v>
                  </c:pt>
                  <c:pt idx="188">
                    <c:v>17-Feb-16</c:v>
                  </c:pt>
                  <c:pt idx="189">
                    <c:v>18-Feb-16</c:v>
                  </c:pt>
                  <c:pt idx="190">
                    <c:v>18-Feb-16</c:v>
                  </c:pt>
                  <c:pt idx="191">
                    <c:v>18-Feb-16</c:v>
                  </c:pt>
                  <c:pt idx="192">
                    <c:v>18-Feb-16</c:v>
                  </c:pt>
                  <c:pt idx="193">
                    <c:v>18-Feb-16</c:v>
                  </c:pt>
                  <c:pt idx="194">
                    <c:v>19-Feb-16</c:v>
                  </c:pt>
                  <c:pt idx="195">
                    <c:v>19-Feb-16</c:v>
                  </c:pt>
                  <c:pt idx="196">
                    <c:v>19-Feb-16</c:v>
                  </c:pt>
                  <c:pt idx="197">
                    <c:v>19-Feb-16</c:v>
                  </c:pt>
                  <c:pt idx="198">
                    <c:v>20-Feb-16</c:v>
                  </c:pt>
                  <c:pt idx="199">
                    <c:v>20-Feb-16</c:v>
                  </c:pt>
                  <c:pt idx="200">
                    <c:v>20-Feb-16</c:v>
                  </c:pt>
                  <c:pt idx="201">
                    <c:v>20-Feb-16</c:v>
                  </c:pt>
                  <c:pt idx="202">
                    <c:v>21-Feb-16</c:v>
                  </c:pt>
                  <c:pt idx="203">
                    <c:v>21-Feb-16</c:v>
                  </c:pt>
                  <c:pt idx="204">
                    <c:v>21-Feb-16</c:v>
                  </c:pt>
                  <c:pt idx="205">
                    <c:v>21-Feb-16</c:v>
                  </c:pt>
                  <c:pt idx="206">
                    <c:v>22-Feb-16</c:v>
                  </c:pt>
                  <c:pt idx="207">
                    <c:v>22-Feb-16</c:v>
                  </c:pt>
                  <c:pt idx="208">
                    <c:v>23-Feb-16</c:v>
                  </c:pt>
                  <c:pt idx="209">
                    <c:v>23-Feb-16</c:v>
                  </c:pt>
                  <c:pt idx="210">
                    <c:v>23-Feb-16</c:v>
                  </c:pt>
                  <c:pt idx="211">
                    <c:v>23-Feb-16</c:v>
                  </c:pt>
                  <c:pt idx="212">
                    <c:v>24-Feb-16</c:v>
                  </c:pt>
                  <c:pt idx="213">
                    <c:v>24-Feb-16</c:v>
                  </c:pt>
                  <c:pt idx="214">
                    <c:v>24-Feb-16</c:v>
                  </c:pt>
                  <c:pt idx="215">
                    <c:v>24-Feb-16</c:v>
                  </c:pt>
                  <c:pt idx="216">
                    <c:v>24-Feb-16</c:v>
                  </c:pt>
                  <c:pt idx="217">
                    <c:v>24-Feb-16</c:v>
                  </c:pt>
                  <c:pt idx="218">
                    <c:v>25-Feb-16</c:v>
                  </c:pt>
                  <c:pt idx="219">
                    <c:v>25-Feb-16</c:v>
                  </c:pt>
                  <c:pt idx="220">
                    <c:v>25-Feb-16</c:v>
                  </c:pt>
                  <c:pt idx="221">
                    <c:v>25-Feb-16</c:v>
                  </c:pt>
                  <c:pt idx="222">
                    <c:v>25-Feb-16</c:v>
                  </c:pt>
                  <c:pt idx="223">
                    <c:v>26-Feb-16</c:v>
                  </c:pt>
                  <c:pt idx="224">
                    <c:v>26-Feb-16</c:v>
                  </c:pt>
                  <c:pt idx="225">
                    <c:v>26-Feb-16</c:v>
                  </c:pt>
                  <c:pt idx="226">
                    <c:v>26-Feb-16</c:v>
                  </c:pt>
                  <c:pt idx="227">
                    <c:v>26-Feb-16</c:v>
                  </c:pt>
                  <c:pt idx="228">
                    <c:v>27-Feb-16</c:v>
                  </c:pt>
                  <c:pt idx="229">
                    <c:v>27-Feb-16</c:v>
                  </c:pt>
                  <c:pt idx="230">
                    <c:v>27-Feb-16</c:v>
                  </c:pt>
                  <c:pt idx="231">
                    <c:v>27-Feb-16</c:v>
                  </c:pt>
                  <c:pt idx="232">
                    <c:v>27-Feb-16</c:v>
                  </c:pt>
                  <c:pt idx="233">
                    <c:v>28-Feb-16</c:v>
                  </c:pt>
                  <c:pt idx="234">
                    <c:v>28-Feb-16</c:v>
                  </c:pt>
                  <c:pt idx="235">
                    <c:v>28-Feb-16</c:v>
                  </c:pt>
                  <c:pt idx="236">
                    <c:v>28-Feb-16</c:v>
                  </c:pt>
                  <c:pt idx="237">
                    <c:v>28-Feb-16</c:v>
                  </c:pt>
                  <c:pt idx="238">
                    <c:v>29-Feb-16</c:v>
                  </c:pt>
                  <c:pt idx="239">
                    <c:v>29-Feb-16</c:v>
                  </c:pt>
                  <c:pt idx="240">
                    <c:v>29-Feb-16</c:v>
                  </c:pt>
                  <c:pt idx="241">
                    <c:v>29-Feb-16</c:v>
                  </c:pt>
                  <c:pt idx="242">
                    <c:v>29-Feb-16</c:v>
                  </c:pt>
                  <c:pt idx="243">
                    <c:v>1-Mar-16</c:v>
                  </c:pt>
                  <c:pt idx="244">
                    <c:v>1-Mar-16</c:v>
                  </c:pt>
                  <c:pt idx="245">
                    <c:v>1-Mar-16</c:v>
                  </c:pt>
                  <c:pt idx="246">
                    <c:v>1-Mar-16</c:v>
                  </c:pt>
                  <c:pt idx="247">
                    <c:v>1-Mar-16</c:v>
                  </c:pt>
                  <c:pt idx="248">
                    <c:v>2-Mar-16</c:v>
                  </c:pt>
                  <c:pt idx="249">
                    <c:v>2-Mar-16</c:v>
                  </c:pt>
                  <c:pt idx="250">
                    <c:v>2-Mar-16</c:v>
                  </c:pt>
                  <c:pt idx="251">
                    <c:v>3-Mar-16</c:v>
                  </c:pt>
                  <c:pt idx="252">
                    <c:v>3-Mar-16</c:v>
                  </c:pt>
                  <c:pt idx="253">
                    <c:v>4-Mar-16</c:v>
                  </c:pt>
                  <c:pt idx="254">
                    <c:v>4-Mar-16</c:v>
                  </c:pt>
                  <c:pt idx="255">
                    <c:v>4-Mar-16</c:v>
                  </c:pt>
                  <c:pt idx="256">
                    <c:v>4-Mar-16</c:v>
                  </c:pt>
                  <c:pt idx="257">
                    <c:v>5-Mar-16</c:v>
                  </c:pt>
                  <c:pt idx="258">
                    <c:v>5-Mar-16</c:v>
                  </c:pt>
                  <c:pt idx="259">
                    <c:v>5-Mar-16</c:v>
                  </c:pt>
                  <c:pt idx="260">
                    <c:v>5-Mar-16</c:v>
                  </c:pt>
                  <c:pt idx="261">
                    <c:v>6-Mar-16</c:v>
                  </c:pt>
                  <c:pt idx="262">
                    <c:v>6-Mar-16</c:v>
                  </c:pt>
                  <c:pt idx="263">
                    <c:v>6-Mar-16</c:v>
                  </c:pt>
                  <c:pt idx="264">
                    <c:v>6-Mar-16</c:v>
                  </c:pt>
                  <c:pt idx="265">
                    <c:v>6-Mar-16</c:v>
                  </c:pt>
                  <c:pt idx="266">
                    <c:v>7-Mar-16</c:v>
                  </c:pt>
                  <c:pt idx="267">
                    <c:v>7-Mar-16</c:v>
                  </c:pt>
                  <c:pt idx="268">
                    <c:v>7-Mar-16</c:v>
                  </c:pt>
                  <c:pt idx="269">
                    <c:v>7-Mar-16</c:v>
                  </c:pt>
                  <c:pt idx="270">
                    <c:v>8-Mar-16</c:v>
                  </c:pt>
                  <c:pt idx="271">
                    <c:v>8-Mar-16</c:v>
                  </c:pt>
                  <c:pt idx="272">
                    <c:v>8-Mar-16</c:v>
                  </c:pt>
                  <c:pt idx="273">
                    <c:v>8-Mar-16</c:v>
                  </c:pt>
                  <c:pt idx="274">
                    <c:v>9-Mar-16</c:v>
                  </c:pt>
                  <c:pt idx="275">
                    <c:v>9-Mar-16</c:v>
                  </c:pt>
                  <c:pt idx="276">
                    <c:v>9-Mar-16</c:v>
                  </c:pt>
                  <c:pt idx="277">
                    <c:v>9-Mar-16</c:v>
                  </c:pt>
                  <c:pt idx="278">
                    <c:v>10-Mar-16</c:v>
                  </c:pt>
                  <c:pt idx="279">
                    <c:v>10-Mar-16</c:v>
                  </c:pt>
                  <c:pt idx="280">
                    <c:v>10-Mar-16</c:v>
                  </c:pt>
                  <c:pt idx="281">
                    <c:v>10-Mar-16</c:v>
                  </c:pt>
                  <c:pt idx="282">
                    <c:v>10-Mar-16</c:v>
                  </c:pt>
                  <c:pt idx="283">
                    <c:v>11-Mar-16</c:v>
                  </c:pt>
                  <c:pt idx="284">
                    <c:v>11-Mar-16</c:v>
                  </c:pt>
                  <c:pt idx="285">
                    <c:v>11-Mar-16</c:v>
                  </c:pt>
                  <c:pt idx="286">
                    <c:v>12-Mar-16</c:v>
                  </c:pt>
                  <c:pt idx="287">
                    <c:v>12-Mar-16</c:v>
                  </c:pt>
                  <c:pt idx="288">
                    <c:v>12-Mar-16</c:v>
                  </c:pt>
                  <c:pt idx="289">
                    <c:v>12-Mar-16</c:v>
                  </c:pt>
                  <c:pt idx="290">
                    <c:v>13-Mar-16</c:v>
                  </c:pt>
                  <c:pt idx="291">
                    <c:v>13-Mar-16</c:v>
                  </c:pt>
                  <c:pt idx="292">
                    <c:v>13-Mar-16</c:v>
                  </c:pt>
                  <c:pt idx="293">
                    <c:v>13-Mar-16</c:v>
                  </c:pt>
                  <c:pt idx="294">
                    <c:v>13-Mar-16</c:v>
                  </c:pt>
                  <c:pt idx="295">
                    <c:v>14-Mar-16</c:v>
                  </c:pt>
                  <c:pt idx="296">
                    <c:v>14-Mar-16</c:v>
                  </c:pt>
                  <c:pt idx="297">
                    <c:v>14-Mar-16</c:v>
                  </c:pt>
                  <c:pt idx="298">
                    <c:v>14-Mar-16</c:v>
                  </c:pt>
                  <c:pt idx="299">
                    <c:v>14-Mar-16</c:v>
                  </c:pt>
                  <c:pt idx="300">
                    <c:v>15-Mar-16</c:v>
                  </c:pt>
                  <c:pt idx="301">
                    <c:v>15-Mar-16</c:v>
                  </c:pt>
                  <c:pt idx="302">
                    <c:v>15-Mar-16</c:v>
                  </c:pt>
                  <c:pt idx="303">
                    <c:v>15-Mar-16</c:v>
                  </c:pt>
                  <c:pt idx="304">
                    <c:v>15-Mar-16</c:v>
                  </c:pt>
                  <c:pt idx="305">
                    <c:v>15-Mar-16</c:v>
                  </c:pt>
                  <c:pt idx="306">
                    <c:v>16-Mar-16</c:v>
                  </c:pt>
                  <c:pt idx="307">
                    <c:v>16-Mar-16</c:v>
                  </c:pt>
                  <c:pt idx="308">
                    <c:v>16-Mar-16</c:v>
                  </c:pt>
                  <c:pt idx="309">
                    <c:v>16-Mar-16</c:v>
                  </c:pt>
                  <c:pt idx="310">
                    <c:v>16-Mar-16</c:v>
                  </c:pt>
                  <c:pt idx="311">
                    <c:v>17-Mar-16</c:v>
                  </c:pt>
                  <c:pt idx="312">
                    <c:v>17-Mar-16</c:v>
                  </c:pt>
                  <c:pt idx="313">
                    <c:v>17-Mar-16</c:v>
                  </c:pt>
                  <c:pt idx="314">
                    <c:v>17-Mar-16</c:v>
                  </c:pt>
                  <c:pt idx="315">
                    <c:v>17-Mar-16</c:v>
                  </c:pt>
                  <c:pt idx="316">
                    <c:v>18-Mar-16</c:v>
                  </c:pt>
                  <c:pt idx="317">
                    <c:v>18-Mar-16</c:v>
                  </c:pt>
                  <c:pt idx="318">
                    <c:v>18-Mar-16</c:v>
                  </c:pt>
                  <c:pt idx="319">
                    <c:v>18-Mar-16</c:v>
                  </c:pt>
                  <c:pt idx="320">
                    <c:v>19-Mar-16</c:v>
                  </c:pt>
                  <c:pt idx="321">
                    <c:v>19-Mar-16</c:v>
                  </c:pt>
                  <c:pt idx="322">
                    <c:v>19-Mar-16</c:v>
                  </c:pt>
                  <c:pt idx="323">
                    <c:v>19-Mar-16</c:v>
                  </c:pt>
                  <c:pt idx="324">
                    <c:v>19-Mar-16</c:v>
                  </c:pt>
                  <c:pt idx="325">
                    <c:v>20-Mar-16</c:v>
                  </c:pt>
                  <c:pt idx="326">
                    <c:v>20-Mar-16</c:v>
                  </c:pt>
                  <c:pt idx="327">
                    <c:v>20-Mar-16</c:v>
                  </c:pt>
                  <c:pt idx="328">
                    <c:v>20-Mar-16</c:v>
                  </c:pt>
                  <c:pt idx="329">
                    <c:v>20-Mar-16</c:v>
                  </c:pt>
                  <c:pt idx="330">
                    <c:v>21-Mar-16</c:v>
                  </c:pt>
                  <c:pt idx="331">
                    <c:v>21-Mar-16</c:v>
                  </c:pt>
                  <c:pt idx="332">
                    <c:v>21-Mar-16</c:v>
                  </c:pt>
                  <c:pt idx="333">
                    <c:v>21-Mar-16</c:v>
                  </c:pt>
                  <c:pt idx="334">
                    <c:v>22-Mar-16</c:v>
                  </c:pt>
                  <c:pt idx="335">
                    <c:v>22-Mar-16</c:v>
                  </c:pt>
                  <c:pt idx="336">
                    <c:v>22-Mar-16</c:v>
                  </c:pt>
                  <c:pt idx="337">
                    <c:v>22-Mar-16</c:v>
                  </c:pt>
                  <c:pt idx="338">
                    <c:v>22-Mar-16</c:v>
                  </c:pt>
                  <c:pt idx="339">
                    <c:v>22-Mar-16</c:v>
                  </c:pt>
                  <c:pt idx="340">
                    <c:v>23-Mar-16</c:v>
                  </c:pt>
                  <c:pt idx="341">
                    <c:v>23-Mar-16</c:v>
                  </c:pt>
                  <c:pt idx="342">
                    <c:v>23-Mar-16</c:v>
                  </c:pt>
                  <c:pt idx="343">
                    <c:v>23-Mar-16</c:v>
                  </c:pt>
                  <c:pt idx="344">
                    <c:v>23-Mar-16</c:v>
                  </c:pt>
                  <c:pt idx="345">
                    <c:v>24-Mar-16</c:v>
                  </c:pt>
                  <c:pt idx="346">
                    <c:v>24-Mar-16</c:v>
                  </c:pt>
                  <c:pt idx="347">
                    <c:v>24-Mar-16</c:v>
                  </c:pt>
                  <c:pt idx="348">
                    <c:v>24-Mar-16</c:v>
                  </c:pt>
                  <c:pt idx="349">
                    <c:v>24-Mar-16</c:v>
                  </c:pt>
                  <c:pt idx="350">
                    <c:v>25-Mar-16</c:v>
                  </c:pt>
                  <c:pt idx="351">
                    <c:v>25-Mar-16</c:v>
                  </c:pt>
                  <c:pt idx="352">
                    <c:v>25-Mar-16</c:v>
                  </c:pt>
                  <c:pt idx="353">
                    <c:v>25-Mar-16</c:v>
                  </c:pt>
                  <c:pt idx="354">
                    <c:v>25-Mar-16</c:v>
                  </c:pt>
                  <c:pt idx="355">
                    <c:v>26-Mar-16</c:v>
                  </c:pt>
                  <c:pt idx="356">
                    <c:v>26-Mar-16</c:v>
                  </c:pt>
                  <c:pt idx="357">
                    <c:v>26-Mar-16</c:v>
                  </c:pt>
                  <c:pt idx="358">
                    <c:v>26-Mar-16</c:v>
                  </c:pt>
                  <c:pt idx="359">
                    <c:v>26-Mar-16</c:v>
                  </c:pt>
                  <c:pt idx="360">
                    <c:v>27-Mar-16</c:v>
                  </c:pt>
                  <c:pt idx="361">
                    <c:v>27-Mar-16</c:v>
                  </c:pt>
                  <c:pt idx="362">
                    <c:v>27-Mar-16</c:v>
                  </c:pt>
                  <c:pt idx="363">
                    <c:v>27-Mar-16</c:v>
                  </c:pt>
                  <c:pt idx="364">
                    <c:v>27-Mar-16</c:v>
                  </c:pt>
                  <c:pt idx="365">
                    <c:v>28-Mar-16</c:v>
                  </c:pt>
                  <c:pt idx="366">
                    <c:v>28-Mar-16</c:v>
                  </c:pt>
                  <c:pt idx="367">
                    <c:v>28-Mar-16</c:v>
                  </c:pt>
                  <c:pt idx="368">
                    <c:v>28-Mar-16</c:v>
                  </c:pt>
                  <c:pt idx="369">
                    <c:v>29-Mar-16</c:v>
                  </c:pt>
                  <c:pt idx="370">
                    <c:v>29-Mar-16</c:v>
                  </c:pt>
                  <c:pt idx="371">
                    <c:v>29-Mar-16</c:v>
                  </c:pt>
                  <c:pt idx="372">
                    <c:v>29-Mar-16</c:v>
                  </c:pt>
                  <c:pt idx="373">
                    <c:v>29-Mar-16</c:v>
                  </c:pt>
                  <c:pt idx="374">
                    <c:v>29-Mar-16</c:v>
                  </c:pt>
                  <c:pt idx="375">
                    <c:v>30-Mar-16</c:v>
                  </c:pt>
                  <c:pt idx="376">
                    <c:v>30-Mar-16</c:v>
                  </c:pt>
                  <c:pt idx="377">
                    <c:v>30-Mar-16</c:v>
                  </c:pt>
                  <c:pt idx="378">
                    <c:v>30-Mar-16</c:v>
                  </c:pt>
                  <c:pt idx="379">
                    <c:v>31-Mar-16</c:v>
                  </c:pt>
                  <c:pt idx="380">
                    <c:v>31-Mar-16</c:v>
                  </c:pt>
                  <c:pt idx="381">
                    <c:v>31-Mar-16</c:v>
                  </c:pt>
                  <c:pt idx="382">
                    <c:v>31-Mar-16</c:v>
                  </c:pt>
                  <c:pt idx="383">
                    <c:v>31-Mar-16</c:v>
                  </c:pt>
                  <c:pt idx="384">
                    <c:v>1-Apr-16</c:v>
                  </c:pt>
                  <c:pt idx="385">
                    <c:v>1-Apr-16</c:v>
                  </c:pt>
                  <c:pt idx="386">
                    <c:v>1-Apr-16</c:v>
                  </c:pt>
                  <c:pt idx="387">
                    <c:v>1-Apr-16</c:v>
                  </c:pt>
                  <c:pt idx="388">
                    <c:v>1-Apr-16</c:v>
                  </c:pt>
                  <c:pt idx="389">
                    <c:v>2-Apr-16</c:v>
                  </c:pt>
                  <c:pt idx="390">
                    <c:v>2-Apr-16</c:v>
                  </c:pt>
                  <c:pt idx="391">
                    <c:v>2-Apr-16</c:v>
                  </c:pt>
                  <c:pt idx="392">
                    <c:v>2-Apr-16</c:v>
                  </c:pt>
                  <c:pt idx="393">
                    <c:v>2-Apr-16</c:v>
                  </c:pt>
                  <c:pt idx="394">
                    <c:v>3-Apr-16</c:v>
                  </c:pt>
                  <c:pt idx="395">
                    <c:v>3-Apr-16</c:v>
                  </c:pt>
                  <c:pt idx="396">
                    <c:v>3-Apr-16</c:v>
                  </c:pt>
                  <c:pt idx="397">
                    <c:v>3-Apr-16</c:v>
                  </c:pt>
                  <c:pt idx="398">
                    <c:v>3-Apr-16</c:v>
                  </c:pt>
                  <c:pt idx="399">
                    <c:v>4-Apr-16</c:v>
                  </c:pt>
                  <c:pt idx="400">
                    <c:v>4-Apr-16</c:v>
                  </c:pt>
                  <c:pt idx="401">
                    <c:v>4-Apr-16</c:v>
                  </c:pt>
                  <c:pt idx="402">
                    <c:v>4-Apr-16</c:v>
                  </c:pt>
                  <c:pt idx="403">
                    <c:v>4-Apr-16</c:v>
                  </c:pt>
                  <c:pt idx="404">
                    <c:v>5-Apr-16</c:v>
                  </c:pt>
                  <c:pt idx="405">
                    <c:v>5-Apr-16</c:v>
                  </c:pt>
                  <c:pt idx="406">
                    <c:v>5-Apr-16</c:v>
                  </c:pt>
                  <c:pt idx="407">
                    <c:v>5-Apr-16</c:v>
                  </c:pt>
                  <c:pt idx="408">
                    <c:v>5-Apr-16</c:v>
                  </c:pt>
                  <c:pt idx="409">
                    <c:v>5-Apr-16</c:v>
                  </c:pt>
                  <c:pt idx="410">
                    <c:v>6-Apr-16</c:v>
                  </c:pt>
                  <c:pt idx="411">
                    <c:v>6-Apr-16</c:v>
                  </c:pt>
                  <c:pt idx="412">
                    <c:v>6-Apr-16</c:v>
                  </c:pt>
                  <c:pt idx="413">
                    <c:v>6-Apr-16</c:v>
                  </c:pt>
                  <c:pt idx="414">
                    <c:v>7-Apr-16</c:v>
                  </c:pt>
                  <c:pt idx="415">
                    <c:v>7-Apr-16</c:v>
                  </c:pt>
                  <c:pt idx="416">
                    <c:v>7-Apr-16</c:v>
                  </c:pt>
                  <c:pt idx="417">
                    <c:v>7-Apr-16</c:v>
                  </c:pt>
                  <c:pt idx="418">
                    <c:v>7-Apr-16</c:v>
                  </c:pt>
                  <c:pt idx="419">
                    <c:v>8-Apr-16</c:v>
                  </c:pt>
                  <c:pt idx="420">
                    <c:v>8-Apr-16</c:v>
                  </c:pt>
                  <c:pt idx="421">
                    <c:v>8-Apr-16</c:v>
                  </c:pt>
                  <c:pt idx="422">
                    <c:v>8-Apr-16</c:v>
                  </c:pt>
                  <c:pt idx="423">
                    <c:v>9-Apr-16</c:v>
                  </c:pt>
                  <c:pt idx="424">
                    <c:v>9-Apr-16</c:v>
                  </c:pt>
                  <c:pt idx="425">
                    <c:v>9-Apr-16</c:v>
                  </c:pt>
                  <c:pt idx="426">
                    <c:v>9-Apr-16</c:v>
                  </c:pt>
                  <c:pt idx="427">
                    <c:v>9-Apr-16</c:v>
                  </c:pt>
                  <c:pt idx="428">
                    <c:v>10-Apr-16</c:v>
                  </c:pt>
                  <c:pt idx="429">
                    <c:v>10-Apr-16</c:v>
                  </c:pt>
                  <c:pt idx="430">
                    <c:v>10-Apr-16</c:v>
                  </c:pt>
                  <c:pt idx="431">
                    <c:v>10-Apr-16</c:v>
                  </c:pt>
                  <c:pt idx="432">
                    <c:v>10-Apr-16</c:v>
                  </c:pt>
                  <c:pt idx="433">
                    <c:v>11-Apr-16</c:v>
                  </c:pt>
                  <c:pt idx="434">
                    <c:v>11-Apr-16</c:v>
                  </c:pt>
                  <c:pt idx="435">
                    <c:v>11-Apr-16</c:v>
                  </c:pt>
                  <c:pt idx="436">
                    <c:v>11-Apr-16</c:v>
                  </c:pt>
                  <c:pt idx="437">
                    <c:v>11-Apr-16</c:v>
                  </c:pt>
                  <c:pt idx="438">
                    <c:v>11-Apr-16</c:v>
                  </c:pt>
                  <c:pt idx="439">
                    <c:v>12-Apr-16</c:v>
                  </c:pt>
                  <c:pt idx="440">
                    <c:v>12-Apr-16</c:v>
                  </c:pt>
                  <c:pt idx="441">
                    <c:v>12-Apr-16</c:v>
                  </c:pt>
                  <c:pt idx="442">
                    <c:v>12-Apr-16</c:v>
                  </c:pt>
                  <c:pt idx="443">
                    <c:v>13-Apr-16</c:v>
                  </c:pt>
                  <c:pt idx="444">
                    <c:v>13-Apr-16</c:v>
                  </c:pt>
                  <c:pt idx="445">
                    <c:v>13-Apr-16</c:v>
                  </c:pt>
                  <c:pt idx="446">
                    <c:v>13-Apr-16</c:v>
                  </c:pt>
                  <c:pt idx="447">
                    <c:v>13-Apr-16</c:v>
                  </c:pt>
                  <c:pt idx="448">
                    <c:v>13-Apr-16</c:v>
                  </c:pt>
                  <c:pt idx="449">
                    <c:v>14-Apr-16</c:v>
                  </c:pt>
                  <c:pt idx="450">
                    <c:v>14-Apr-16</c:v>
                  </c:pt>
                  <c:pt idx="451">
                    <c:v>14-Apr-16</c:v>
                  </c:pt>
                  <c:pt idx="452">
                    <c:v>14-Apr-16</c:v>
                  </c:pt>
                  <c:pt idx="453">
                    <c:v>14-Apr-16</c:v>
                  </c:pt>
                  <c:pt idx="454">
                    <c:v>15-Apr-16</c:v>
                  </c:pt>
                  <c:pt idx="455">
                    <c:v>15-Apr-16</c:v>
                  </c:pt>
                  <c:pt idx="456">
                    <c:v>15-Apr-16</c:v>
                  </c:pt>
                  <c:pt idx="457">
                    <c:v>15-Apr-16</c:v>
                  </c:pt>
                  <c:pt idx="458">
                    <c:v>15-Apr-16</c:v>
                  </c:pt>
                  <c:pt idx="459">
                    <c:v>16-Apr-16</c:v>
                  </c:pt>
                  <c:pt idx="460">
                    <c:v>16-Apr-16</c:v>
                  </c:pt>
                  <c:pt idx="461">
                    <c:v>16-Apr-16</c:v>
                  </c:pt>
                  <c:pt idx="462">
                    <c:v>16-Apr-16</c:v>
                  </c:pt>
                  <c:pt idx="463">
                    <c:v>16-Apr-16</c:v>
                  </c:pt>
                  <c:pt idx="464">
                    <c:v>17-Apr-16</c:v>
                  </c:pt>
                  <c:pt idx="465">
                    <c:v>17-Apr-16</c:v>
                  </c:pt>
                  <c:pt idx="466">
                    <c:v>17-Apr-16</c:v>
                  </c:pt>
                  <c:pt idx="467">
                    <c:v>17-Apr-16</c:v>
                  </c:pt>
                  <c:pt idx="468">
                    <c:v>18-Apr-16</c:v>
                  </c:pt>
                  <c:pt idx="469">
                    <c:v>18-Apr-16</c:v>
                  </c:pt>
                  <c:pt idx="470">
                    <c:v>18-Apr-16</c:v>
                  </c:pt>
                  <c:pt idx="471">
                    <c:v>18-Apr-16</c:v>
                  </c:pt>
                  <c:pt idx="472">
                    <c:v>18-Apr-16</c:v>
                  </c:pt>
                  <c:pt idx="473">
                    <c:v>18-Apr-16</c:v>
                  </c:pt>
                  <c:pt idx="474">
                    <c:v>19-Apr-16</c:v>
                  </c:pt>
                  <c:pt idx="475">
                    <c:v>19-Apr-16</c:v>
                  </c:pt>
                  <c:pt idx="476">
                    <c:v>19-Apr-16</c:v>
                  </c:pt>
                  <c:pt idx="477">
                    <c:v>19-Apr-16</c:v>
                  </c:pt>
                  <c:pt idx="478">
                    <c:v>20-Apr-16</c:v>
                  </c:pt>
                  <c:pt idx="479">
                    <c:v>20-Apr-16</c:v>
                  </c:pt>
                  <c:pt idx="480">
                    <c:v>20-Apr-16</c:v>
                  </c:pt>
                  <c:pt idx="481">
                    <c:v>20-Apr-16</c:v>
                  </c:pt>
                  <c:pt idx="482">
                    <c:v>20-Apr-16</c:v>
                  </c:pt>
                  <c:pt idx="483">
                    <c:v>21-Apr-16</c:v>
                  </c:pt>
                </c:lvl>
              </c:multiLvlStrCache>
            </c:multiLvlStrRef>
          </c:cat>
          <c:val>
            <c:numRef>
              <c:f>'Coke Moisture'!$I$17:$I$1501</c:f>
              <c:numCache>
                <c:formatCode>General</c:formatCode>
                <c:ptCount val="1485"/>
                <c:pt idx="0">
                  <c:v>33</c:v>
                </c:pt>
                <c:pt idx="1">
                  <c:v>22</c:v>
                </c:pt>
                <c:pt idx="2">
                  <c:v>23</c:v>
                </c:pt>
                <c:pt idx="3">
                  <c:v>21</c:v>
                </c:pt>
                <c:pt idx="4">
                  <c:v>22</c:v>
                </c:pt>
                <c:pt idx="5">
                  <c:v>23</c:v>
                </c:pt>
                <c:pt idx="6">
                  <c:v>34.200000000000003</c:v>
                </c:pt>
                <c:pt idx="7">
                  <c:v>21.6</c:v>
                </c:pt>
                <c:pt idx="8">
                  <c:v>28</c:v>
                </c:pt>
                <c:pt idx="9">
                  <c:v>35</c:v>
                </c:pt>
                <c:pt idx="10">
                  <c:v>26</c:v>
                </c:pt>
                <c:pt idx="11">
                  <c:v>27</c:v>
                </c:pt>
                <c:pt idx="12">
                  <c:v>26</c:v>
                </c:pt>
                <c:pt idx="13">
                  <c:v>27</c:v>
                </c:pt>
                <c:pt idx="14">
                  <c:v>20</c:v>
                </c:pt>
                <c:pt idx="15">
                  <c:v>19.3</c:v>
                </c:pt>
                <c:pt idx="16">
                  <c:v>24</c:v>
                </c:pt>
                <c:pt idx="17">
                  <c:v>35</c:v>
                </c:pt>
                <c:pt idx="18">
                  <c:v>30</c:v>
                </c:pt>
                <c:pt idx="19">
                  <c:v>20.8</c:v>
                </c:pt>
                <c:pt idx="20">
                  <c:v>23</c:v>
                </c:pt>
                <c:pt idx="21">
                  <c:v>30</c:v>
                </c:pt>
                <c:pt idx="22">
                  <c:v>43.6</c:v>
                </c:pt>
                <c:pt idx="23">
                  <c:v>33</c:v>
                </c:pt>
                <c:pt idx="24">
                  <c:v>25</c:v>
                </c:pt>
                <c:pt idx="25">
                  <c:v>24.4</c:v>
                </c:pt>
                <c:pt idx="26">
                  <c:v>30.2</c:v>
                </c:pt>
                <c:pt idx="27">
                  <c:v>25.4</c:v>
                </c:pt>
                <c:pt idx="28">
                  <c:v>36.5</c:v>
                </c:pt>
                <c:pt idx="29">
                  <c:v>35</c:v>
                </c:pt>
                <c:pt idx="30">
                  <c:v>41</c:v>
                </c:pt>
                <c:pt idx="31">
                  <c:v>37</c:v>
                </c:pt>
                <c:pt idx="32">
                  <c:v>29</c:v>
                </c:pt>
                <c:pt idx="33">
                  <c:v>45</c:v>
                </c:pt>
                <c:pt idx="34">
                  <c:v>43</c:v>
                </c:pt>
                <c:pt idx="35">
                  <c:v>35</c:v>
                </c:pt>
                <c:pt idx="36">
                  <c:v>33</c:v>
                </c:pt>
                <c:pt idx="37">
                  <c:v>32</c:v>
                </c:pt>
                <c:pt idx="38">
                  <c:v>30</c:v>
                </c:pt>
                <c:pt idx="39">
                  <c:v>28</c:v>
                </c:pt>
                <c:pt idx="40">
                  <c:v>37</c:v>
                </c:pt>
                <c:pt idx="41">
                  <c:v>36</c:v>
                </c:pt>
                <c:pt idx="42">
                  <c:v>33</c:v>
                </c:pt>
                <c:pt idx="43">
                  <c:v>30</c:v>
                </c:pt>
                <c:pt idx="44">
                  <c:v>29.3</c:v>
                </c:pt>
                <c:pt idx="45">
                  <c:v>34</c:v>
                </c:pt>
                <c:pt idx="46">
                  <c:v>28</c:v>
                </c:pt>
                <c:pt idx="47">
                  <c:v>51</c:v>
                </c:pt>
                <c:pt idx="48">
                  <c:v>33.200000000000003</c:v>
                </c:pt>
                <c:pt idx="49">
                  <c:v>33</c:v>
                </c:pt>
                <c:pt idx="50">
                  <c:v>25</c:v>
                </c:pt>
                <c:pt idx="51">
                  <c:v>30</c:v>
                </c:pt>
                <c:pt idx="52">
                  <c:v>33</c:v>
                </c:pt>
                <c:pt idx="53">
                  <c:v>32</c:v>
                </c:pt>
                <c:pt idx="54">
                  <c:v>36.4</c:v>
                </c:pt>
                <c:pt idx="55">
                  <c:v>34</c:v>
                </c:pt>
                <c:pt idx="56">
                  <c:v>35</c:v>
                </c:pt>
                <c:pt idx="57">
                  <c:v>38</c:v>
                </c:pt>
                <c:pt idx="58">
                  <c:v>30</c:v>
                </c:pt>
                <c:pt idx="59">
                  <c:v>45</c:v>
                </c:pt>
                <c:pt idx="60">
                  <c:v>35</c:v>
                </c:pt>
                <c:pt idx="61">
                  <c:v>45</c:v>
                </c:pt>
                <c:pt idx="62">
                  <c:v>31</c:v>
                </c:pt>
                <c:pt idx="63">
                  <c:v>30</c:v>
                </c:pt>
                <c:pt idx="64">
                  <c:v>41</c:v>
                </c:pt>
                <c:pt idx="65">
                  <c:v>32</c:v>
                </c:pt>
                <c:pt idx="66">
                  <c:v>26</c:v>
                </c:pt>
                <c:pt idx="67">
                  <c:v>29</c:v>
                </c:pt>
                <c:pt idx="68">
                  <c:v>21</c:v>
                </c:pt>
                <c:pt idx="69">
                  <c:v>24</c:v>
                </c:pt>
                <c:pt idx="70">
                  <c:v>39</c:v>
                </c:pt>
                <c:pt idx="71">
                  <c:v>28</c:v>
                </c:pt>
                <c:pt idx="72">
                  <c:v>21</c:v>
                </c:pt>
                <c:pt idx="73">
                  <c:v>24</c:v>
                </c:pt>
                <c:pt idx="74">
                  <c:v>38</c:v>
                </c:pt>
                <c:pt idx="75">
                  <c:v>45</c:v>
                </c:pt>
                <c:pt idx="76">
                  <c:v>27</c:v>
                </c:pt>
                <c:pt idx="77">
                  <c:v>21</c:v>
                </c:pt>
                <c:pt idx="78">
                  <c:v>24</c:v>
                </c:pt>
                <c:pt idx="79">
                  <c:v>30</c:v>
                </c:pt>
                <c:pt idx="80">
                  <c:v>38</c:v>
                </c:pt>
                <c:pt idx="81">
                  <c:v>28</c:v>
                </c:pt>
                <c:pt idx="82">
                  <c:v>33</c:v>
                </c:pt>
                <c:pt idx="83">
                  <c:v>26</c:v>
                </c:pt>
                <c:pt idx="84">
                  <c:v>24</c:v>
                </c:pt>
                <c:pt idx="85">
                  <c:v>19</c:v>
                </c:pt>
                <c:pt idx="86">
                  <c:v>26</c:v>
                </c:pt>
                <c:pt idx="87">
                  <c:v>27</c:v>
                </c:pt>
                <c:pt idx="88">
                  <c:v>24.3</c:v>
                </c:pt>
                <c:pt idx="89">
                  <c:v>15.2</c:v>
                </c:pt>
                <c:pt idx="90">
                  <c:v>28</c:v>
                </c:pt>
                <c:pt idx="91">
                  <c:v>27</c:v>
                </c:pt>
                <c:pt idx="92">
                  <c:v>26</c:v>
                </c:pt>
                <c:pt idx="93">
                  <c:v>24</c:v>
                </c:pt>
                <c:pt idx="94">
                  <c:v>22</c:v>
                </c:pt>
                <c:pt idx="95">
                  <c:v>28</c:v>
                </c:pt>
                <c:pt idx="96">
                  <c:v>26</c:v>
                </c:pt>
                <c:pt idx="97">
                  <c:v>30</c:v>
                </c:pt>
                <c:pt idx="98">
                  <c:v>22</c:v>
                </c:pt>
                <c:pt idx="99">
                  <c:v>35</c:v>
                </c:pt>
                <c:pt idx="100">
                  <c:v>26</c:v>
                </c:pt>
                <c:pt idx="101">
                  <c:v>30</c:v>
                </c:pt>
                <c:pt idx="102">
                  <c:v>25</c:v>
                </c:pt>
                <c:pt idx="103">
                  <c:v>28</c:v>
                </c:pt>
                <c:pt idx="104">
                  <c:v>28</c:v>
                </c:pt>
                <c:pt idx="105">
                  <c:v>31</c:v>
                </c:pt>
                <c:pt idx="106">
                  <c:v>26</c:v>
                </c:pt>
                <c:pt idx="107">
                  <c:v>32</c:v>
                </c:pt>
                <c:pt idx="108">
                  <c:v>26</c:v>
                </c:pt>
                <c:pt idx="109">
                  <c:v>26</c:v>
                </c:pt>
                <c:pt idx="110">
                  <c:v>24</c:v>
                </c:pt>
                <c:pt idx="111">
                  <c:v>23</c:v>
                </c:pt>
                <c:pt idx="112">
                  <c:v>28</c:v>
                </c:pt>
                <c:pt idx="113">
                  <c:v>26</c:v>
                </c:pt>
                <c:pt idx="114">
                  <c:v>28</c:v>
                </c:pt>
                <c:pt idx="115">
                  <c:v>32</c:v>
                </c:pt>
                <c:pt idx="116">
                  <c:v>22</c:v>
                </c:pt>
                <c:pt idx="117">
                  <c:v>25</c:v>
                </c:pt>
                <c:pt idx="118">
                  <c:v>28</c:v>
                </c:pt>
                <c:pt idx="119">
                  <c:v>35</c:v>
                </c:pt>
                <c:pt idx="120">
                  <c:v>33</c:v>
                </c:pt>
                <c:pt idx="121">
                  <c:v>34</c:v>
                </c:pt>
                <c:pt idx="122">
                  <c:v>29</c:v>
                </c:pt>
                <c:pt idx="123">
                  <c:v>28</c:v>
                </c:pt>
                <c:pt idx="124">
                  <c:v>24</c:v>
                </c:pt>
                <c:pt idx="125">
                  <c:v>34</c:v>
                </c:pt>
                <c:pt idx="126">
                  <c:v>30</c:v>
                </c:pt>
                <c:pt idx="127">
                  <c:v>25</c:v>
                </c:pt>
                <c:pt idx="128">
                  <c:v>26</c:v>
                </c:pt>
                <c:pt idx="129">
                  <c:v>34</c:v>
                </c:pt>
                <c:pt idx="130">
                  <c:v>24</c:v>
                </c:pt>
                <c:pt idx="131">
                  <c:v>34</c:v>
                </c:pt>
                <c:pt idx="132">
                  <c:v>23</c:v>
                </c:pt>
                <c:pt idx="133">
                  <c:v>34</c:v>
                </c:pt>
                <c:pt idx="134">
                  <c:v>38</c:v>
                </c:pt>
                <c:pt idx="135">
                  <c:v>24</c:v>
                </c:pt>
                <c:pt idx="136">
                  <c:v>28</c:v>
                </c:pt>
                <c:pt idx="137">
                  <c:v>23</c:v>
                </c:pt>
                <c:pt idx="138">
                  <c:v>27</c:v>
                </c:pt>
                <c:pt idx="139">
                  <c:v>28</c:v>
                </c:pt>
                <c:pt idx="140">
                  <c:v>24</c:v>
                </c:pt>
                <c:pt idx="141">
                  <c:v>25</c:v>
                </c:pt>
                <c:pt idx="142">
                  <c:v>29</c:v>
                </c:pt>
                <c:pt idx="143">
                  <c:v>35</c:v>
                </c:pt>
                <c:pt idx="144">
                  <c:v>33</c:v>
                </c:pt>
                <c:pt idx="145">
                  <c:v>33</c:v>
                </c:pt>
                <c:pt idx="146">
                  <c:v>34</c:v>
                </c:pt>
                <c:pt idx="147">
                  <c:v>28</c:v>
                </c:pt>
                <c:pt idx="148">
                  <c:v>40</c:v>
                </c:pt>
                <c:pt idx="149">
                  <c:v>28</c:v>
                </c:pt>
                <c:pt idx="150">
                  <c:v>24</c:v>
                </c:pt>
                <c:pt idx="151">
                  <c:v>26</c:v>
                </c:pt>
                <c:pt idx="152">
                  <c:v>24</c:v>
                </c:pt>
                <c:pt idx="153">
                  <c:v>25</c:v>
                </c:pt>
                <c:pt idx="154">
                  <c:v>22</c:v>
                </c:pt>
                <c:pt idx="155">
                  <c:v>23</c:v>
                </c:pt>
                <c:pt idx="156">
                  <c:v>51</c:v>
                </c:pt>
                <c:pt idx="157">
                  <c:v>23</c:v>
                </c:pt>
                <c:pt idx="158">
                  <c:v>22</c:v>
                </c:pt>
                <c:pt idx="159">
                  <c:v>23</c:v>
                </c:pt>
                <c:pt idx="160">
                  <c:v>28</c:v>
                </c:pt>
                <c:pt idx="161">
                  <c:v>27</c:v>
                </c:pt>
                <c:pt idx="162">
                  <c:v>20</c:v>
                </c:pt>
                <c:pt idx="163">
                  <c:v>26</c:v>
                </c:pt>
                <c:pt idx="164">
                  <c:v>26</c:v>
                </c:pt>
                <c:pt idx="165">
                  <c:v>25</c:v>
                </c:pt>
                <c:pt idx="166">
                  <c:v>25</c:v>
                </c:pt>
                <c:pt idx="167">
                  <c:v>37</c:v>
                </c:pt>
                <c:pt idx="168">
                  <c:v>25</c:v>
                </c:pt>
                <c:pt idx="169">
                  <c:v>26</c:v>
                </c:pt>
                <c:pt idx="170">
                  <c:v>20</c:v>
                </c:pt>
                <c:pt idx="171">
                  <c:v>36</c:v>
                </c:pt>
                <c:pt idx="172">
                  <c:v>26</c:v>
                </c:pt>
                <c:pt idx="173">
                  <c:v>22</c:v>
                </c:pt>
                <c:pt idx="174">
                  <c:v>28</c:v>
                </c:pt>
                <c:pt idx="175">
                  <c:v>27</c:v>
                </c:pt>
                <c:pt idx="176">
                  <c:v>37</c:v>
                </c:pt>
                <c:pt idx="177">
                  <c:v>34</c:v>
                </c:pt>
                <c:pt idx="178">
                  <c:v>26</c:v>
                </c:pt>
                <c:pt idx="179">
                  <c:v>23</c:v>
                </c:pt>
                <c:pt idx="180">
                  <c:v>25</c:v>
                </c:pt>
                <c:pt idx="181">
                  <c:v>35</c:v>
                </c:pt>
                <c:pt idx="182">
                  <c:v>33</c:v>
                </c:pt>
                <c:pt idx="183">
                  <c:v>34</c:v>
                </c:pt>
                <c:pt idx="184">
                  <c:v>28</c:v>
                </c:pt>
                <c:pt idx="185">
                  <c:v>28</c:v>
                </c:pt>
                <c:pt idx="186">
                  <c:v>29</c:v>
                </c:pt>
                <c:pt idx="187">
                  <c:v>26</c:v>
                </c:pt>
                <c:pt idx="188">
                  <c:v>28</c:v>
                </c:pt>
                <c:pt idx="189">
                  <c:v>21</c:v>
                </c:pt>
                <c:pt idx="190">
                  <c:v>25</c:v>
                </c:pt>
                <c:pt idx="191">
                  <c:v>30</c:v>
                </c:pt>
                <c:pt idx="192">
                  <c:v>37</c:v>
                </c:pt>
                <c:pt idx="193">
                  <c:v>26</c:v>
                </c:pt>
                <c:pt idx="194">
                  <c:v>36</c:v>
                </c:pt>
                <c:pt idx="195">
                  <c:v>24</c:v>
                </c:pt>
                <c:pt idx="196">
                  <c:v>30</c:v>
                </c:pt>
                <c:pt idx="197">
                  <c:v>37</c:v>
                </c:pt>
                <c:pt idx="198">
                  <c:v>29</c:v>
                </c:pt>
                <c:pt idx="199">
                  <c:v>22</c:v>
                </c:pt>
                <c:pt idx="200">
                  <c:v>24</c:v>
                </c:pt>
                <c:pt idx="201">
                  <c:v>26</c:v>
                </c:pt>
                <c:pt idx="202">
                  <c:v>26</c:v>
                </c:pt>
                <c:pt idx="203">
                  <c:v>35</c:v>
                </c:pt>
                <c:pt idx="204">
                  <c:v>29</c:v>
                </c:pt>
                <c:pt idx="205">
                  <c:v>36</c:v>
                </c:pt>
                <c:pt idx="206">
                  <c:v>27</c:v>
                </c:pt>
                <c:pt idx="207">
                  <c:v>26</c:v>
                </c:pt>
                <c:pt idx="208">
                  <c:v>24</c:v>
                </c:pt>
                <c:pt idx="209">
                  <c:v>24</c:v>
                </c:pt>
                <c:pt idx="210">
                  <c:v>22</c:v>
                </c:pt>
                <c:pt idx="211">
                  <c:v>27</c:v>
                </c:pt>
                <c:pt idx="212">
                  <c:v>22</c:v>
                </c:pt>
                <c:pt idx="213">
                  <c:v>33</c:v>
                </c:pt>
                <c:pt idx="214">
                  <c:v>30</c:v>
                </c:pt>
                <c:pt idx="215">
                  <c:v>30</c:v>
                </c:pt>
                <c:pt idx="216">
                  <c:v>26</c:v>
                </c:pt>
                <c:pt idx="217">
                  <c:v>42</c:v>
                </c:pt>
                <c:pt idx="218">
                  <c:v>28</c:v>
                </c:pt>
                <c:pt idx="219">
                  <c:v>32</c:v>
                </c:pt>
                <c:pt idx="220">
                  <c:v>44</c:v>
                </c:pt>
                <c:pt idx="221">
                  <c:v>37</c:v>
                </c:pt>
                <c:pt idx="222">
                  <c:v>28</c:v>
                </c:pt>
                <c:pt idx="223">
                  <c:v>34</c:v>
                </c:pt>
                <c:pt idx="224">
                  <c:v>31</c:v>
                </c:pt>
                <c:pt idx="225">
                  <c:v>38</c:v>
                </c:pt>
                <c:pt idx="226">
                  <c:v>35</c:v>
                </c:pt>
                <c:pt idx="227">
                  <c:v>23</c:v>
                </c:pt>
                <c:pt idx="228">
                  <c:v>30</c:v>
                </c:pt>
                <c:pt idx="229">
                  <c:v>37</c:v>
                </c:pt>
                <c:pt idx="230">
                  <c:v>26</c:v>
                </c:pt>
                <c:pt idx="231">
                  <c:v>29</c:v>
                </c:pt>
                <c:pt idx="232">
                  <c:v>45</c:v>
                </c:pt>
                <c:pt idx="233">
                  <c:v>35</c:v>
                </c:pt>
                <c:pt idx="234">
                  <c:v>32</c:v>
                </c:pt>
                <c:pt idx="235">
                  <c:v>29</c:v>
                </c:pt>
                <c:pt idx="236">
                  <c:v>23</c:v>
                </c:pt>
                <c:pt idx="237">
                  <c:v>37</c:v>
                </c:pt>
                <c:pt idx="238">
                  <c:v>29</c:v>
                </c:pt>
                <c:pt idx="239">
                  <c:v>36</c:v>
                </c:pt>
                <c:pt idx="240">
                  <c:v>39</c:v>
                </c:pt>
                <c:pt idx="241">
                  <c:v>33</c:v>
                </c:pt>
                <c:pt idx="242">
                  <c:v>25</c:v>
                </c:pt>
                <c:pt idx="243">
                  <c:v>22</c:v>
                </c:pt>
                <c:pt idx="244">
                  <c:v>34</c:v>
                </c:pt>
                <c:pt idx="245">
                  <c:v>35</c:v>
                </c:pt>
                <c:pt idx="246">
                  <c:v>34</c:v>
                </c:pt>
                <c:pt idx="247">
                  <c:v>20</c:v>
                </c:pt>
                <c:pt idx="248">
                  <c:v>27</c:v>
                </c:pt>
                <c:pt idx="249">
                  <c:v>26</c:v>
                </c:pt>
                <c:pt idx="250">
                  <c:v>31</c:v>
                </c:pt>
                <c:pt idx="251">
                  <c:v>26</c:v>
                </c:pt>
                <c:pt idx="252">
                  <c:v>44</c:v>
                </c:pt>
                <c:pt idx="253">
                  <c:v>31</c:v>
                </c:pt>
                <c:pt idx="254">
                  <c:v>26</c:v>
                </c:pt>
                <c:pt idx="255">
                  <c:v>26</c:v>
                </c:pt>
                <c:pt idx="256">
                  <c:v>28</c:v>
                </c:pt>
                <c:pt idx="257">
                  <c:v>26</c:v>
                </c:pt>
                <c:pt idx="258">
                  <c:v>34</c:v>
                </c:pt>
                <c:pt idx="259">
                  <c:v>26</c:v>
                </c:pt>
                <c:pt idx="260">
                  <c:v>28</c:v>
                </c:pt>
                <c:pt idx="261">
                  <c:v>25</c:v>
                </c:pt>
                <c:pt idx="262">
                  <c:v>38</c:v>
                </c:pt>
                <c:pt idx="263">
                  <c:v>26</c:v>
                </c:pt>
                <c:pt idx="264">
                  <c:v>24</c:v>
                </c:pt>
                <c:pt idx="265">
                  <c:v>22</c:v>
                </c:pt>
                <c:pt idx="266">
                  <c:v>23</c:v>
                </c:pt>
                <c:pt idx="267">
                  <c:v>28</c:v>
                </c:pt>
                <c:pt idx="268">
                  <c:v>36</c:v>
                </c:pt>
                <c:pt idx="269">
                  <c:v>24</c:v>
                </c:pt>
                <c:pt idx="270">
                  <c:v>25</c:v>
                </c:pt>
                <c:pt idx="271">
                  <c:v>30</c:v>
                </c:pt>
                <c:pt idx="272">
                  <c:v>26</c:v>
                </c:pt>
                <c:pt idx="273">
                  <c:v>34</c:v>
                </c:pt>
                <c:pt idx="274">
                  <c:v>31</c:v>
                </c:pt>
                <c:pt idx="275">
                  <c:v>28</c:v>
                </c:pt>
                <c:pt idx="276">
                  <c:v>30</c:v>
                </c:pt>
                <c:pt idx="277">
                  <c:v>26</c:v>
                </c:pt>
                <c:pt idx="278">
                  <c:v>25</c:v>
                </c:pt>
                <c:pt idx="279">
                  <c:v>27</c:v>
                </c:pt>
                <c:pt idx="280">
                  <c:v>29</c:v>
                </c:pt>
                <c:pt idx="281">
                  <c:v>32</c:v>
                </c:pt>
                <c:pt idx="282">
                  <c:v>30</c:v>
                </c:pt>
                <c:pt idx="283">
                  <c:v>24</c:v>
                </c:pt>
                <c:pt idx="284">
                  <c:v>29</c:v>
                </c:pt>
                <c:pt idx="285">
                  <c:v>28</c:v>
                </c:pt>
                <c:pt idx="286">
                  <c:v>31</c:v>
                </c:pt>
                <c:pt idx="287">
                  <c:v>29</c:v>
                </c:pt>
                <c:pt idx="288">
                  <c:v>32</c:v>
                </c:pt>
                <c:pt idx="289">
                  <c:v>41</c:v>
                </c:pt>
                <c:pt idx="290">
                  <c:v>32</c:v>
                </c:pt>
                <c:pt idx="291">
                  <c:v>36</c:v>
                </c:pt>
                <c:pt idx="292">
                  <c:v>34</c:v>
                </c:pt>
                <c:pt idx="293">
                  <c:v>33</c:v>
                </c:pt>
                <c:pt idx="294">
                  <c:v>34</c:v>
                </c:pt>
                <c:pt idx="295">
                  <c:v>27</c:v>
                </c:pt>
                <c:pt idx="296">
                  <c:v>32</c:v>
                </c:pt>
                <c:pt idx="297">
                  <c:v>23</c:v>
                </c:pt>
                <c:pt idx="298">
                  <c:v>39</c:v>
                </c:pt>
                <c:pt idx="299">
                  <c:v>28</c:v>
                </c:pt>
                <c:pt idx="300">
                  <c:v>32</c:v>
                </c:pt>
                <c:pt idx="301">
                  <c:v>37</c:v>
                </c:pt>
                <c:pt idx="302">
                  <c:v>31</c:v>
                </c:pt>
                <c:pt idx="303">
                  <c:v>24</c:v>
                </c:pt>
                <c:pt idx="304">
                  <c:v>36</c:v>
                </c:pt>
                <c:pt idx="305">
                  <c:v>22</c:v>
                </c:pt>
                <c:pt idx="306">
                  <c:v>22</c:v>
                </c:pt>
                <c:pt idx="307">
                  <c:v>26</c:v>
                </c:pt>
                <c:pt idx="308">
                  <c:v>22</c:v>
                </c:pt>
                <c:pt idx="309">
                  <c:v>19</c:v>
                </c:pt>
                <c:pt idx="310">
                  <c:v>31</c:v>
                </c:pt>
                <c:pt idx="311">
                  <c:v>25</c:v>
                </c:pt>
                <c:pt idx="312">
                  <c:v>30</c:v>
                </c:pt>
                <c:pt idx="313">
                  <c:v>30</c:v>
                </c:pt>
                <c:pt idx="314">
                  <c:v>21</c:v>
                </c:pt>
                <c:pt idx="315">
                  <c:v>26</c:v>
                </c:pt>
                <c:pt idx="316">
                  <c:v>28</c:v>
                </c:pt>
                <c:pt idx="317">
                  <c:v>39</c:v>
                </c:pt>
                <c:pt idx="318">
                  <c:v>19</c:v>
                </c:pt>
                <c:pt idx="319">
                  <c:v>28</c:v>
                </c:pt>
                <c:pt idx="320">
                  <c:v>27</c:v>
                </c:pt>
                <c:pt idx="321">
                  <c:v>22</c:v>
                </c:pt>
                <c:pt idx="322">
                  <c:v>32</c:v>
                </c:pt>
                <c:pt idx="323">
                  <c:v>24</c:v>
                </c:pt>
                <c:pt idx="324">
                  <c:v>28</c:v>
                </c:pt>
                <c:pt idx="325">
                  <c:v>38</c:v>
                </c:pt>
                <c:pt idx="326">
                  <c:v>30</c:v>
                </c:pt>
                <c:pt idx="327">
                  <c:v>24</c:v>
                </c:pt>
                <c:pt idx="328">
                  <c:v>24</c:v>
                </c:pt>
                <c:pt idx="329">
                  <c:v>36</c:v>
                </c:pt>
                <c:pt idx="330">
                  <c:v>30</c:v>
                </c:pt>
                <c:pt idx="331">
                  <c:v>26</c:v>
                </c:pt>
                <c:pt idx="332">
                  <c:v>24</c:v>
                </c:pt>
                <c:pt idx="333">
                  <c:v>24</c:v>
                </c:pt>
                <c:pt idx="334">
                  <c:v>33</c:v>
                </c:pt>
                <c:pt idx="335">
                  <c:v>42</c:v>
                </c:pt>
                <c:pt idx="336">
                  <c:v>28</c:v>
                </c:pt>
                <c:pt idx="337">
                  <c:v>25</c:v>
                </c:pt>
                <c:pt idx="338">
                  <c:v>26</c:v>
                </c:pt>
                <c:pt idx="339">
                  <c:v>25</c:v>
                </c:pt>
                <c:pt idx="340">
                  <c:v>29</c:v>
                </c:pt>
                <c:pt idx="341">
                  <c:v>43</c:v>
                </c:pt>
                <c:pt idx="342">
                  <c:v>35</c:v>
                </c:pt>
                <c:pt idx="343">
                  <c:v>27</c:v>
                </c:pt>
                <c:pt idx="344">
                  <c:v>44</c:v>
                </c:pt>
                <c:pt idx="345">
                  <c:v>27</c:v>
                </c:pt>
                <c:pt idx="346">
                  <c:v>38</c:v>
                </c:pt>
                <c:pt idx="347">
                  <c:v>30</c:v>
                </c:pt>
                <c:pt idx="348">
                  <c:v>27</c:v>
                </c:pt>
                <c:pt idx="349">
                  <c:v>27</c:v>
                </c:pt>
                <c:pt idx="350">
                  <c:v>42</c:v>
                </c:pt>
                <c:pt idx="351">
                  <c:v>37</c:v>
                </c:pt>
                <c:pt idx="352">
                  <c:v>28</c:v>
                </c:pt>
                <c:pt idx="353">
                  <c:v>37</c:v>
                </c:pt>
                <c:pt idx="354">
                  <c:v>29</c:v>
                </c:pt>
                <c:pt idx="355">
                  <c:v>35</c:v>
                </c:pt>
                <c:pt idx="356">
                  <c:v>37</c:v>
                </c:pt>
                <c:pt idx="357">
                  <c:v>34</c:v>
                </c:pt>
                <c:pt idx="358">
                  <c:v>28</c:v>
                </c:pt>
                <c:pt idx="359">
                  <c:v>27</c:v>
                </c:pt>
                <c:pt idx="360">
                  <c:v>39</c:v>
                </c:pt>
                <c:pt idx="361">
                  <c:v>43</c:v>
                </c:pt>
                <c:pt idx="362">
                  <c:v>28</c:v>
                </c:pt>
                <c:pt idx="363">
                  <c:v>34</c:v>
                </c:pt>
                <c:pt idx="364">
                  <c:v>37</c:v>
                </c:pt>
                <c:pt idx="365">
                  <c:v>35</c:v>
                </c:pt>
                <c:pt idx="366">
                  <c:v>33</c:v>
                </c:pt>
                <c:pt idx="367">
                  <c:v>24</c:v>
                </c:pt>
                <c:pt idx="368">
                  <c:v>22</c:v>
                </c:pt>
                <c:pt idx="369">
                  <c:v>24</c:v>
                </c:pt>
                <c:pt idx="370">
                  <c:v>26</c:v>
                </c:pt>
                <c:pt idx="371">
                  <c:v>19</c:v>
                </c:pt>
                <c:pt idx="372">
                  <c:v>25</c:v>
                </c:pt>
                <c:pt idx="373">
                  <c:v>26</c:v>
                </c:pt>
                <c:pt idx="374">
                  <c:v>28</c:v>
                </c:pt>
                <c:pt idx="375">
                  <c:v>30</c:v>
                </c:pt>
                <c:pt idx="376">
                  <c:v>26</c:v>
                </c:pt>
                <c:pt idx="377">
                  <c:v>24</c:v>
                </c:pt>
                <c:pt idx="378">
                  <c:v>33</c:v>
                </c:pt>
                <c:pt idx="379">
                  <c:v>32</c:v>
                </c:pt>
                <c:pt idx="380">
                  <c:v>26</c:v>
                </c:pt>
                <c:pt idx="381">
                  <c:v>34</c:v>
                </c:pt>
                <c:pt idx="382">
                  <c:v>32</c:v>
                </c:pt>
                <c:pt idx="383">
                  <c:v>32</c:v>
                </c:pt>
                <c:pt idx="384">
                  <c:v>38</c:v>
                </c:pt>
                <c:pt idx="385">
                  <c:v>29</c:v>
                </c:pt>
                <c:pt idx="386">
                  <c:v>25</c:v>
                </c:pt>
                <c:pt idx="387">
                  <c:v>32</c:v>
                </c:pt>
                <c:pt idx="388">
                  <c:v>28</c:v>
                </c:pt>
                <c:pt idx="389">
                  <c:v>31</c:v>
                </c:pt>
                <c:pt idx="390">
                  <c:v>26</c:v>
                </c:pt>
                <c:pt idx="391">
                  <c:v>26</c:v>
                </c:pt>
                <c:pt idx="392">
                  <c:v>25</c:v>
                </c:pt>
                <c:pt idx="393">
                  <c:v>38</c:v>
                </c:pt>
                <c:pt idx="394">
                  <c:v>31</c:v>
                </c:pt>
                <c:pt idx="395">
                  <c:v>29</c:v>
                </c:pt>
                <c:pt idx="396">
                  <c:v>31</c:v>
                </c:pt>
                <c:pt idx="397">
                  <c:v>33</c:v>
                </c:pt>
                <c:pt idx="398">
                  <c:v>40</c:v>
                </c:pt>
                <c:pt idx="399">
                  <c:v>33</c:v>
                </c:pt>
                <c:pt idx="400">
                  <c:v>45</c:v>
                </c:pt>
                <c:pt idx="401">
                  <c:v>34</c:v>
                </c:pt>
                <c:pt idx="402">
                  <c:v>39</c:v>
                </c:pt>
                <c:pt idx="403">
                  <c:v>35</c:v>
                </c:pt>
                <c:pt idx="404">
                  <c:v>35</c:v>
                </c:pt>
                <c:pt idx="405">
                  <c:v>33</c:v>
                </c:pt>
                <c:pt idx="406">
                  <c:v>28</c:v>
                </c:pt>
                <c:pt idx="407">
                  <c:v>24</c:v>
                </c:pt>
                <c:pt idx="408">
                  <c:v>36</c:v>
                </c:pt>
                <c:pt idx="409">
                  <c:v>35</c:v>
                </c:pt>
                <c:pt idx="410">
                  <c:v>28</c:v>
                </c:pt>
                <c:pt idx="411">
                  <c:v>26</c:v>
                </c:pt>
                <c:pt idx="412">
                  <c:v>35</c:v>
                </c:pt>
                <c:pt idx="413">
                  <c:v>32</c:v>
                </c:pt>
                <c:pt idx="414">
                  <c:v>23</c:v>
                </c:pt>
                <c:pt idx="415">
                  <c:v>32</c:v>
                </c:pt>
                <c:pt idx="416">
                  <c:v>29</c:v>
                </c:pt>
                <c:pt idx="417">
                  <c:v>25</c:v>
                </c:pt>
                <c:pt idx="418">
                  <c:v>35</c:v>
                </c:pt>
                <c:pt idx="419">
                  <c:v>37</c:v>
                </c:pt>
                <c:pt idx="420">
                  <c:v>43</c:v>
                </c:pt>
                <c:pt idx="421">
                  <c:v>32</c:v>
                </c:pt>
                <c:pt idx="422">
                  <c:v>31</c:v>
                </c:pt>
                <c:pt idx="423">
                  <c:v>29</c:v>
                </c:pt>
                <c:pt idx="424">
                  <c:v>41</c:v>
                </c:pt>
                <c:pt idx="425">
                  <c:v>22</c:v>
                </c:pt>
                <c:pt idx="426">
                  <c:v>32</c:v>
                </c:pt>
                <c:pt idx="427">
                  <c:v>35</c:v>
                </c:pt>
                <c:pt idx="428">
                  <c:v>39</c:v>
                </c:pt>
                <c:pt idx="429">
                  <c:v>43</c:v>
                </c:pt>
                <c:pt idx="430">
                  <c:v>28</c:v>
                </c:pt>
                <c:pt idx="431">
                  <c:v>28</c:v>
                </c:pt>
                <c:pt idx="432">
                  <c:v>36</c:v>
                </c:pt>
                <c:pt idx="433">
                  <c:v>35</c:v>
                </c:pt>
                <c:pt idx="434">
                  <c:v>45</c:v>
                </c:pt>
                <c:pt idx="435">
                  <c:v>34</c:v>
                </c:pt>
                <c:pt idx="436">
                  <c:v>29</c:v>
                </c:pt>
                <c:pt idx="437">
                  <c:v>32</c:v>
                </c:pt>
                <c:pt idx="438">
                  <c:v>33</c:v>
                </c:pt>
                <c:pt idx="439">
                  <c:v>38</c:v>
                </c:pt>
                <c:pt idx="440">
                  <c:v>35</c:v>
                </c:pt>
                <c:pt idx="441">
                  <c:v>26</c:v>
                </c:pt>
                <c:pt idx="442">
                  <c:v>24</c:v>
                </c:pt>
                <c:pt idx="443">
                  <c:v>24</c:v>
                </c:pt>
                <c:pt idx="444">
                  <c:v>31</c:v>
                </c:pt>
                <c:pt idx="445">
                  <c:v>26</c:v>
                </c:pt>
                <c:pt idx="446">
                  <c:v>21</c:v>
                </c:pt>
                <c:pt idx="447">
                  <c:v>23</c:v>
                </c:pt>
                <c:pt idx="448">
                  <c:v>28</c:v>
                </c:pt>
                <c:pt idx="449">
                  <c:v>22</c:v>
                </c:pt>
                <c:pt idx="450">
                  <c:v>25</c:v>
                </c:pt>
                <c:pt idx="451">
                  <c:v>23</c:v>
                </c:pt>
                <c:pt idx="452">
                  <c:v>22</c:v>
                </c:pt>
                <c:pt idx="453">
                  <c:v>20</c:v>
                </c:pt>
                <c:pt idx="454">
                  <c:v>32</c:v>
                </c:pt>
                <c:pt idx="455">
                  <c:v>32</c:v>
                </c:pt>
                <c:pt idx="456">
                  <c:v>38</c:v>
                </c:pt>
                <c:pt idx="457">
                  <c:v>40</c:v>
                </c:pt>
                <c:pt idx="458">
                  <c:v>33</c:v>
                </c:pt>
                <c:pt idx="459">
                  <c:v>38</c:v>
                </c:pt>
                <c:pt idx="460">
                  <c:v>31</c:v>
                </c:pt>
                <c:pt idx="461">
                  <c:v>24</c:v>
                </c:pt>
                <c:pt idx="462">
                  <c:v>28</c:v>
                </c:pt>
                <c:pt idx="463">
                  <c:v>30</c:v>
                </c:pt>
                <c:pt idx="464">
                  <c:v>30</c:v>
                </c:pt>
                <c:pt idx="465">
                  <c:v>39</c:v>
                </c:pt>
                <c:pt idx="466">
                  <c:v>25</c:v>
                </c:pt>
                <c:pt idx="467">
                  <c:v>28</c:v>
                </c:pt>
                <c:pt idx="468">
                  <c:v>38</c:v>
                </c:pt>
                <c:pt idx="469">
                  <c:v>37</c:v>
                </c:pt>
                <c:pt idx="470">
                  <c:v>32</c:v>
                </c:pt>
                <c:pt idx="471">
                  <c:v>27</c:v>
                </c:pt>
                <c:pt idx="472">
                  <c:v>32</c:v>
                </c:pt>
                <c:pt idx="473">
                  <c:v>36</c:v>
                </c:pt>
                <c:pt idx="474">
                  <c:v>28</c:v>
                </c:pt>
                <c:pt idx="475">
                  <c:v>31</c:v>
                </c:pt>
                <c:pt idx="476">
                  <c:v>28</c:v>
                </c:pt>
                <c:pt idx="477">
                  <c:v>28</c:v>
                </c:pt>
                <c:pt idx="478">
                  <c:v>36</c:v>
                </c:pt>
                <c:pt idx="479">
                  <c:v>37</c:v>
                </c:pt>
                <c:pt idx="480">
                  <c:v>31</c:v>
                </c:pt>
                <c:pt idx="481">
                  <c:v>27</c:v>
                </c:pt>
                <c:pt idx="482">
                  <c:v>26</c:v>
                </c:pt>
                <c:pt idx="483">
                  <c:v>38</c:v>
                </c:pt>
                <c:pt idx="484">
                  <c:v>34</c:v>
                </c:pt>
                <c:pt idx="485">
                  <c:v>30</c:v>
                </c:pt>
                <c:pt idx="486">
                  <c:v>28</c:v>
                </c:pt>
                <c:pt idx="487">
                  <c:v>47</c:v>
                </c:pt>
                <c:pt idx="488">
                  <c:v>28</c:v>
                </c:pt>
                <c:pt idx="489">
                  <c:v>28</c:v>
                </c:pt>
                <c:pt idx="490">
                  <c:v>32</c:v>
                </c:pt>
                <c:pt idx="491">
                  <c:v>41</c:v>
                </c:pt>
                <c:pt idx="492">
                  <c:v>38</c:v>
                </c:pt>
                <c:pt idx="493">
                  <c:v>28</c:v>
                </c:pt>
                <c:pt idx="494">
                  <c:v>38</c:v>
                </c:pt>
                <c:pt idx="495">
                  <c:v>34</c:v>
                </c:pt>
                <c:pt idx="496">
                  <c:v>23</c:v>
                </c:pt>
                <c:pt idx="497">
                  <c:v>38</c:v>
                </c:pt>
                <c:pt idx="498">
                  <c:v>37</c:v>
                </c:pt>
                <c:pt idx="499">
                  <c:v>27</c:v>
                </c:pt>
                <c:pt idx="500">
                  <c:v>32</c:v>
                </c:pt>
                <c:pt idx="501">
                  <c:v>35</c:v>
                </c:pt>
                <c:pt idx="502">
                  <c:v>42</c:v>
                </c:pt>
                <c:pt idx="503">
                  <c:v>28</c:v>
                </c:pt>
                <c:pt idx="504">
                  <c:v>36</c:v>
                </c:pt>
                <c:pt idx="505">
                  <c:v>28</c:v>
                </c:pt>
                <c:pt idx="506">
                  <c:v>32</c:v>
                </c:pt>
                <c:pt idx="507">
                  <c:v>29</c:v>
                </c:pt>
                <c:pt idx="508">
                  <c:v>30</c:v>
                </c:pt>
                <c:pt idx="509">
                  <c:v>38</c:v>
                </c:pt>
                <c:pt idx="510">
                  <c:v>34</c:v>
                </c:pt>
                <c:pt idx="511">
                  <c:v>42</c:v>
                </c:pt>
                <c:pt idx="512">
                  <c:v>35</c:v>
                </c:pt>
                <c:pt idx="513">
                  <c:v>29</c:v>
                </c:pt>
                <c:pt idx="514">
                  <c:v>29</c:v>
                </c:pt>
                <c:pt idx="515">
                  <c:v>30</c:v>
                </c:pt>
                <c:pt idx="516">
                  <c:v>34</c:v>
                </c:pt>
                <c:pt idx="517">
                  <c:v>30</c:v>
                </c:pt>
                <c:pt idx="518">
                  <c:v>33</c:v>
                </c:pt>
                <c:pt idx="519">
                  <c:v>29</c:v>
                </c:pt>
                <c:pt idx="520">
                  <c:v>34</c:v>
                </c:pt>
                <c:pt idx="521">
                  <c:v>34</c:v>
                </c:pt>
                <c:pt idx="522">
                  <c:v>30</c:v>
                </c:pt>
                <c:pt idx="523">
                  <c:v>33</c:v>
                </c:pt>
                <c:pt idx="524">
                  <c:v>39</c:v>
                </c:pt>
                <c:pt idx="525">
                  <c:v>34</c:v>
                </c:pt>
                <c:pt idx="526">
                  <c:v>27</c:v>
                </c:pt>
                <c:pt idx="527">
                  <c:v>25</c:v>
                </c:pt>
                <c:pt idx="528">
                  <c:v>28</c:v>
                </c:pt>
                <c:pt idx="529">
                  <c:v>29</c:v>
                </c:pt>
                <c:pt idx="530">
                  <c:v>34</c:v>
                </c:pt>
                <c:pt idx="531">
                  <c:v>40</c:v>
                </c:pt>
                <c:pt idx="532">
                  <c:v>30</c:v>
                </c:pt>
                <c:pt idx="533">
                  <c:v>40</c:v>
                </c:pt>
                <c:pt idx="534">
                  <c:v>31</c:v>
                </c:pt>
                <c:pt idx="535">
                  <c:v>40</c:v>
                </c:pt>
                <c:pt idx="536">
                  <c:v>31</c:v>
                </c:pt>
                <c:pt idx="537">
                  <c:v>28</c:v>
                </c:pt>
                <c:pt idx="538">
                  <c:v>35</c:v>
                </c:pt>
                <c:pt idx="539">
                  <c:v>38</c:v>
                </c:pt>
                <c:pt idx="540">
                  <c:v>34</c:v>
                </c:pt>
                <c:pt idx="541">
                  <c:v>38</c:v>
                </c:pt>
                <c:pt idx="542">
                  <c:v>38</c:v>
                </c:pt>
                <c:pt idx="543">
                  <c:v>33</c:v>
                </c:pt>
                <c:pt idx="544">
                  <c:v>34</c:v>
                </c:pt>
                <c:pt idx="545">
                  <c:v>32</c:v>
                </c:pt>
                <c:pt idx="546">
                  <c:v>34</c:v>
                </c:pt>
                <c:pt idx="547">
                  <c:v>34</c:v>
                </c:pt>
                <c:pt idx="548">
                  <c:v>33</c:v>
                </c:pt>
                <c:pt idx="549">
                  <c:v>32</c:v>
                </c:pt>
                <c:pt idx="550">
                  <c:v>48</c:v>
                </c:pt>
                <c:pt idx="551">
                  <c:v>48</c:v>
                </c:pt>
                <c:pt idx="552">
                  <c:v>36</c:v>
                </c:pt>
                <c:pt idx="553">
                  <c:v>38</c:v>
                </c:pt>
                <c:pt idx="554">
                  <c:v>38</c:v>
                </c:pt>
                <c:pt idx="555">
                  <c:v>33</c:v>
                </c:pt>
                <c:pt idx="556">
                  <c:v>34</c:v>
                </c:pt>
                <c:pt idx="557">
                  <c:v>32</c:v>
                </c:pt>
                <c:pt idx="558">
                  <c:v>34</c:v>
                </c:pt>
                <c:pt idx="559">
                  <c:v>22</c:v>
                </c:pt>
                <c:pt idx="560">
                  <c:v>34</c:v>
                </c:pt>
                <c:pt idx="561">
                  <c:v>33</c:v>
                </c:pt>
                <c:pt idx="562">
                  <c:v>32</c:v>
                </c:pt>
                <c:pt idx="563">
                  <c:v>48</c:v>
                </c:pt>
                <c:pt idx="564">
                  <c:v>35</c:v>
                </c:pt>
                <c:pt idx="565">
                  <c:v>48</c:v>
                </c:pt>
                <c:pt idx="566">
                  <c:v>36</c:v>
                </c:pt>
                <c:pt idx="567">
                  <c:v>47</c:v>
                </c:pt>
                <c:pt idx="568">
                  <c:v>36</c:v>
                </c:pt>
                <c:pt idx="569">
                  <c:v>30</c:v>
                </c:pt>
                <c:pt idx="570">
                  <c:v>38</c:v>
                </c:pt>
                <c:pt idx="571">
                  <c:v>35</c:v>
                </c:pt>
                <c:pt idx="572">
                  <c:v>44</c:v>
                </c:pt>
                <c:pt idx="573">
                  <c:v>35</c:v>
                </c:pt>
                <c:pt idx="574">
                  <c:v>27</c:v>
                </c:pt>
                <c:pt idx="575">
                  <c:v>38</c:v>
                </c:pt>
                <c:pt idx="576">
                  <c:v>35</c:v>
                </c:pt>
                <c:pt idx="577">
                  <c:v>24</c:v>
                </c:pt>
                <c:pt idx="578">
                  <c:v>35</c:v>
                </c:pt>
                <c:pt idx="579">
                  <c:v>42</c:v>
                </c:pt>
                <c:pt idx="580">
                  <c:v>34</c:v>
                </c:pt>
                <c:pt idx="581">
                  <c:v>38</c:v>
                </c:pt>
                <c:pt idx="582">
                  <c:v>24</c:v>
                </c:pt>
                <c:pt idx="583">
                  <c:v>32</c:v>
                </c:pt>
                <c:pt idx="584">
                  <c:v>26</c:v>
                </c:pt>
                <c:pt idx="585">
                  <c:v>31.5</c:v>
                </c:pt>
                <c:pt idx="586">
                  <c:v>33</c:v>
                </c:pt>
                <c:pt idx="587">
                  <c:v>31</c:v>
                </c:pt>
                <c:pt idx="588">
                  <c:v>28</c:v>
                </c:pt>
                <c:pt idx="589">
                  <c:v>30</c:v>
                </c:pt>
                <c:pt idx="590">
                  <c:v>42</c:v>
                </c:pt>
                <c:pt idx="591">
                  <c:v>36</c:v>
                </c:pt>
                <c:pt idx="592">
                  <c:v>34</c:v>
                </c:pt>
                <c:pt idx="593">
                  <c:v>40</c:v>
                </c:pt>
                <c:pt idx="594">
                  <c:v>28</c:v>
                </c:pt>
                <c:pt idx="595">
                  <c:v>28</c:v>
                </c:pt>
                <c:pt idx="596">
                  <c:v>40</c:v>
                </c:pt>
                <c:pt idx="597">
                  <c:v>31</c:v>
                </c:pt>
                <c:pt idx="598">
                  <c:v>32</c:v>
                </c:pt>
                <c:pt idx="599">
                  <c:v>37</c:v>
                </c:pt>
                <c:pt idx="600">
                  <c:v>35</c:v>
                </c:pt>
                <c:pt idx="601">
                  <c:v>42</c:v>
                </c:pt>
                <c:pt idx="602">
                  <c:v>31</c:v>
                </c:pt>
                <c:pt idx="603">
                  <c:v>32</c:v>
                </c:pt>
                <c:pt idx="604">
                  <c:v>31</c:v>
                </c:pt>
                <c:pt idx="605">
                  <c:v>32</c:v>
                </c:pt>
                <c:pt idx="606">
                  <c:v>33</c:v>
                </c:pt>
                <c:pt idx="607">
                  <c:v>29</c:v>
                </c:pt>
                <c:pt idx="608">
                  <c:v>28</c:v>
                </c:pt>
                <c:pt idx="609">
                  <c:v>25</c:v>
                </c:pt>
                <c:pt idx="610">
                  <c:v>27</c:v>
                </c:pt>
                <c:pt idx="611">
                  <c:v>28</c:v>
                </c:pt>
                <c:pt idx="612">
                  <c:v>30</c:v>
                </c:pt>
                <c:pt idx="613">
                  <c:v>34</c:v>
                </c:pt>
                <c:pt idx="614">
                  <c:v>31</c:v>
                </c:pt>
                <c:pt idx="615">
                  <c:v>24</c:v>
                </c:pt>
                <c:pt idx="616">
                  <c:v>31</c:v>
                </c:pt>
                <c:pt idx="617">
                  <c:v>25</c:v>
                </c:pt>
                <c:pt idx="618">
                  <c:v>28</c:v>
                </c:pt>
                <c:pt idx="619">
                  <c:v>21</c:v>
                </c:pt>
                <c:pt idx="620">
                  <c:v>35</c:v>
                </c:pt>
                <c:pt idx="621">
                  <c:v>37</c:v>
                </c:pt>
                <c:pt idx="622">
                  <c:v>35</c:v>
                </c:pt>
                <c:pt idx="623">
                  <c:v>37</c:v>
                </c:pt>
                <c:pt idx="624">
                  <c:v>31</c:v>
                </c:pt>
                <c:pt idx="625">
                  <c:v>30</c:v>
                </c:pt>
                <c:pt idx="626">
                  <c:v>35</c:v>
                </c:pt>
                <c:pt idx="627">
                  <c:v>32</c:v>
                </c:pt>
                <c:pt idx="628">
                  <c:v>42</c:v>
                </c:pt>
                <c:pt idx="629">
                  <c:v>32</c:v>
                </c:pt>
                <c:pt idx="630">
                  <c:v>28</c:v>
                </c:pt>
                <c:pt idx="631">
                  <c:v>32</c:v>
                </c:pt>
                <c:pt idx="632">
                  <c:v>34</c:v>
                </c:pt>
                <c:pt idx="633">
                  <c:v>32</c:v>
                </c:pt>
                <c:pt idx="634">
                  <c:v>34</c:v>
                </c:pt>
                <c:pt idx="635">
                  <c:v>29</c:v>
                </c:pt>
                <c:pt idx="636">
                  <c:v>31</c:v>
                </c:pt>
                <c:pt idx="637">
                  <c:v>29</c:v>
                </c:pt>
                <c:pt idx="638">
                  <c:v>34</c:v>
                </c:pt>
                <c:pt idx="639">
                  <c:v>32</c:v>
                </c:pt>
                <c:pt idx="640">
                  <c:v>35</c:v>
                </c:pt>
                <c:pt idx="641">
                  <c:v>29</c:v>
                </c:pt>
                <c:pt idx="642">
                  <c:v>22</c:v>
                </c:pt>
                <c:pt idx="643">
                  <c:v>29</c:v>
                </c:pt>
                <c:pt idx="644">
                  <c:v>34</c:v>
                </c:pt>
                <c:pt idx="645">
                  <c:v>29</c:v>
                </c:pt>
                <c:pt idx="646">
                  <c:v>36</c:v>
                </c:pt>
                <c:pt idx="647">
                  <c:v>34</c:v>
                </c:pt>
                <c:pt idx="648">
                  <c:v>33</c:v>
                </c:pt>
                <c:pt idx="649">
                  <c:v>37</c:v>
                </c:pt>
                <c:pt idx="650">
                  <c:v>26</c:v>
                </c:pt>
                <c:pt idx="651">
                  <c:v>32</c:v>
                </c:pt>
                <c:pt idx="652">
                  <c:v>32</c:v>
                </c:pt>
                <c:pt idx="653">
                  <c:v>30</c:v>
                </c:pt>
                <c:pt idx="654">
                  <c:v>29.5</c:v>
                </c:pt>
                <c:pt idx="655">
                  <c:v>28.3</c:v>
                </c:pt>
                <c:pt idx="656">
                  <c:v>30</c:v>
                </c:pt>
                <c:pt idx="657">
                  <c:v>31</c:v>
                </c:pt>
                <c:pt idx="658">
                  <c:v>26</c:v>
                </c:pt>
                <c:pt idx="659">
                  <c:v>31</c:v>
                </c:pt>
                <c:pt idx="660">
                  <c:v>30</c:v>
                </c:pt>
                <c:pt idx="661">
                  <c:v>32</c:v>
                </c:pt>
                <c:pt idx="662">
                  <c:v>34</c:v>
                </c:pt>
                <c:pt idx="663">
                  <c:v>29</c:v>
                </c:pt>
                <c:pt idx="664">
                  <c:v>33</c:v>
                </c:pt>
                <c:pt idx="665">
                  <c:v>32</c:v>
                </c:pt>
                <c:pt idx="666">
                  <c:v>35</c:v>
                </c:pt>
                <c:pt idx="667">
                  <c:v>247</c:v>
                </c:pt>
                <c:pt idx="668">
                  <c:v>28</c:v>
                </c:pt>
                <c:pt idx="669">
                  <c:v>31</c:v>
                </c:pt>
                <c:pt idx="670">
                  <c:v>31</c:v>
                </c:pt>
                <c:pt idx="671">
                  <c:v>41</c:v>
                </c:pt>
                <c:pt idx="672">
                  <c:v>32</c:v>
                </c:pt>
                <c:pt idx="673">
                  <c:v>31</c:v>
                </c:pt>
                <c:pt idx="674">
                  <c:v>41</c:v>
                </c:pt>
                <c:pt idx="675">
                  <c:v>32</c:v>
                </c:pt>
                <c:pt idx="676">
                  <c:v>31</c:v>
                </c:pt>
                <c:pt idx="677">
                  <c:v>41</c:v>
                </c:pt>
                <c:pt idx="678">
                  <c:v>32</c:v>
                </c:pt>
                <c:pt idx="679">
                  <c:v>29</c:v>
                </c:pt>
                <c:pt idx="680">
                  <c:v>41</c:v>
                </c:pt>
                <c:pt idx="681">
                  <c:v>28</c:v>
                </c:pt>
                <c:pt idx="682">
                  <c:v>33</c:v>
                </c:pt>
                <c:pt idx="683">
                  <c:v>34</c:v>
                </c:pt>
                <c:pt idx="684">
                  <c:v>41</c:v>
                </c:pt>
                <c:pt idx="685">
                  <c:v>41</c:v>
                </c:pt>
                <c:pt idx="686">
                  <c:v>41</c:v>
                </c:pt>
                <c:pt idx="687">
                  <c:v>32</c:v>
                </c:pt>
                <c:pt idx="688">
                  <c:v>40</c:v>
                </c:pt>
                <c:pt idx="689">
                  <c:v>29</c:v>
                </c:pt>
                <c:pt idx="690">
                  <c:v>42</c:v>
                </c:pt>
                <c:pt idx="691">
                  <c:v>36</c:v>
                </c:pt>
                <c:pt idx="692">
                  <c:v>42</c:v>
                </c:pt>
                <c:pt idx="693">
                  <c:v>28</c:v>
                </c:pt>
                <c:pt idx="694">
                  <c:v>30</c:v>
                </c:pt>
                <c:pt idx="695">
                  <c:v>36</c:v>
                </c:pt>
                <c:pt idx="696">
                  <c:v>34</c:v>
                </c:pt>
                <c:pt idx="697">
                  <c:v>28</c:v>
                </c:pt>
                <c:pt idx="698">
                  <c:v>35</c:v>
                </c:pt>
                <c:pt idx="699">
                  <c:v>36</c:v>
                </c:pt>
                <c:pt idx="700">
                  <c:v>33</c:v>
                </c:pt>
                <c:pt idx="701">
                  <c:v>33</c:v>
                </c:pt>
                <c:pt idx="702">
                  <c:v>32</c:v>
                </c:pt>
                <c:pt idx="703">
                  <c:v>31</c:v>
                </c:pt>
                <c:pt idx="704">
                  <c:v>35</c:v>
                </c:pt>
                <c:pt idx="705">
                  <c:v>34</c:v>
                </c:pt>
                <c:pt idx="706">
                  <c:v>39</c:v>
                </c:pt>
                <c:pt idx="707">
                  <c:v>32</c:v>
                </c:pt>
                <c:pt idx="708">
                  <c:v>28</c:v>
                </c:pt>
                <c:pt idx="709">
                  <c:v>38</c:v>
                </c:pt>
                <c:pt idx="710">
                  <c:v>40</c:v>
                </c:pt>
                <c:pt idx="711">
                  <c:v>37</c:v>
                </c:pt>
                <c:pt idx="712">
                  <c:v>29</c:v>
                </c:pt>
                <c:pt idx="713">
                  <c:v>27</c:v>
                </c:pt>
                <c:pt idx="714">
                  <c:v>49</c:v>
                </c:pt>
                <c:pt idx="715">
                  <c:v>35</c:v>
                </c:pt>
                <c:pt idx="716">
                  <c:v>37</c:v>
                </c:pt>
                <c:pt idx="717">
                  <c:v>32</c:v>
                </c:pt>
                <c:pt idx="718">
                  <c:v>30</c:v>
                </c:pt>
                <c:pt idx="719">
                  <c:v>39</c:v>
                </c:pt>
                <c:pt idx="720">
                  <c:v>35</c:v>
                </c:pt>
                <c:pt idx="721">
                  <c:v>35</c:v>
                </c:pt>
                <c:pt idx="722">
                  <c:v>34</c:v>
                </c:pt>
                <c:pt idx="723">
                  <c:v>45</c:v>
                </c:pt>
                <c:pt idx="724">
                  <c:v>38</c:v>
                </c:pt>
                <c:pt idx="725">
                  <c:v>31</c:v>
                </c:pt>
                <c:pt idx="726">
                  <c:v>32</c:v>
                </c:pt>
                <c:pt idx="727">
                  <c:v>32</c:v>
                </c:pt>
                <c:pt idx="728">
                  <c:v>34</c:v>
                </c:pt>
                <c:pt idx="729">
                  <c:v>32</c:v>
                </c:pt>
                <c:pt idx="730">
                  <c:v>34</c:v>
                </c:pt>
                <c:pt idx="731">
                  <c:v>39</c:v>
                </c:pt>
                <c:pt idx="732">
                  <c:v>33</c:v>
                </c:pt>
                <c:pt idx="733">
                  <c:v>40</c:v>
                </c:pt>
                <c:pt idx="734">
                  <c:v>39</c:v>
                </c:pt>
                <c:pt idx="735">
                  <c:v>42</c:v>
                </c:pt>
                <c:pt idx="736">
                  <c:v>37</c:v>
                </c:pt>
                <c:pt idx="737">
                  <c:v>40</c:v>
                </c:pt>
                <c:pt idx="738">
                  <c:v>31</c:v>
                </c:pt>
                <c:pt idx="739">
                  <c:v>35</c:v>
                </c:pt>
                <c:pt idx="740">
                  <c:v>34</c:v>
                </c:pt>
                <c:pt idx="741">
                  <c:v>33</c:v>
                </c:pt>
                <c:pt idx="742">
                  <c:v>43</c:v>
                </c:pt>
                <c:pt idx="743">
                  <c:v>39</c:v>
                </c:pt>
                <c:pt idx="744">
                  <c:v>35</c:v>
                </c:pt>
                <c:pt idx="745">
                  <c:v>49</c:v>
                </c:pt>
                <c:pt idx="746">
                  <c:v>28</c:v>
                </c:pt>
                <c:pt idx="747">
                  <c:v>34</c:v>
                </c:pt>
                <c:pt idx="748">
                  <c:v>24</c:v>
                </c:pt>
                <c:pt idx="749">
                  <c:v>30</c:v>
                </c:pt>
                <c:pt idx="750">
                  <c:v>32</c:v>
                </c:pt>
                <c:pt idx="751">
                  <c:v>33</c:v>
                </c:pt>
                <c:pt idx="752">
                  <c:v>35</c:v>
                </c:pt>
                <c:pt idx="753">
                  <c:v>37</c:v>
                </c:pt>
                <c:pt idx="754">
                  <c:v>29</c:v>
                </c:pt>
                <c:pt idx="755">
                  <c:v>40</c:v>
                </c:pt>
                <c:pt idx="756">
                  <c:v>44</c:v>
                </c:pt>
                <c:pt idx="757">
                  <c:v>33</c:v>
                </c:pt>
                <c:pt idx="758">
                  <c:v>36</c:v>
                </c:pt>
                <c:pt idx="759">
                  <c:v>36</c:v>
                </c:pt>
                <c:pt idx="760">
                  <c:v>39</c:v>
                </c:pt>
                <c:pt idx="761">
                  <c:v>29</c:v>
                </c:pt>
                <c:pt idx="762">
                  <c:v>42</c:v>
                </c:pt>
                <c:pt idx="763">
                  <c:v>40</c:v>
                </c:pt>
                <c:pt idx="764">
                  <c:v>39</c:v>
                </c:pt>
                <c:pt idx="765">
                  <c:v>33</c:v>
                </c:pt>
                <c:pt idx="766">
                  <c:v>20</c:v>
                </c:pt>
                <c:pt idx="767">
                  <c:v>36</c:v>
                </c:pt>
                <c:pt idx="768">
                  <c:v>30</c:v>
                </c:pt>
                <c:pt idx="769">
                  <c:v>43</c:v>
                </c:pt>
                <c:pt idx="770">
                  <c:v>31</c:v>
                </c:pt>
                <c:pt idx="771">
                  <c:v>29</c:v>
                </c:pt>
                <c:pt idx="772">
                  <c:v>28</c:v>
                </c:pt>
                <c:pt idx="773">
                  <c:v>35</c:v>
                </c:pt>
                <c:pt idx="774">
                  <c:v>32</c:v>
                </c:pt>
                <c:pt idx="775">
                  <c:v>35</c:v>
                </c:pt>
                <c:pt idx="776">
                  <c:v>33</c:v>
                </c:pt>
                <c:pt idx="777">
                  <c:v>29</c:v>
                </c:pt>
                <c:pt idx="778">
                  <c:v>31</c:v>
                </c:pt>
                <c:pt idx="779">
                  <c:v>34</c:v>
                </c:pt>
                <c:pt idx="780">
                  <c:v>31</c:v>
                </c:pt>
                <c:pt idx="781">
                  <c:v>32</c:v>
                </c:pt>
                <c:pt idx="782">
                  <c:v>32</c:v>
                </c:pt>
                <c:pt idx="783">
                  <c:v>41</c:v>
                </c:pt>
                <c:pt idx="784">
                  <c:v>27</c:v>
                </c:pt>
                <c:pt idx="785">
                  <c:v>32</c:v>
                </c:pt>
                <c:pt idx="786">
                  <c:v>29</c:v>
                </c:pt>
                <c:pt idx="787">
                  <c:v>37</c:v>
                </c:pt>
                <c:pt idx="788">
                  <c:v>38</c:v>
                </c:pt>
                <c:pt idx="789">
                  <c:v>35</c:v>
                </c:pt>
                <c:pt idx="790">
                  <c:v>37</c:v>
                </c:pt>
                <c:pt idx="791">
                  <c:v>37</c:v>
                </c:pt>
                <c:pt idx="792">
                  <c:v>36</c:v>
                </c:pt>
                <c:pt idx="793">
                  <c:v>34</c:v>
                </c:pt>
                <c:pt idx="794">
                  <c:v>42</c:v>
                </c:pt>
                <c:pt idx="795">
                  <c:v>29</c:v>
                </c:pt>
                <c:pt idx="796">
                  <c:v>37</c:v>
                </c:pt>
                <c:pt idx="797">
                  <c:v>28</c:v>
                </c:pt>
                <c:pt idx="798">
                  <c:v>32</c:v>
                </c:pt>
                <c:pt idx="799">
                  <c:v>36</c:v>
                </c:pt>
                <c:pt idx="800">
                  <c:v>37</c:v>
                </c:pt>
                <c:pt idx="801">
                  <c:v>34</c:v>
                </c:pt>
                <c:pt idx="802">
                  <c:v>34</c:v>
                </c:pt>
                <c:pt idx="803">
                  <c:v>38</c:v>
                </c:pt>
                <c:pt idx="804">
                  <c:v>38</c:v>
                </c:pt>
                <c:pt idx="805">
                  <c:v>38</c:v>
                </c:pt>
                <c:pt idx="806">
                  <c:v>38</c:v>
                </c:pt>
                <c:pt idx="807">
                  <c:v>31.3</c:v>
                </c:pt>
                <c:pt idx="808">
                  <c:v>36</c:v>
                </c:pt>
                <c:pt idx="809">
                  <c:v>32</c:v>
                </c:pt>
                <c:pt idx="810">
                  <c:v>30</c:v>
                </c:pt>
                <c:pt idx="811">
                  <c:v>27</c:v>
                </c:pt>
                <c:pt idx="812">
                  <c:v>37.700000000000003</c:v>
                </c:pt>
                <c:pt idx="813">
                  <c:v>36</c:v>
                </c:pt>
                <c:pt idx="814">
                  <c:v>39</c:v>
                </c:pt>
                <c:pt idx="815">
                  <c:v>41</c:v>
                </c:pt>
                <c:pt idx="816">
                  <c:v>33</c:v>
                </c:pt>
                <c:pt idx="817">
                  <c:v>37.700000000000003</c:v>
                </c:pt>
                <c:pt idx="818">
                  <c:v>33</c:v>
                </c:pt>
                <c:pt idx="819">
                  <c:v>32</c:v>
                </c:pt>
                <c:pt idx="820">
                  <c:v>38</c:v>
                </c:pt>
                <c:pt idx="821">
                  <c:v>35</c:v>
                </c:pt>
                <c:pt idx="822">
                  <c:v>36</c:v>
                </c:pt>
                <c:pt idx="823">
                  <c:v>29</c:v>
                </c:pt>
                <c:pt idx="824">
                  <c:v>32</c:v>
                </c:pt>
                <c:pt idx="825">
                  <c:v>36</c:v>
                </c:pt>
                <c:pt idx="826">
                  <c:v>39</c:v>
                </c:pt>
                <c:pt idx="827">
                  <c:v>34</c:v>
                </c:pt>
                <c:pt idx="828">
                  <c:v>33</c:v>
                </c:pt>
                <c:pt idx="829">
                  <c:v>36</c:v>
                </c:pt>
                <c:pt idx="830">
                  <c:v>35</c:v>
                </c:pt>
                <c:pt idx="831">
                  <c:v>40</c:v>
                </c:pt>
                <c:pt idx="832">
                  <c:v>34</c:v>
                </c:pt>
                <c:pt idx="833">
                  <c:v>35</c:v>
                </c:pt>
                <c:pt idx="834">
                  <c:v>36</c:v>
                </c:pt>
                <c:pt idx="835">
                  <c:v>45</c:v>
                </c:pt>
                <c:pt idx="836">
                  <c:v>36</c:v>
                </c:pt>
                <c:pt idx="837">
                  <c:v>35</c:v>
                </c:pt>
                <c:pt idx="838">
                  <c:v>33</c:v>
                </c:pt>
                <c:pt idx="839">
                  <c:v>32</c:v>
                </c:pt>
                <c:pt idx="840">
                  <c:v>27</c:v>
                </c:pt>
                <c:pt idx="841">
                  <c:v>30</c:v>
                </c:pt>
                <c:pt idx="842">
                  <c:v>33</c:v>
                </c:pt>
                <c:pt idx="843">
                  <c:v>33</c:v>
                </c:pt>
                <c:pt idx="844">
                  <c:v>42</c:v>
                </c:pt>
                <c:pt idx="845">
                  <c:v>32</c:v>
                </c:pt>
                <c:pt idx="846">
                  <c:v>32</c:v>
                </c:pt>
                <c:pt idx="847">
                  <c:v>35</c:v>
                </c:pt>
                <c:pt idx="848">
                  <c:v>32</c:v>
                </c:pt>
                <c:pt idx="849">
                  <c:v>28</c:v>
                </c:pt>
                <c:pt idx="850">
                  <c:v>40</c:v>
                </c:pt>
                <c:pt idx="851">
                  <c:v>26</c:v>
                </c:pt>
                <c:pt idx="852">
                  <c:v>14.2</c:v>
                </c:pt>
                <c:pt idx="853">
                  <c:v>19.3</c:v>
                </c:pt>
                <c:pt idx="854">
                  <c:v>18.399999999999999</c:v>
                </c:pt>
                <c:pt idx="855">
                  <c:v>21.2</c:v>
                </c:pt>
                <c:pt idx="856">
                  <c:v>18.100000000000001</c:v>
                </c:pt>
                <c:pt idx="857">
                  <c:v>33</c:v>
                </c:pt>
                <c:pt idx="858">
                  <c:v>31</c:v>
                </c:pt>
                <c:pt idx="859">
                  <c:v>41</c:v>
                </c:pt>
                <c:pt idx="860">
                  <c:v>36</c:v>
                </c:pt>
                <c:pt idx="861">
                  <c:v>31</c:v>
                </c:pt>
                <c:pt idx="862">
                  <c:v>33</c:v>
                </c:pt>
                <c:pt idx="863">
                  <c:v>31</c:v>
                </c:pt>
                <c:pt idx="864">
                  <c:v>39</c:v>
                </c:pt>
                <c:pt idx="865">
                  <c:v>31.9</c:v>
                </c:pt>
                <c:pt idx="866">
                  <c:v>32</c:v>
                </c:pt>
                <c:pt idx="867">
                  <c:v>36</c:v>
                </c:pt>
                <c:pt idx="868">
                  <c:v>34</c:v>
                </c:pt>
                <c:pt idx="869">
                  <c:v>31</c:v>
                </c:pt>
                <c:pt idx="870">
                  <c:v>31</c:v>
                </c:pt>
                <c:pt idx="871">
                  <c:v>38</c:v>
                </c:pt>
                <c:pt idx="872">
                  <c:v>43</c:v>
                </c:pt>
                <c:pt idx="873">
                  <c:v>32</c:v>
                </c:pt>
                <c:pt idx="874">
                  <c:v>29</c:v>
                </c:pt>
                <c:pt idx="875">
                  <c:v>28</c:v>
                </c:pt>
                <c:pt idx="876">
                  <c:v>26</c:v>
                </c:pt>
                <c:pt idx="877">
                  <c:v>34</c:v>
                </c:pt>
                <c:pt idx="878">
                  <c:v>33</c:v>
                </c:pt>
                <c:pt idx="879">
                  <c:v>31</c:v>
                </c:pt>
                <c:pt idx="880">
                  <c:v>34</c:v>
                </c:pt>
                <c:pt idx="881">
                  <c:v>32</c:v>
                </c:pt>
                <c:pt idx="882">
                  <c:v>29</c:v>
                </c:pt>
                <c:pt idx="883">
                  <c:v>29</c:v>
                </c:pt>
                <c:pt idx="884">
                  <c:v>30</c:v>
                </c:pt>
                <c:pt idx="885">
                  <c:v>32</c:v>
                </c:pt>
                <c:pt idx="886">
                  <c:v>33</c:v>
                </c:pt>
                <c:pt idx="887">
                  <c:v>34</c:v>
                </c:pt>
                <c:pt idx="888">
                  <c:v>35</c:v>
                </c:pt>
                <c:pt idx="889">
                  <c:v>31</c:v>
                </c:pt>
                <c:pt idx="890">
                  <c:v>25</c:v>
                </c:pt>
                <c:pt idx="891">
                  <c:v>40</c:v>
                </c:pt>
                <c:pt idx="892">
                  <c:v>38</c:v>
                </c:pt>
                <c:pt idx="893">
                  <c:v>37</c:v>
                </c:pt>
                <c:pt idx="894">
                  <c:v>28</c:v>
                </c:pt>
                <c:pt idx="895">
                  <c:v>36</c:v>
                </c:pt>
                <c:pt idx="896">
                  <c:v>32</c:v>
                </c:pt>
                <c:pt idx="897">
                  <c:v>38</c:v>
                </c:pt>
                <c:pt idx="898">
                  <c:v>36</c:v>
                </c:pt>
                <c:pt idx="899">
                  <c:v>32</c:v>
                </c:pt>
                <c:pt idx="900">
                  <c:v>40</c:v>
                </c:pt>
                <c:pt idx="901">
                  <c:v>32</c:v>
                </c:pt>
                <c:pt idx="902">
                  <c:v>33</c:v>
                </c:pt>
                <c:pt idx="903">
                  <c:v>35</c:v>
                </c:pt>
                <c:pt idx="904">
                  <c:v>28</c:v>
                </c:pt>
                <c:pt idx="905">
                  <c:v>31</c:v>
                </c:pt>
                <c:pt idx="906">
                  <c:v>28</c:v>
                </c:pt>
                <c:pt idx="907">
                  <c:v>32</c:v>
                </c:pt>
                <c:pt idx="908">
                  <c:v>30</c:v>
                </c:pt>
                <c:pt idx="909">
                  <c:v>29</c:v>
                </c:pt>
                <c:pt idx="910">
                  <c:v>41</c:v>
                </c:pt>
                <c:pt idx="911">
                  <c:v>34</c:v>
                </c:pt>
                <c:pt idx="912">
                  <c:v>31</c:v>
                </c:pt>
                <c:pt idx="913">
                  <c:v>30</c:v>
                </c:pt>
                <c:pt idx="914">
                  <c:v>36</c:v>
                </c:pt>
                <c:pt idx="915">
                  <c:v>29</c:v>
                </c:pt>
                <c:pt idx="916">
                  <c:v>38</c:v>
                </c:pt>
                <c:pt idx="917">
                  <c:v>31</c:v>
                </c:pt>
                <c:pt idx="918">
                  <c:v>30</c:v>
                </c:pt>
                <c:pt idx="919">
                  <c:v>45</c:v>
                </c:pt>
                <c:pt idx="920">
                  <c:v>37</c:v>
                </c:pt>
                <c:pt idx="921">
                  <c:v>36</c:v>
                </c:pt>
                <c:pt idx="922">
                  <c:v>35</c:v>
                </c:pt>
                <c:pt idx="923">
                  <c:v>38</c:v>
                </c:pt>
                <c:pt idx="924">
                  <c:v>31</c:v>
                </c:pt>
                <c:pt idx="925">
                  <c:v>32</c:v>
                </c:pt>
                <c:pt idx="926">
                  <c:v>32</c:v>
                </c:pt>
                <c:pt idx="927">
                  <c:v>36</c:v>
                </c:pt>
                <c:pt idx="928">
                  <c:v>30</c:v>
                </c:pt>
                <c:pt idx="929">
                  <c:v>38</c:v>
                </c:pt>
                <c:pt idx="930">
                  <c:v>34</c:v>
                </c:pt>
                <c:pt idx="931">
                  <c:v>30</c:v>
                </c:pt>
                <c:pt idx="932">
                  <c:v>32</c:v>
                </c:pt>
                <c:pt idx="933">
                  <c:v>36</c:v>
                </c:pt>
                <c:pt idx="934">
                  <c:v>38</c:v>
                </c:pt>
                <c:pt idx="935">
                  <c:v>35</c:v>
                </c:pt>
                <c:pt idx="936">
                  <c:v>45</c:v>
                </c:pt>
                <c:pt idx="937">
                  <c:v>45</c:v>
                </c:pt>
                <c:pt idx="938">
                  <c:v>39</c:v>
                </c:pt>
                <c:pt idx="939">
                  <c:v>41</c:v>
                </c:pt>
                <c:pt idx="940">
                  <c:v>23</c:v>
                </c:pt>
                <c:pt idx="941">
                  <c:v>31</c:v>
                </c:pt>
                <c:pt idx="942">
                  <c:v>30</c:v>
                </c:pt>
                <c:pt idx="943">
                  <c:v>36</c:v>
                </c:pt>
                <c:pt idx="944">
                  <c:v>34</c:v>
                </c:pt>
                <c:pt idx="945">
                  <c:v>35</c:v>
                </c:pt>
                <c:pt idx="946">
                  <c:v>35</c:v>
                </c:pt>
                <c:pt idx="947">
                  <c:v>35</c:v>
                </c:pt>
                <c:pt idx="948">
                  <c:v>32</c:v>
                </c:pt>
                <c:pt idx="949">
                  <c:v>31</c:v>
                </c:pt>
                <c:pt idx="950">
                  <c:v>31</c:v>
                </c:pt>
                <c:pt idx="951">
                  <c:v>30</c:v>
                </c:pt>
                <c:pt idx="952">
                  <c:v>31</c:v>
                </c:pt>
                <c:pt idx="953">
                  <c:v>38</c:v>
                </c:pt>
                <c:pt idx="954">
                  <c:v>31</c:v>
                </c:pt>
                <c:pt idx="955">
                  <c:v>36</c:v>
                </c:pt>
                <c:pt idx="956">
                  <c:v>33</c:v>
                </c:pt>
                <c:pt idx="957">
                  <c:v>30</c:v>
                </c:pt>
                <c:pt idx="958">
                  <c:v>39</c:v>
                </c:pt>
                <c:pt idx="959">
                  <c:v>38</c:v>
                </c:pt>
                <c:pt idx="960">
                  <c:v>42</c:v>
                </c:pt>
                <c:pt idx="961">
                  <c:v>40</c:v>
                </c:pt>
                <c:pt idx="962">
                  <c:v>32</c:v>
                </c:pt>
                <c:pt idx="963">
                  <c:v>30</c:v>
                </c:pt>
                <c:pt idx="964">
                  <c:v>34</c:v>
                </c:pt>
                <c:pt idx="965">
                  <c:v>34</c:v>
                </c:pt>
                <c:pt idx="966">
                  <c:v>42</c:v>
                </c:pt>
                <c:pt idx="967">
                  <c:v>34</c:v>
                </c:pt>
                <c:pt idx="968">
                  <c:v>41</c:v>
                </c:pt>
                <c:pt idx="969">
                  <c:v>36</c:v>
                </c:pt>
                <c:pt idx="970">
                  <c:v>32</c:v>
                </c:pt>
                <c:pt idx="971">
                  <c:v>32</c:v>
                </c:pt>
                <c:pt idx="972">
                  <c:v>29</c:v>
                </c:pt>
                <c:pt idx="973">
                  <c:v>35</c:v>
                </c:pt>
                <c:pt idx="974">
                  <c:v>32</c:v>
                </c:pt>
                <c:pt idx="975">
                  <c:v>32</c:v>
                </c:pt>
                <c:pt idx="976">
                  <c:v>28</c:v>
                </c:pt>
                <c:pt idx="977">
                  <c:v>30</c:v>
                </c:pt>
                <c:pt idx="978">
                  <c:v>34</c:v>
                </c:pt>
                <c:pt idx="979">
                  <c:v>34</c:v>
                </c:pt>
                <c:pt idx="980">
                  <c:v>29</c:v>
                </c:pt>
                <c:pt idx="981">
                  <c:v>31</c:v>
                </c:pt>
                <c:pt idx="982">
                  <c:v>39</c:v>
                </c:pt>
                <c:pt idx="983">
                  <c:v>27</c:v>
                </c:pt>
                <c:pt idx="984">
                  <c:v>37</c:v>
                </c:pt>
                <c:pt idx="985">
                  <c:v>46</c:v>
                </c:pt>
                <c:pt idx="986">
                  <c:v>29</c:v>
                </c:pt>
                <c:pt idx="987">
                  <c:v>38</c:v>
                </c:pt>
                <c:pt idx="988">
                  <c:v>48</c:v>
                </c:pt>
                <c:pt idx="989">
                  <c:v>34</c:v>
                </c:pt>
                <c:pt idx="990">
                  <c:v>42</c:v>
                </c:pt>
                <c:pt idx="991">
                  <c:v>34</c:v>
                </c:pt>
                <c:pt idx="992">
                  <c:v>38</c:v>
                </c:pt>
                <c:pt idx="993">
                  <c:v>35</c:v>
                </c:pt>
                <c:pt idx="994">
                  <c:v>35</c:v>
                </c:pt>
                <c:pt idx="995">
                  <c:v>35</c:v>
                </c:pt>
                <c:pt idx="996">
                  <c:v>35</c:v>
                </c:pt>
                <c:pt idx="997">
                  <c:v>35</c:v>
                </c:pt>
                <c:pt idx="998">
                  <c:v>25</c:v>
                </c:pt>
                <c:pt idx="999">
                  <c:v>36</c:v>
                </c:pt>
                <c:pt idx="1000">
                  <c:v>32</c:v>
                </c:pt>
                <c:pt idx="1001">
                  <c:v>39</c:v>
                </c:pt>
                <c:pt idx="1002">
                  <c:v>35</c:v>
                </c:pt>
                <c:pt idx="1003">
                  <c:v>36</c:v>
                </c:pt>
                <c:pt idx="1004">
                  <c:v>38</c:v>
                </c:pt>
                <c:pt idx="1005">
                  <c:v>34</c:v>
                </c:pt>
                <c:pt idx="1006">
                  <c:v>38</c:v>
                </c:pt>
                <c:pt idx="1007">
                  <c:v>31</c:v>
                </c:pt>
                <c:pt idx="1008">
                  <c:v>35</c:v>
                </c:pt>
                <c:pt idx="1009">
                  <c:v>33</c:v>
                </c:pt>
                <c:pt idx="1010">
                  <c:v>42</c:v>
                </c:pt>
                <c:pt idx="1011">
                  <c:v>32</c:v>
                </c:pt>
                <c:pt idx="1012">
                  <c:v>38</c:v>
                </c:pt>
                <c:pt idx="1013">
                  <c:v>33</c:v>
                </c:pt>
                <c:pt idx="1014">
                  <c:v>26</c:v>
                </c:pt>
                <c:pt idx="1015">
                  <c:v>37</c:v>
                </c:pt>
                <c:pt idx="1016">
                  <c:v>48</c:v>
                </c:pt>
                <c:pt idx="1017">
                  <c:v>35</c:v>
                </c:pt>
                <c:pt idx="1018">
                  <c:v>37</c:v>
                </c:pt>
                <c:pt idx="1019">
                  <c:v>39</c:v>
                </c:pt>
                <c:pt idx="1020">
                  <c:v>32</c:v>
                </c:pt>
                <c:pt idx="1021">
                  <c:v>38</c:v>
                </c:pt>
                <c:pt idx="1022">
                  <c:v>47</c:v>
                </c:pt>
                <c:pt idx="1023">
                  <c:v>40</c:v>
                </c:pt>
                <c:pt idx="1024">
                  <c:v>29</c:v>
                </c:pt>
                <c:pt idx="1025">
                  <c:v>28</c:v>
                </c:pt>
                <c:pt idx="1026">
                  <c:v>39</c:v>
                </c:pt>
                <c:pt idx="1027">
                  <c:v>35</c:v>
                </c:pt>
                <c:pt idx="1028">
                  <c:v>38</c:v>
                </c:pt>
                <c:pt idx="1029">
                  <c:v>41</c:v>
                </c:pt>
                <c:pt idx="1030">
                  <c:v>36</c:v>
                </c:pt>
                <c:pt idx="1031">
                  <c:v>52</c:v>
                </c:pt>
                <c:pt idx="1032">
                  <c:v>45</c:v>
                </c:pt>
                <c:pt idx="1033">
                  <c:v>37</c:v>
                </c:pt>
                <c:pt idx="1034">
                  <c:v>35</c:v>
                </c:pt>
                <c:pt idx="1035">
                  <c:v>45</c:v>
                </c:pt>
                <c:pt idx="1036">
                  <c:v>38</c:v>
                </c:pt>
                <c:pt idx="1037">
                  <c:v>45</c:v>
                </c:pt>
                <c:pt idx="1038">
                  <c:v>43</c:v>
                </c:pt>
                <c:pt idx="1039">
                  <c:v>43</c:v>
                </c:pt>
                <c:pt idx="1040">
                  <c:v>40</c:v>
                </c:pt>
                <c:pt idx="1041">
                  <c:v>36</c:v>
                </c:pt>
                <c:pt idx="1042">
                  <c:v>35</c:v>
                </c:pt>
                <c:pt idx="1043">
                  <c:v>46</c:v>
                </c:pt>
                <c:pt idx="1044">
                  <c:v>38</c:v>
                </c:pt>
                <c:pt idx="1045">
                  <c:v>35</c:v>
                </c:pt>
                <c:pt idx="1046">
                  <c:v>36</c:v>
                </c:pt>
                <c:pt idx="1047">
                  <c:v>38</c:v>
                </c:pt>
                <c:pt idx="1048">
                  <c:v>42</c:v>
                </c:pt>
                <c:pt idx="1049">
                  <c:v>36</c:v>
                </c:pt>
                <c:pt idx="1050">
                  <c:v>37.6</c:v>
                </c:pt>
                <c:pt idx="1051">
                  <c:v>38</c:v>
                </c:pt>
                <c:pt idx="1052">
                  <c:v>32</c:v>
                </c:pt>
                <c:pt idx="1053">
                  <c:v>38</c:v>
                </c:pt>
                <c:pt idx="1054">
                  <c:v>39</c:v>
                </c:pt>
                <c:pt idx="1055">
                  <c:v>35</c:v>
                </c:pt>
                <c:pt idx="1056">
                  <c:v>38</c:v>
                </c:pt>
                <c:pt idx="1057">
                  <c:v>31</c:v>
                </c:pt>
                <c:pt idx="1058">
                  <c:v>34</c:v>
                </c:pt>
                <c:pt idx="1059">
                  <c:v>44</c:v>
                </c:pt>
                <c:pt idx="1060">
                  <c:v>40</c:v>
                </c:pt>
                <c:pt idx="1061">
                  <c:v>38</c:v>
                </c:pt>
                <c:pt idx="1062">
                  <c:v>37</c:v>
                </c:pt>
                <c:pt idx="1063">
                  <c:v>39</c:v>
                </c:pt>
                <c:pt idx="1064">
                  <c:v>36</c:v>
                </c:pt>
                <c:pt idx="1065">
                  <c:v>33</c:v>
                </c:pt>
                <c:pt idx="1066">
                  <c:v>30</c:v>
                </c:pt>
                <c:pt idx="1067">
                  <c:v>35</c:v>
                </c:pt>
                <c:pt idx="1068">
                  <c:v>36</c:v>
                </c:pt>
                <c:pt idx="1069">
                  <c:v>36</c:v>
                </c:pt>
                <c:pt idx="1070">
                  <c:v>39</c:v>
                </c:pt>
                <c:pt idx="1071">
                  <c:v>36</c:v>
                </c:pt>
                <c:pt idx="1072">
                  <c:v>32</c:v>
                </c:pt>
                <c:pt idx="1073">
                  <c:v>34</c:v>
                </c:pt>
                <c:pt idx="1074">
                  <c:v>32</c:v>
                </c:pt>
                <c:pt idx="1075">
                  <c:v>32</c:v>
                </c:pt>
                <c:pt idx="1076">
                  <c:v>29</c:v>
                </c:pt>
                <c:pt idx="1077">
                  <c:v>37</c:v>
                </c:pt>
                <c:pt idx="1078">
                  <c:v>33</c:v>
                </c:pt>
                <c:pt idx="1079">
                  <c:v>33</c:v>
                </c:pt>
                <c:pt idx="1080">
                  <c:v>32</c:v>
                </c:pt>
                <c:pt idx="1081">
                  <c:v>36</c:v>
                </c:pt>
                <c:pt idx="1082">
                  <c:v>38</c:v>
                </c:pt>
                <c:pt idx="1083">
                  <c:v>37</c:v>
                </c:pt>
                <c:pt idx="1084">
                  <c:v>38</c:v>
                </c:pt>
                <c:pt idx="1085">
                  <c:v>48</c:v>
                </c:pt>
                <c:pt idx="1086">
                  <c:v>36</c:v>
                </c:pt>
                <c:pt idx="1087">
                  <c:v>42</c:v>
                </c:pt>
                <c:pt idx="1088">
                  <c:v>38</c:v>
                </c:pt>
                <c:pt idx="1089">
                  <c:v>43</c:v>
                </c:pt>
                <c:pt idx="1090">
                  <c:v>40</c:v>
                </c:pt>
                <c:pt idx="1091">
                  <c:v>36</c:v>
                </c:pt>
                <c:pt idx="1092">
                  <c:v>39</c:v>
                </c:pt>
                <c:pt idx="1093">
                  <c:v>44</c:v>
                </c:pt>
                <c:pt idx="1094">
                  <c:v>26</c:v>
                </c:pt>
                <c:pt idx="1095">
                  <c:v>35</c:v>
                </c:pt>
                <c:pt idx="1096">
                  <c:v>29</c:v>
                </c:pt>
                <c:pt idx="1097">
                  <c:v>37</c:v>
                </c:pt>
                <c:pt idx="1098">
                  <c:v>30</c:v>
                </c:pt>
                <c:pt idx="1099">
                  <c:v>32</c:v>
                </c:pt>
                <c:pt idx="1100">
                  <c:v>30</c:v>
                </c:pt>
                <c:pt idx="1101">
                  <c:v>25</c:v>
                </c:pt>
                <c:pt idx="1102">
                  <c:v>38</c:v>
                </c:pt>
                <c:pt idx="1103">
                  <c:v>36</c:v>
                </c:pt>
                <c:pt idx="1104">
                  <c:v>39</c:v>
                </c:pt>
                <c:pt idx="1105">
                  <c:v>38</c:v>
                </c:pt>
                <c:pt idx="1106">
                  <c:v>35</c:v>
                </c:pt>
                <c:pt idx="1107">
                  <c:v>28</c:v>
                </c:pt>
                <c:pt idx="1108">
                  <c:v>42</c:v>
                </c:pt>
                <c:pt idx="1109">
                  <c:v>35</c:v>
                </c:pt>
                <c:pt idx="1110">
                  <c:v>33</c:v>
                </c:pt>
                <c:pt idx="1111">
                  <c:v>39</c:v>
                </c:pt>
                <c:pt idx="1112">
                  <c:v>32</c:v>
                </c:pt>
                <c:pt idx="1113">
                  <c:v>38</c:v>
                </c:pt>
                <c:pt idx="1114">
                  <c:v>39</c:v>
                </c:pt>
                <c:pt idx="1115">
                  <c:v>35</c:v>
                </c:pt>
                <c:pt idx="1116">
                  <c:v>28</c:v>
                </c:pt>
                <c:pt idx="1117">
                  <c:v>40</c:v>
                </c:pt>
                <c:pt idx="1118">
                  <c:v>32</c:v>
                </c:pt>
                <c:pt idx="1119">
                  <c:v>36</c:v>
                </c:pt>
                <c:pt idx="1120">
                  <c:v>34</c:v>
                </c:pt>
                <c:pt idx="1121">
                  <c:v>39</c:v>
                </c:pt>
                <c:pt idx="1122">
                  <c:v>44</c:v>
                </c:pt>
                <c:pt idx="1123">
                  <c:v>42</c:v>
                </c:pt>
                <c:pt idx="1124">
                  <c:v>35</c:v>
                </c:pt>
                <c:pt idx="1125">
                  <c:v>39</c:v>
                </c:pt>
                <c:pt idx="1126">
                  <c:v>37</c:v>
                </c:pt>
                <c:pt idx="1127">
                  <c:v>38</c:v>
                </c:pt>
                <c:pt idx="1128">
                  <c:v>34</c:v>
                </c:pt>
                <c:pt idx="1129">
                  <c:v>22</c:v>
                </c:pt>
                <c:pt idx="1130">
                  <c:v>39</c:v>
                </c:pt>
                <c:pt idx="1131">
                  <c:v>32</c:v>
                </c:pt>
                <c:pt idx="1132">
                  <c:v>31</c:v>
                </c:pt>
                <c:pt idx="1133">
                  <c:v>28</c:v>
                </c:pt>
                <c:pt idx="1134">
                  <c:v>39</c:v>
                </c:pt>
                <c:pt idx="1135">
                  <c:v>24</c:v>
                </c:pt>
                <c:pt idx="1136">
                  <c:v>30</c:v>
                </c:pt>
                <c:pt idx="1137">
                  <c:v>44</c:v>
                </c:pt>
                <c:pt idx="1138">
                  <c:v>32</c:v>
                </c:pt>
                <c:pt idx="1139">
                  <c:v>28</c:v>
                </c:pt>
                <c:pt idx="1140">
                  <c:v>29</c:v>
                </c:pt>
                <c:pt idx="1141">
                  <c:v>39</c:v>
                </c:pt>
                <c:pt idx="1142">
                  <c:v>38</c:v>
                </c:pt>
                <c:pt idx="1143">
                  <c:v>29</c:v>
                </c:pt>
                <c:pt idx="1144">
                  <c:v>38</c:v>
                </c:pt>
                <c:pt idx="1145">
                  <c:v>32</c:v>
                </c:pt>
                <c:pt idx="1146">
                  <c:v>34</c:v>
                </c:pt>
                <c:pt idx="1147">
                  <c:v>29</c:v>
                </c:pt>
                <c:pt idx="1148">
                  <c:v>34</c:v>
                </c:pt>
                <c:pt idx="1149">
                  <c:v>30</c:v>
                </c:pt>
                <c:pt idx="1150">
                  <c:v>38</c:v>
                </c:pt>
                <c:pt idx="1151">
                  <c:v>38</c:v>
                </c:pt>
                <c:pt idx="1152">
                  <c:v>36</c:v>
                </c:pt>
                <c:pt idx="1153">
                  <c:v>28</c:v>
                </c:pt>
                <c:pt idx="1154">
                  <c:v>43</c:v>
                </c:pt>
                <c:pt idx="1155">
                  <c:v>41</c:v>
                </c:pt>
                <c:pt idx="1156">
                  <c:v>32</c:v>
                </c:pt>
                <c:pt idx="1157">
                  <c:v>36</c:v>
                </c:pt>
                <c:pt idx="1158">
                  <c:v>39</c:v>
                </c:pt>
                <c:pt idx="1159">
                  <c:v>28</c:v>
                </c:pt>
                <c:pt idx="1160">
                  <c:v>37</c:v>
                </c:pt>
                <c:pt idx="1161">
                  <c:v>32</c:v>
                </c:pt>
                <c:pt idx="1162">
                  <c:v>32</c:v>
                </c:pt>
                <c:pt idx="1163">
                  <c:v>30</c:v>
                </c:pt>
                <c:pt idx="1164">
                  <c:v>36</c:v>
                </c:pt>
                <c:pt idx="1165">
                  <c:v>29</c:v>
                </c:pt>
                <c:pt idx="1166">
                  <c:v>28</c:v>
                </c:pt>
                <c:pt idx="1167">
                  <c:v>23</c:v>
                </c:pt>
                <c:pt idx="1168">
                  <c:v>27.5</c:v>
                </c:pt>
                <c:pt idx="1169">
                  <c:v>30</c:v>
                </c:pt>
                <c:pt idx="1170">
                  <c:v>38</c:v>
                </c:pt>
                <c:pt idx="1171">
                  <c:v>26</c:v>
                </c:pt>
                <c:pt idx="1172">
                  <c:v>30</c:v>
                </c:pt>
                <c:pt idx="1173">
                  <c:v>36</c:v>
                </c:pt>
                <c:pt idx="1174">
                  <c:v>28</c:v>
                </c:pt>
                <c:pt idx="1175">
                  <c:v>43</c:v>
                </c:pt>
                <c:pt idx="1176">
                  <c:v>42</c:v>
                </c:pt>
                <c:pt idx="1177">
                  <c:v>26</c:v>
                </c:pt>
                <c:pt idx="1178">
                  <c:v>34</c:v>
                </c:pt>
                <c:pt idx="1179">
                  <c:v>31</c:v>
                </c:pt>
                <c:pt idx="1180">
                  <c:v>36</c:v>
                </c:pt>
                <c:pt idx="1181">
                  <c:v>41</c:v>
                </c:pt>
                <c:pt idx="1182">
                  <c:v>31</c:v>
                </c:pt>
                <c:pt idx="1183">
                  <c:v>29</c:v>
                </c:pt>
                <c:pt idx="1184">
                  <c:v>22</c:v>
                </c:pt>
                <c:pt idx="1185">
                  <c:v>38</c:v>
                </c:pt>
                <c:pt idx="1186">
                  <c:v>23.5</c:v>
                </c:pt>
                <c:pt idx="1187">
                  <c:v>34</c:v>
                </c:pt>
                <c:pt idx="1188">
                  <c:v>18</c:v>
                </c:pt>
                <c:pt idx="1189">
                  <c:v>28</c:v>
                </c:pt>
                <c:pt idx="1190">
                  <c:v>37</c:v>
                </c:pt>
                <c:pt idx="1191">
                  <c:v>37</c:v>
                </c:pt>
                <c:pt idx="1192">
                  <c:v>29</c:v>
                </c:pt>
                <c:pt idx="1193">
                  <c:v>35</c:v>
                </c:pt>
                <c:pt idx="1194">
                  <c:v>21</c:v>
                </c:pt>
                <c:pt idx="1195">
                  <c:v>35</c:v>
                </c:pt>
                <c:pt idx="1196">
                  <c:v>38</c:v>
                </c:pt>
                <c:pt idx="1197">
                  <c:v>36</c:v>
                </c:pt>
                <c:pt idx="1198">
                  <c:v>28</c:v>
                </c:pt>
                <c:pt idx="1199">
                  <c:v>32</c:v>
                </c:pt>
                <c:pt idx="1200">
                  <c:v>22</c:v>
                </c:pt>
                <c:pt idx="1201">
                  <c:v>27</c:v>
                </c:pt>
                <c:pt idx="1202">
                  <c:v>29</c:v>
                </c:pt>
                <c:pt idx="1203">
                  <c:v>24</c:v>
                </c:pt>
                <c:pt idx="1204">
                  <c:v>38</c:v>
                </c:pt>
                <c:pt idx="1205">
                  <c:v>17</c:v>
                </c:pt>
                <c:pt idx="1206">
                  <c:v>43</c:v>
                </c:pt>
                <c:pt idx="1207">
                  <c:v>25</c:v>
                </c:pt>
                <c:pt idx="1208">
                  <c:v>37</c:v>
                </c:pt>
                <c:pt idx="1209">
                  <c:v>34</c:v>
                </c:pt>
                <c:pt idx="1210">
                  <c:v>40</c:v>
                </c:pt>
                <c:pt idx="1211">
                  <c:v>35</c:v>
                </c:pt>
                <c:pt idx="1212">
                  <c:v>30</c:v>
                </c:pt>
                <c:pt idx="1213">
                  <c:v>36</c:v>
                </c:pt>
                <c:pt idx="1214">
                  <c:v>28</c:v>
                </c:pt>
                <c:pt idx="1215">
                  <c:v>38</c:v>
                </c:pt>
                <c:pt idx="1216">
                  <c:v>37</c:v>
                </c:pt>
                <c:pt idx="1217">
                  <c:v>32</c:v>
                </c:pt>
                <c:pt idx="1218">
                  <c:v>35</c:v>
                </c:pt>
                <c:pt idx="1219">
                  <c:v>34</c:v>
                </c:pt>
                <c:pt idx="1220">
                  <c:v>32</c:v>
                </c:pt>
                <c:pt idx="1221">
                  <c:v>45</c:v>
                </c:pt>
                <c:pt idx="1222">
                  <c:v>45</c:v>
                </c:pt>
                <c:pt idx="1223">
                  <c:v>39</c:v>
                </c:pt>
                <c:pt idx="1224">
                  <c:v>21</c:v>
                </c:pt>
                <c:pt idx="1225">
                  <c:v>35</c:v>
                </c:pt>
                <c:pt idx="1226">
                  <c:v>34</c:v>
                </c:pt>
                <c:pt idx="1227">
                  <c:v>29</c:v>
                </c:pt>
                <c:pt idx="1228">
                  <c:v>32</c:v>
                </c:pt>
                <c:pt idx="1229">
                  <c:v>26</c:v>
                </c:pt>
                <c:pt idx="1230">
                  <c:v>35</c:v>
                </c:pt>
                <c:pt idx="1231">
                  <c:v>43</c:v>
                </c:pt>
                <c:pt idx="1232">
                  <c:v>33</c:v>
                </c:pt>
                <c:pt idx="1233">
                  <c:v>36</c:v>
                </c:pt>
                <c:pt idx="1234">
                  <c:v>32</c:v>
                </c:pt>
                <c:pt idx="1235">
                  <c:v>37</c:v>
                </c:pt>
                <c:pt idx="1236">
                  <c:v>36</c:v>
                </c:pt>
                <c:pt idx="1237">
                  <c:v>39</c:v>
                </c:pt>
                <c:pt idx="1238">
                  <c:v>24</c:v>
                </c:pt>
                <c:pt idx="1239">
                  <c:v>42</c:v>
                </c:pt>
                <c:pt idx="1240">
                  <c:v>42</c:v>
                </c:pt>
                <c:pt idx="1241">
                  <c:v>38</c:v>
                </c:pt>
                <c:pt idx="1242">
                  <c:v>32</c:v>
                </c:pt>
                <c:pt idx="1243">
                  <c:v>36</c:v>
                </c:pt>
                <c:pt idx="1244">
                  <c:v>28</c:v>
                </c:pt>
                <c:pt idx="1245">
                  <c:v>28.8</c:v>
                </c:pt>
                <c:pt idx="1246">
                  <c:v>38.299999999999997</c:v>
                </c:pt>
                <c:pt idx="1247">
                  <c:v>29</c:v>
                </c:pt>
                <c:pt idx="1248">
                  <c:v>34.299999999999997</c:v>
                </c:pt>
                <c:pt idx="1249">
                  <c:v>37</c:v>
                </c:pt>
                <c:pt idx="1250">
                  <c:v>24</c:v>
                </c:pt>
                <c:pt idx="1251">
                  <c:v>36</c:v>
                </c:pt>
                <c:pt idx="1252">
                  <c:v>31</c:v>
                </c:pt>
                <c:pt idx="1253">
                  <c:v>18</c:v>
                </c:pt>
                <c:pt idx="1254">
                  <c:v>31</c:v>
                </c:pt>
                <c:pt idx="1255">
                  <c:v>36</c:v>
                </c:pt>
                <c:pt idx="1256">
                  <c:v>38</c:v>
                </c:pt>
                <c:pt idx="1257">
                  <c:v>28</c:v>
                </c:pt>
                <c:pt idx="1258">
                  <c:v>28</c:v>
                </c:pt>
                <c:pt idx="1259">
                  <c:v>21</c:v>
                </c:pt>
                <c:pt idx="1260">
                  <c:v>34</c:v>
                </c:pt>
                <c:pt idx="1261">
                  <c:v>21</c:v>
                </c:pt>
                <c:pt idx="1262">
                  <c:v>34</c:v>
                </c:pt>
                <c:pt idx="1263">
                  <c:v>23</c:v>
                </c:pt>
                <c:pt idx="1264">
                  <c:v>42</c:v>
                </c:pt>
                <c:pt idx="1265">
                  <c:v>30</c:v>
                </c:pt>
                <c:pt idx="1266">
                  <c:v>36</c:v>
                </c:pt>
                <c:pt idx="1267">
                  <c:v>26</c:v>
                </c:pt>
                <c:pt idx="1268">
                  <c:v>28</c:v>
                </c:pt>
                <c:pt idx="1269">
                  <c:v>31</c:v>
                </c:pt>
                <c:pt idx="1270">
                  <c:v>36</c:v>
                </c:pt>
                <c:pt idx="1271">
                  <c:v>27</c:v>
                </c:pt>
                <c:pt idx="1272">
                  <c:v>29</c:v>
                </c:pt>
                <c:pt idx="1273">
                  <c:v>32</c:v>
                </c:pt>
                <c:pt idx="1274">
                  <c:v>34</c:v>
                </c:pt>
                <c:pt idx="1275">
                  <c:v>25</c:v>
                </c:pt>
                <c:pt idx="1276">
                  <c:v>25</c:v>
                </c:pt>
                <c:pt idx="1277">
                  <c:v>35</c:v>
                </c:pt>
                <c:pt idx="1278">
                  <c:v>37</c:v>
                </c:pt>
                <c:pt idx="1279">
                  <c:v>25</c:v>
                </c:pt>
                <c:pt idx="1280">
                  <c:v>25</c:v>
                </c:pt>
                <c:pt idx="1281">
                  <c:v>26</c:v>
                </c:pt>
                <c:pt idx="1282">
                  <c:v>38</c:v>
                </c:pt>
                <c:pt idx="1283">
                  <c:v>27</c:v>
                </c:pt>
                <c:pt idx="1284">
                  <c:v>25</c:v>
                </c:pt>
                <c:pt idx="1285">
                  <c:v>22</c:v>
                </c:pt>
                <c:pt idx="1286">
                  <c:v>38</c:v>
                </c:pt>
                <c:pt idx="1287">
                  <c:v>37</c:v>
                </c:pt>
                <c:pt idx="1288">
                  <c:v>26</c:v>
                </c:pt>
                <c:pt idx="1289">
                  <c:v>30</c:v>
                </c:pt>
                <c:pt idx="1290">
                  <c:v>39</c:v>
                </c:pt>
                <c:pt idx="1291">
                  <c:v>35</c:v>
                </c:pt>
                <c:pt idx="1292">
                  <c:v>37</c:v>
                </c:pt>
                <c:pt idx="1293">
                  <c:v>35</c:v>
                </c:pt>
                <c:pt idx="1294">
                  <c:v>35</c:v>
                </c:pt>
                <c:pt idx="1295">
                  <c:v>32</c:v>
                </c:pt>
                <c:pt idx="1296">
                  <c:v>41</c:v>
                </c:pt>
                <c:pt idx="1297">
                  <c:v>44</c:v>
                </c:pt>
                <c:pt idx="1298">
                  <c:v>36</c:v>
                </c:pt>
                <c:pt idx="1299">
                  <c:v>30</c:v>
                </c:pt>
                <c:pt idx="1300">
                  <c:v>29</c:v>
                </c:pt>
                <c:pt idx="1301">
                  <c:v>35</c:v>
                </c:pt>
                <c:pt idx="1302">
                  <c:v>23</c:v>
                </c:pt>
                <c:pt idx="1303">
                  <c:v>43</c:v>
                </c:pt>
                <c:pt idx="1304">
                  <c:v>38</c:v>
                </c:pt>
                <c:pt idx="1305">
                  <c:v>34</c:v>
                </c:pt>
                <c:pt idx="1306">
                  <c:v>36</c:v>
                </c:pt>
                <c:pt idx="1307">
                  <c:v>32</c:v>
                </c:pt>
                <c:pt idx="1308">
                  <c:v>23</c:v>
                </c:pt>
                <c:pt idx="1309">
                  <c:v>43</c:v>
                </c:pt>
                <c:pt idx="1310">
                  <c:v>32</c:v>
                </c:pt>
                <c:pt idx="1311">
                  <c:v>30</c:v>
                </c:pt>
                <c:pt idx="1312">
                  <c:v>33.6</c:v>
                </c:pt>
                <c:pt idx="1313">
                  <c:v>28</c:v>
                </c:pt>
                <c:pt idx="1314">
                  <c:v>32</c:v>
                </c:pt>
                <c:pt idx="1315">
                  <c:v>34</c:v>
                </c:pt>
                <c:pt idx="1316">
                  <c:v>37.1</c:v>
                </c:pt>
                <c:pt idx="1317">
                  <c:v>27</c:v>
                </c:pt>
                <c:pt idx="1318">
                  <c:v>34</c:v>
                </c:pt>
                <c:pt idx="1319">
                  <c:v>38</c:v>
                </c:pt>
                <c:pt idx="1320">
                  <c:v>36</c:v>
                </c:pt>
                <c:pt idx="1321">
                  <c:v>34</c:v>
                </c:pt>
                <c:pt idx="1322">
                  <c:v>33</c:v>
                </c:pt>
                <c:pt idx="1323">
                  <c:v>23</c:v>
                </c:pt>
                <c:pt idx="1324">
                  <c:v>30</c:v>
                </c:pt>
                <c:pt idx="1325">
                  <c:v>39</c:v>
                </c:pt>
                <c:pt idx="1326">
                  <c:v>32</c:v>
                </c:pt>
                <c:pt idx="1327">
                  <c:v>48</c:v>
                </c:pt>
                <c:pt idx="1328">
                  <c:v>32.1</c:v>
                </c:pt>
                <c:pt idx="1329">
                  <c:v>40</c:v>
                </c:pt>
                <c:pt idx="1330">
                  <c:v>38</c:v>
                </c:pt>
                <c:pt idx="1331">
                  <c:v>38</c:v>
                </c:pt>
                <c:pt idx="1332">
                  <c:v>43</c:v>
                </c:pt>
                <c:pt idx="1333">
                  <c:v>34.4</c:v>
                </c:pt>
                <c:pt idx="1334">
                  <c:v>36</c:v>
                </c:pt>
                <c:pt idx="1335">
                  <c:v>35</c:v>
                </c:pt>
                <c:pt idx="1336">
                  <c:v>46</c:v>
                </c:pt>
                <c:pt idx="1337">
                  <c:v>34</c:v>
                </c:pt>
                <c:pt idx="1338">
                  <c:v>29</c:v>
                </c:pt>
                <c:pt idx="1339">
                  <c:v>27</c:v>
                </c:pt>
                <c:pt idx="1340">
                  <c:v>29</c:v>
                </c:pt>
                <c:pt idx="1341">
                  <c:v>37</c:v>
                </c:pt>
                <c:pt idx="1342">
                  <c:v>30</c:v>
                </c:pt>
                <c:pt idx="1343">
                  <c:v>45</c:v>
                </c:pt>
                <c:pt idx="1344">
                  <c:v>35</c:v>
                </c:pt>
                <c:pt idx="1345">
                  <c:v>29</c:v>
                </c:pt>
                <c:pt idx="1346">
                  <c:v>31</c:v>
                </c:pt>
                <c:pt idx="1347">
                  <c:v>34</c:v>
                </c:pt>
                <c:pt idx="1348">
                  <c:v>27</c:v>
                </c:pt>
                <c:pt idx="1349">
                  <c:v>25</c:v>
                </c:pt>
                <c:pt idx="1350">
                  <c:v>27</c:v>
                </c:pt>
                <c:pt idx="1351">
                  <c:v>25</c:v>
                </c:pt>
                <c:pt idx="1352">
                  <c:v>33</c:v>
                </c:pt>
                <c:pt idx="1353">
                  <c:v>32</c:v>
                </c:pt>
                <c:pt idx="1354">
                  <c:v>29</c:v>
                </c:pt>
                <c:pt idx="1355">
                  <c:v>25</c:v>
                </c:pt>
                <c:pt idx="1356">
                  <c:v>26</c:v>
                </c:pt>
                <c:pt idx="1357">
                  <c:v>26</c:v>
                </c:pt>
              </c:numCache>
            </c:numRef>
          </c:val>
          <c:smooth val="0"/>
          <c:extLst>
            <c:ext xmlns:c16="http://schemas.microsoft.com/office/drawing/2014/chart" uri="{C3380CC4-5D6E-409C-BE32-E72D297353CC}">
              <c16:uniqueId val="{00000001-66D2-4613-A3DE-E2EB50831565}"/>
            </c:ext>
          </c:extLst>
        </c:ser>
        <c:dLbls>
          <c:showLegendKey val="0"/>
          <c:showVal val="0"/>
          <c:showCatName val="0"/>
          <c:showSerName val="0"/>
          <c:showPercent val="0"/>
          <c:showBubbleSize val="0"/>
        </c:dLbls>
        <c:marker val="1"/>
        <c:smooth val="0"/>
        <c:axId val="405154208"/>
        <c:axId val="405169440"/>
      </c:lineChart>
      <c:catAx>
        <c:axId val="405168896"/>
        <c:scaling>
          <c:orientation val="minMax"/>
        </c:scaling>
        <c:delete val="0"/>
        <c:axPos val="b"/>
        <c:numFmt formatCode="General" sourceLinked="0"/>
        <c:majorTickMark val="none"/>
        <c:minorTickMark val="none"/>
        <c:tickLblPos val="nextTo"/>
        <c:txPr>
          <a:bodyPr/>
          <a:lstStyle/>
          <a:p>
            <a:pPr>
              <a:defRPr lang="ja-JP" sz="900" b="0"/>
            </a:pPr>
            <a:endParaRPr lang="en-US"/>
          </a:p>
        </c:txPr>
        <c:crossAx val="405168352"/>
        <c:crosses val="autoZero"/>
        <c:auto val="1"/>
        <c:lblAlgn val="ctr"/>
        <c:lblOffset val="100"/>
        <c:tickMarkSkip val="1"/>
        <c:noMultiLvlLbl val="0"/>
      </c:catAx>
      <c:valAx>
        <c:axId val="405168352"/>
        <c:scaling>
          <c:orientation val="minMax"/>
          <c:max val="25"/>
          <c:min val="4"/>
        </c:scaling>
        <c:delete val="0"/>
        <c:axPos val="l"/>
        <c:majorGridlines/>
        <c:title>
          <c:tx>
            <c:rich>
              <a:bodyPr/>
              <a:lstStyle/>
              <a:p>
                <a:pPr>
                  <a:defRPr lang="ja-JP" sz="2800"/>
                </a:pPr>
                <a:r>
                  <a:rPr lang="en-US" sz="2800"/>
                  <a:t>Coke Moisture %</a:t>
                </a:r>
              </a:p>
            </c:rich>
          </c:tx>
          <c:overlay val="0"/>
        </c:title>
        <c:numFmt formatCode="General" sourceLinked="1"/>
        <c:majorTickMark val="none"/>
        <c:minorTickMark val="none"/>
        <c:tickLblPos val="nextTo"/>
        <c:txPr>
          <a:bodyPr/>
          <a:lstStyle/>
          <a:p>
            <a:pPr>
              <a:defRPr lang="ja-JP" sz="2000"/>
            </a:pPr>
            <a:endParaRPr lang="en-US"/>
          </a:p>
        </c:txPr>
        <c:crossAx val="405168896"/>
        <c:crosses val="autoZero"/>
        <c:crossBetween val="between"/>
        <c:majorUnit val="1"/>
      </c:valAx>
      <c:valAx>
        <c:axId val="405169440"/>
        <c:scaling>
          <c:orientation val="minMax"/>
          <c:max val="90"/>
          <c:min val="15"/>
        </c:scaling>
        <c:delete val="0"/>
        <c:axPos val="r"/>
        <c:numFmt formatCode="General" sourceLinked="1"/>
        <c:majorTickMark val="out"/>
        <c:minorTickMark val="none"/>
        <c:tickLblPos val="nextTo"/>
        <c:txPr>
          <a:bodyPr/>
          <a:lstStyle/>
          <a:p>
            <a:pPr>
              <a:defRPr lang="ja-JP" sz="1800"/>
            </a:pPr>
            <a:endParaRPr lang="en-US"/>
          </a:p>
        </c:txPr>
        <c:crossAx val="405154208"/>
        <c:crosses val="max"/>
        <c:crossBetween val="between"/>
        <c:majorUnit val="5"/>
      </c:valAx>
      <c:catAx>
        <c:axId val="405154208"/>
        <c:scaling>
          <c:orientation val="minMax"/>
        </c:scaling>
        <c:delete val="1"/>
        <c:axPos val="b"/>
        <c:numFmt formatCode="General" sourceLinked="1"/>
        <c:majorTickMark val="out"/>
        <c:minorTickMark val="none"/>
        <c:tickLblPos val="nextTo"/>
        <c:crossAx val="405169440"/>
        <c:crosses val="autoZero"/>
        <c:auto val="1"/>
        <c:lblAlgn val="ctr"/>
        <c:lblOffset val="100"/>
        <c:noMultiLvlLbl val="0"/>
      </c:catAx>
    </c:plotArea>
    <c:legend>
      <c:legendPos val="t"/>
      <c:overlay val="0"/>
      <c:txPr>
        <a:bodyPr/>
        <a:lstStyle/>
        <a:p>
          <a:pPr>
            <a:defRPr lang="ja-JP" sz="2000"/>
          </a:pPr>
          <a:endParaRPr lang="en-US"/>
        </a:p>
      </c:txPr>
    </c:legend>
    <c:plotVisOnly val="1"/>
    <c:dispBlanksAs val="zero"/>
    <c:showDLblsOverMax val="0"/>
  </c:chart>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scatterChart>
        <c:scatterStyle val="smoothMarker"/>
        <c:varyColors val="0"/>
        <c:ser>
          <c:idx val="0"/>
          <c:order val="0"/>
          <c:tx>
            <c:strRef>
              <c:f>'PIT PAD Report -Density 0.8395 '!#REF!</c:f>
              <c:strCache>
                <c:ptCount val="1"/>
                <c:pt idx="0">
                  <c:v>#REF!</c:v>
                </c:pt>
              </c:strCache>
            </c:strRef>
          </c:tx>
          <c:spPr>
            <a:ln w="57150">
              <a:solidFill>
                <a:srgbClr val="FFC000"/>
              </a:solidFill>
            </a:ln>
          </c:spPr>
          <c:marker>
            <c:symbol val="none"/>
          </c:marker>
          <c:xVal>
            <c:strRef>
              <c:f>'PIT PAD Report -Density 0.8395 '!$H$7:$TB$7</c:f>
            </c:strRef>
          </c:xVal>
          <c:yVal>
            <c:numRef>
              <c:f>'PIT PAD Report -Density 0.8395 '!$H$9:$TB$9</c:f>
            </c:numRef>
          </c:yVal>
          <c:smooth val="1"/>
          <c:extLst>
            <c:ext xmlns:c16="http://schemas.microsoft.com/office/drawing/2014/chart" uri="{C3380CC4-5D6E-409C-BE32-E72D297353CC}">
              <c16:uniqueId val="{00000000-39EF-4DD9-86C0-3421E92D51AE}"/>
            </c:ext>
          </c:extLst>
        </c:ser>
        <c:ser>
          <c:idx val="1"/>
          <c:order val="2"/>
          <c:tx>
            <c:strRef>
              <c:f>'PIT PAD Report -Density 0.8395 '!#REF!</c:f>
              <c:strCache>
                <c:ptCount val="1"/>
                <c:pt idx="0">
                  <c:v>#REF!</c:v>
                </c:pt>
              </c:strCache>
            </c:strRef>
          </c:tx>
          <c:spPr>
            <a:ln w="57150">
              <a:solidFill>
                <a:srgbClr val="00B050"/>
              </a:solidFill>
            </a:ln>
          </c:spPr>
          <c:marker>
            <c:symbol val="none"/>
          </c:marker>
          <c:xVal>
            <c:strRef>
              <c:f>'PIT PAD Report -Density 0.8395 '!$H$7:$TB$7</c:f>
            </c:strRef>
          </c:xVal>
          <c:yVal>
            <c:numRef>
              <c:f>'PIT PAD Report -Density 0.8395 '!$H$11:$TB$11</c:f>
            </c:numRef>
          </c:yVal>
          <c:smooth val="1"/>
          <c:extLst>
            <c:ext xmlns:c16="http://schemas.microsoft.com/office/drawing/2014/chart" uri="{C3380CC4-5D6E-409C-BE32-E72D297353CC}">
              <c16:uniqueId val="{00000001-39EF-4DD9-86C0-3421E92D51AE}"/>
            </c:ext>
          </c:extLst>
        </c:ser>
        <c:ser>
          <c:idx val="2"/>
          <c:order val="1"/>
          <c:tx>
            <c:strRef>
              <c:f>'PIT PAD Report -Density 0.8395 '!#REF!</c:f>
              <c:strCache>
                <c:ptCount val="1"/>
                <c:pt idx="0">
                  <c:v>#REF!</c:v>
                </c:pt>
              </c:strCache>
            </c:strRef>
          </c:tx>
          <c:spPr>
            <a:ln w="57150">
              <a:solidFill>
                <a:srgbClr val="0000FF"/>
              </a:solidFill>
            </a:ln>
          </c:spPr>
          <c:marker>
            <c:symbol val="none"/>
          </c:marker>
          <c:xVal>
            <c:strRef>
              <c:f>'PIT PAD Report -Density 0.8395 '!$H$7:$TB$7</c:f>
            </c:strRef>
          </c:xVal>
          <c:yVal>
            <c:numRef>
              <c:f>'PIT PAD Report -Density 0.8395 '!$H$8:$TB$8</c:f>
            </c:numRef>
          </c:yVal>
          <c:smooth val="1"/>
          <c:extLst>
            <c:ext xmlns:c16="http://schemas.microsoft.com/office/drawing/2014/chart" uri="{C3380CC4-5D6E-409C-BE32-E72D297353CC}">
              <c16:uniqueId val="{00000002-39EF-4DD9-86C0-3421E92D51AE}"/>
            </c:ext>
          </c:extLst>
        </c:ser>
        <c:dLbls>
          <c:showLegendKey val="0"/>
          <c:showVal val="0"/>
          <c:showCatName val="0"/>
          <c:showSerName val="0"/>
          <c:showPercent val="0"/>
          <c:showBubbleSize val="0"/>
        </c:dLbls>
        <c:axId val="504790944"/>
        <c:axId val="504797472"/>
      </c:scatterChart>
      <c:scatterChart>
        <c:scatterStyle val="smoothMarker"/>
        <c:varyColors val="0"/>
        <c:ser>
          <c:idx val="5"/>
          <c:order val="3"/>
          <c:tx>
            <c:strRef>
              <c:f>'PIT PAD Report -Density 0.8395 '!#REF!</c:f>
              <c:strCache>
                <c:ptCount val="1"/>
                <c:pt idx="0">
                  <c:v>#REF!</c:v>
                </c:pt>
              </c:strCache>
            </c:strRef>
          </c:tx>
          <c:spPr>
            <a:ln w="57150">
              <a:solidFill>
                <a:srgbClr val="FF0000"/>
              </a:solidFill>
            </a:ln>
          </c:spPr>
          <c:marker>
            <c:symbol val="none"/>
          </c:marker>
          <c:xVal>
            <c:strRef>
              <c:f>'PIT PAD Report -Density 0.8395 '!$H$7:$TB$7</c:f>
            </c:strRef>
          </c:xVal>
          <c:yVal>
            <c:numRef>
              <c:f>'PIT PAD Report -Density 0.8395 '!$H$13:$TB$13</c:f>
            </c:numRef>
          </c:yVal>
          <c:smooth val="1"/>
          <c:extLst>
            <c:ext xmlns:c16="http://schemas.microsoft.com/office/drawing/2014/chart" uri="{C3380CC4-5D6E-409C-BE32-E72D297353CC}">
              <c16:uniqueId val="{00000003-39EF-4DD9-86C0-3421E92D51AE}"/>
            </c:ext>
          </c:extLst>
        </c:ser>
        <c:dLbls>
          <c:showLegendKey val="0"/>
          <c:showVal val="0"/>
          <c:showCatName val="0"/>
          <c:showSerName val="0"/>
          <c:showPercent val="0"/>
          <c:showBubbleSize val="0"/>
        </c:dLbls>
        <c:axId val="504801824"/>
        <c:axId val="504800736"/>
      </c:scatterChart>
      <c:valAx>
        <c:axId val="504790944"/>
        <c:scaling>
          <c:orientation val="minMax"/>
          <c:max val="42551"/>
          <c:min val="42522"/>
        </c:scaling>
        <c:delete val="0"/>
        <c:axPos val="b"/>
        <c:majorGridlines/>
        <c:minorGridlines/>
        <c:title>
          <c:tx>
            <c:rich>
              <a:bodyPr/>
              <a:lstStyle/>
              <a:p>
                <a:pPr>
                  <a:defRPr lang="ja-JP"/>
                </a:pPr>
                <a:r>
                  <a:rPr lang="en-US"/>
                  <a:t>DATE</a:t>
                </a:r>
              </a:p>
            </c:rich>
          </c:tx>
          <c:overlay val="0"/>
        </c:title>
        <c:numFmt formatCode="d\-mmm\-yy" sourceLinked="1"/>
        <c:majorTickMark val="out"/>
        <c:minorTickMark val="none"/>
        <c:tickLblPos val="nextTo"/>
        <c:txPr>
          <a:bodyPr/>
          <a:lstStyle/>
          <a:p>
            <a:pPr>
              <a:defRPr lang="ja-JP" sz="1200"/>
            </a:pPr>
            <a:endParaRPr lang="en-US"/>
          </a:p>
        </c:txPr>
        <c:crossAx val="504797472"/>
        <c:crosses val="autoZero"/>
        <c:crossBetween val="midCat"/>
        <c:majorUnit val="2"/>
      </c:valAx>
      <c:valAx>
        <c:axId val="504797472"/>
        <c:scaling>
          <c:orientation val="minMax"/>
          <c:max val="20000"/>
          <c:min val="500"/>
        </c:scaling>
        <c:delete val="0"/>
        <c:axPos val="l"/>
        <c:majorGridlines>
          <c:spPr>
            <a:ln>
              <a:solidFill>
                <a:schemeClr val="tx1"/>
              </a:solidFill>
            </a:ln>
          </c:spPr>
        </c:majorGridlines>
        <c:title>
          <c:tx>
            <c:rich>
              <a:bodyPr/>
              <a:lstStyle/>
              <a:p>
                <a:pPr>
                  <a:defRPr lang="ja-JP"/>
                </a:pPr>
                <a:r>
                  <a:rPr lang="en-US"/>
                  <a:t>Coke</a:t>
                </a:r>
                <a:r>
                  <a:rPr lang="en-US" baseline="0"/>
                  <a:t> Quantity, MT</a:t>
                </a:r>
                <a:endParaRPr lang="en-US"/>
              </a:p>
            </c:rich>
          </c:tx>
          <c:overlay val="0"/>
        </c:title>
        <c:numFmt formatCode="#,##0" sourceLinked="1"/>
        <c:majorTickMark val="out"/>
        <c:minorTickMark val="none"/>
        <c:tickLblPos val="nextTo"/>
        <c:txPr>
          <a:bodyPr/>
          <a:lstStyle/>
          <a:p>
            <a:pPr>
              <a:defRPr lang="ja-JP" sz="1400"/>
            </a:pPr>
            <a:endParaRPr lang="en-US"/>
          </a:p>
        </c:txPr>
        <c:crossAx val="504790944"/>
        <c:crosses val="autoZero"/>
        <c:crossBetween val="midCat"/>
        <c:majorUnit val="2000"/>
      </c:valAx>
      <c:valAx>
        <c:axId val="504800736"/>
        <c:scaling>
          <c:orientation val="minMax"/>
          <c:max val="30000"/>
          <c:min val="5000"/>
        </c:scaling>
        <c:delete val="0"/>
        <c:axPos val="r"/>
        <c:numFmt formatCode="#,##0_);[Red]\(#,##0\)" sourceLinked="1"/>
        <c:majorTickMark val="out"/>
        <c:minorTickMark val="none"/>
        <c:tickLblPos val="nextTo"/>
        <c:txPr>
          <a:bodyPr/>
          <a:lstStyle/>
          <a:p>
            <a:pPr>
              <a:defRPr lang="ja-JP"/>
            </a:pPr>
            <a:endParaRPr lang="en-US"/>
          </a:p>
        </c:txPr>
        <c:crossAx val="504801824"/>
        <c:crosses val="max"/>
        <c:crossBetween val="midCat"/>
      </c:valAx>
      <c:valAx>
        <c:axId val="504801824"/>
        <c:scaling>
          <c:orientation val="minMax"/>
        </c:scaling>
        <c:delete val="1"/>
        <c:axPos val="b"/>
        <c:numFmt formatCode="d\-mmm\-yy" sourceLinked="1"/>
        <c:majorTickMark val="out"/>
        <c:minorTickMark val="none"/>
        <c:tickLblPos val="nextTo"/>
        <c:crossAx val="504800736"/>
        <c:crosses val="autoZero"/>
        <c:crossBetween val="midCat"/>
      </c:valAx>
    </c:plotArea>
    <c:legend>
      <c:legendPos val="t"/>
      <c:layout>
        <c:manualLayout>
          <c:xMode val="edge"/>
          <c:yMode val="edge"/>
          <c:x val="4.9999993430113021E-2"/>
          <c:y val="1.1377488340314114E-2"/>
          <c:w val="0.51784454836625959"/>
          <c:h val="3.6589369933602955E-2"/>
        </c:manualLayout>
      </c:layout>
      <c:overlay val="0"/>
      <c:txPr>
        <a:bodyPr/>
        <a:lstStyle/>
        <a:p>
          <a:pPr>
            <a:defRPr lang="ja-JP" sz="1100" b="1"/>
          </a:pPr>
          <a:endParaRPr lang="en-US"/>
        </a:p>
      </c:txPr>
    </c:legend>
    <c:plotVisOnly val="1"/>
    <c:dispBlanksAs val="gap"/>
    <c:showDLblsOverMax val="0"/>
  </c:chart>
  <c:printSettings>
    <c:headerFooter/>
    <c:pageMargins b="0.75000000000000011" l="0.70000000000000007" r="0.70000000000000007" t="0.75000000000000011" header="0.30000000000000004" footer="0.30000000000000004"/>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 /><Relationship Id="rId2" Type="http://schemas.openxmlformats.org/officeDocument/2006/relationships/chart" Target="../charts/chart2.xml" /><Relationship Id="rId1" Type="http://schemas.openxmlformats.org/officeDocument/2006/relationships/chart" Target="../charts/chart1.xml" /><Relationship Id="rId4" Type="http://schemas.openxmlformats.org/officeDocument/2006/relationships/chart" Target="../charts/chart4.xml" /></Relationships>
</file>

<file path=xl/drawings/_rels/drawing2.xml.rels><?xml version="1.0" encoding="UTF-8" standalone="yes"?>
<Relationships xmlns="http://schemas.openxmlformats.org/package/2006/relationships"><Relationship Id="rId1" Type="http://schemas.openxmlformats.org/officeDocument/2006/relationships/chart" Target="../charts/chart5.xml" /></Relationships>
</file>

<file path=xl/drawings/drawing1.xml><?xml version="1.0" encoding="utf-8"?>
<xdr:wsDr xmlns:xdr="http://schemas.openxmlformats.org/drawingml/2006/spreadsheetDrawing" xmlns:a="http://schemas.openxmlformats.org/drawingml/2006/main">
  <xdr:twoCellAnchor>
    <xdr:from>
      <xdr:col>11</xdr:col>
      <xdr:colOff>161919</xdr:colOff>
      <xdr:row>0</xdr:row>
      <xdr:rowOff>142874</xdr:rowOff>
    </xdr:from>
    <xdr:to>
      <xdr:col>89</xdr:col>
      <xdr:colOff>206375</xdr:colOff>
      <xdr:row>41</xdr:row>
      <xdr:rowOff>95249</xdr:rowOff>
    </xdr:to>
    <xdr:graphicFrame macro="">
      <xdr:nvGraphicFramePr>
        <xdr:cNvPr id="4" name="Chart 3">
          <a:extLst>
            <a:ext uri="{FF2B5EF4-FFF2-40B4-BE49-F238E27FC236}">
              <a16:creationId xmlns:a16="http://schemas.microsoft.com/office/drawing/2014/main" id="{00000000-0008-0000-00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269875</xdr:colOff>
      <xdr:row>43</xdr:row>
      <xdr:rowOff>15875</xdr:rowOff>
    </xdr:from>
    <xdr:to>
      <xdr:col>92</xdr:col>
      <xdr:colOff>206375</xdr:colOff>
      <xdr:row>83</xdr:row>
      <xdr:rowOff>158750</xdr:rowOff>
    </xdr:to>
    <xdr:graphicFrame macro="">
      <xdr:nvGraphicFramePr>
        <xdr:cNvPr id="6" name="Chart 5">
          <a:extLst>
            <a:ext uri="{FF2B5EF4-FFF2-40B4-BE49-F238E27FC236}">
              <a16:creationId xmlns:a16="http://schemas.microsoft.com/office/drawing/2014/main" id="{00000000-0008-0000-00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404811</xdr:colOff>
      <xdr:row>86</xdr:row>
      <xdr:rowOff>23813</xdr:rowOff>
    </xdr:from>
    <xdr:to>
      <xdr:col>78</xdr:col>
      <xdr:colOff>79374</xdr:colOff>
      <xdr:row>126</xdr:row>
      <xdr:rowOff>166688</xdr:rowOff>
    </xdr:to>
    <xdr:graphicFrame macro="">
      <xdr:nvGraphicFramePr>
        <xdr:cNvPr id="7" name="Chart 6">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571499</xdr:colOff>
      <xdr:row>128</xdr:row>
      <xdr:rowOff>174625</xdr:rowOff>
    </xdr:from>
    <xdr:to>
      <xdr:col>75</xdr:col>
      <xdr:colOff>174625</xdr:colOff>
      <xdr:row>169</xdr:row>
      <xdr:rowOff>127000</xdr:rowOff>
    </xdr:to>
    <xdr:graphicFrame macro="">
      <xdr:nvGraphicFramePr>
        <xdr:cNvPr id="9" name="Chart 8">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13</xdr:row>
      <xdr:rowOff>0</xdr:rowOff>
    </xdr:from>
    <xdr:to>
      <xdr:col>43</xdr:col>
      <xdr:colOff>551102</xdr:colOff>
      <xdr:row>48</xdr:row>
      <xdr:rowOff>29937</xdr:rowOff>
    </xdr:to>
    <xdr:graphicFrame macro="">
      <xdr:nvGraphicFramePr>
        <xdr:cNvPr id="2" name="Chart 4">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 /><Relationship Id="rId1" Type="http://schemas.openxmlformats.org/officeDocument/2006/relationships/printerSettings" Target="../printerSettings/printerSettings1.bin" /></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 /></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 /></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3.vml" /><Relationship Id="rId2" Type="http://schemas.openxmlformats.org/officeDocument/2006/relationships/drawing" Target="../drawings/drawing2.xml" /><Relationship Id="rId1" Type="http://schemas.openxmlformats.org/officeDocument/2006/relationships/printerSettings" Target="../printerSettings/printerSettings12.bin" /><Relationship Id="rId4" Type="http://schemas.openxmlformats.org/officeDocument/2006/relationships/comments" Target="../comments3.xml" /></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 /></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 /></Relationships>
</file>

<file path=xl/worksheets/_rels/sheet15.xml.rels><?xml version="1.0" encoding="UTF-8" standalone="yes"?>
<Relationships xmlns="http://schemas.openxmlformats.org/package/2006/relationships"><Relationship Id="rId3" Type="http://schemas.openxmlformats.org/officeDocument/2006/relationships/comments" Target="../comments4.xml" /><Relationship Id="rId2" Type="http://schemas.openxmlformats.org/officeDocument/2006/relationships/vmlDrawing" Target="../drawings/vmlDrawing4.vml" /><Relationship Id="rId1" Type="http://schemas.openxmlformats.org/officeDocument/2006/relationships/printerSettings" Target="../printerSettings/printerSettings15.bin" /></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 /></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 /></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 /></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 /></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 /><Relationship Id="rId2" Type="http://schemas.openxmlformats.org/officeDocument/2006/relationships/vmlDrawing" Target="../drawings/vmlDrawing1.vml" /><Relationship Id="rId1" Type="http://schemas.openxmlformats.org/officeDocument/2006/relationships/printerSettings" Target="../printerSettings/printerSettings3.bin" /></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 /><Relationship Id="rId2" Type="http://schemas.openxmlformats.org/officeDocument/2006/relationships/vmlDrawing" Target="../drawings/vmlDrawing2.vml" /><Relationship Id="rId1" Type="http://schemas.openxmlformats.org/officeDocument/2006/relationships/printerSettings" Target="../printerSettings/printerSettings4.bin" /></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 /></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N1397"/>
  <sheetViews>
    <sheetView topLeftCell="A1369" zoomScale="115" zoomScaleNormal="115" workbookViewId="0">
      <selection activeCell="I1399" sqref="I1399"/>
    </sheetView>
  </sheetViews>
  <sheetFormatPr defaultRowHeight="15" x14ac:dyDescent="0.2"/>
  <cols>
    <col min="2" max="2" width="8.47265625" customWidth="1"/>
    <col min="3" max="3" width="11.97265625" customWidth="1"/>
    <col min="4" max="4" width="9.14453125" style="257"/>
    <col min="5" max="6" width="13.44921875" customWidth="1"/>
    <col min="7" max="7" width="14.2578125" customWidth="1"/>
    <col min="8" max="8" width="13.98828125" style="109" customWidth="1"/>
    <col min="9" max="9" width="15.19921875" bestFit="1" customWidth="1"/>
    <col min="10" max="10" width="14.66015625" customWidth="1"/>
    <col min="11" max="11" width="22.1953125" customWidth="1"/>
    <col min="12" max="12" width="21.7890625" customWidth="1"/>
    <col min="13" max="13" width="15.6015625" customWidth="1"/>
  </cols>
  <sheetData>
    <row r="2" spans="2:11" x14ac:dyDescent="0.2">
      <c r="B2" s="1159" t="s">
        <v>36</v>
      </c>
      <c r="C2" s="1159" t="s">
        <v>5</v>
      </c>
      <c r="D2" s="1159" t="s">
        <v>1</v>
      </c>
      <c r="E2" s="1159" t="s">
        <v>44</v>
      </c>
      <c r="F2" s="1159"/>
      <c r="G2" s="1159"/>
      <c r="H2" s="1159"/>
      <c r="I2" s="38" t="s">
        <v>45</v>
      </c>
      <c r="J2" s="1159" t="s">
        <v>48</v>
      </c>
      <c r="K2" s="1158" t="s">
        <v>49</v>
      </c>
    </row>
    <row r="3" spans="2:11" x14ac:dyDescent="0.2">
      <c r="B3" s="1159"/>
      <c r="C3" s="1159"/>
      <c r="D3" s="1159"/>
      <c r="E3" s="38" t="s">
        <v>41</v>
      </c>
      <c r="F3" s="38" t="s">
        <v>40</v>
      </c>
      <c r="G3" s="38" t="s">
        <v>42</v>
      </c>
      <c r="H3" s="108" t="s">
        <v>43</v>
      </c>
      <c r="I3" s="38" t="s">
        <v>37</v>
      </c>
      <c r="J3" s="1159"/>
      <c r="K3" s="1158"/>
    </row>
    <row r="4" spans="2:11" x14ac:dyDescent="0.2">
      <c r="B4" s="38">
        <v>1</v>
      </c>
      <c r="C4" s="39">
        <v>42368</v>
      </c>
      <c r="D4" s="16">
        <v>0.33333333333333331</v>
      </c>
      <c r="E4" s="38"/>
      <c r="F4" s="38"/>
      <c r="G4" s="38"/>
      <c r="H4" s="103">
        <v>14</v>
      </c>
      <c r="I4" s="38">
        <v>42</v>
      </c>
      <c r="J4" s="38"/>
      <c r="K4" s="49"/>
    </row>
    <row r="5" spans="2:11" x14ac:dyDescent="0.2">
      <c r="B5" s="38">
        <f>B4+1</f>
        <v>2</v>
      </c>
      <c r="C5" s="39">
        <v>42368</v>
      </c>
      <c r="D5" s="16">
        <v>0.54166666666666663</v>
      </c>
      <c r="E5" s="38"/>
      <c r="F5" s="38"/>
      <c r="G5" s="38"/>
      <c r="H5" s="103">
        <v>13</v>
      </c>
      <c r="I5" s="38">
        <v>38</v>
      </c>
      <c r="J5" s="38"/>
      <c r="K5" s="49"/>
    </row>
    <row r="6" spans="2:11" x14ac:dyDescent="0.2">
      <c r="B6" s="38">
        <f t="shared" ref="B6:B69" si="0">B5+1</f>
        <v>3</v>
      </c>
      <c r="C6" s="39">
        <v>42368</v>
      </c>
      <c r="D6" s="16">
        <v>0.65277777777777779</v>
      </c>
      <c r="E6" s="38"/>
      <c r="F6" s="38"/>
      <c r="G6" s="38"/>
      <c r="H6" s="103">
        <v>15.2</v>
      </c>
      <c r="I6" s="38">
        <v>25</v>
      </c>
      <c r="J6" s="38" t="s">
        <v>38</v>
      </c>
      <c r="K6" s="49"/>
    </row>
    <row r="7" spans="2:11" x14ac:dyDescent="0.2">
      <c r="B7" s="38">
        <f t="shared" si="0"/>
        <v>4</v>
      </c>
      <c r="C7" s="39">
        <v>42368</v>
      </c>
      <c r="D7" s="16">
        <v>0.76041666666666663</v>
      </c>
      <c r="E7" s="38"/>
      <c r="F7" s="38"/>
      <c r="G7" s="38"/>
      <c r="H7" s="103">
        <v>18.5</v>
      </c>
      <c r="I7" s="38">
        <v>30</v>
      </c>
      <c r="J7" s="38" t="s">
        <v>38</v>
      </c>
      <c r="K7" s="49"/>
    </row>
    <row r="8" spans="2:11" x14ac:dyDescent="0.2">
      <c r="B8" s="38">
        <f t="shared" si="0"/>
        <v>5</v>
      </c>
      <c r="C8" s="39">
        <v>42368</v>
      </c>
      <c r="D8" s="16">
        <v>0.875</v>
      </c>
      <c r="E8" s="38"/>
      <c r="F8" s="38"/>
      <c r="G8" s="38"/>
      <c r="H8" s="103">
        <v>14.1</v>
      </c>
      <c r="I8" s="38">
        <v>28</v>
      </c>
      <c r="J8" s="38" t="s">
        <v>38</v>
      </c>
      <c r="K8" s="49"/>
    </row>
    <row r="9" spans="2:11" x14ac:dyDescent="0.2">
      <c r="B9" s="38">
        <f t="shared" si="0"/>
        <v>6</v>
      </c>
      <c r="C9" s="39">
        <v>42369</v>
      </c>
      <c r="D9" s="16">
        <v>0.53472222222222221</v>
      </c>
      <c r="E9" s="38"/>
      <c r="F9" s="38"/>
      <c r="G9" s="38"/>
      <c r="H9" s="103">
        <v>14.5</v>
      </c>
      <c r="I9" s="38">
        <v>28</v>
      </c>
      <c r="J9" s="38"/>
      <c r="K9" s="49"/>
    </row>
    <row r="10" spans="2:11" x14ac:dyDescent="0.2">
      <c r="B10" s="38">
        <f t="shared" si="0"/>
        <v>7</v>
      </c>
      <c r="C10" s="39">
        <v>42369</v>
      </c>
      <c r="D10" s="16">
        <v>0.17708333333333334</v>
      </c>
      <c r="E10" s="38"/>
      <c r="F10" s="38"/>
      <c r="G10" s="38"/>
      <c r="H10" s="103">
        <v>12</v>
      </c>
      <c r="I10" s="38">
        <v>37</v>
      </c>
      <c r="J10" s="38"/>
      <c r="K10" s="49"/>
    </row>
    <row r="11" spans="2:11" x14ac:dyDescent="0.2">
      <c r="B11" s="38">
        <f t="shared" si="0"/>
        <v>8</v>
      </c>
      <c r="C11" s="39">
        <v>42369</v>
      </c>
      <c r="D11" s="16">
        <v>0.46875</v>
      </c>
      <c r="E11" s="38"/>
      <c r="F11" s="38"/>
      <c r="G11" s="38"/>
      <c r="H11" s="103">
        <v>17</v>
      </c>
      <c r="I11" s="38">
        <v>36</v>
      </c>
      <c r="J11" s="38" t="s">
        <v>38</v>
      </c>
      <c r="K11" s="49"/>
    </row>
    <row r="12" spans="2:11" x14ac:dyDescent="0.2">
      <c r="B12" s="38">
        <f t="shared" si="0"/>
        <v>9</v>
      </c>
      <c r="C12" s="39">
        <v>42369</v>
      </c>
      <c r="D12" s="16">
        <v>0.60416666666666663</v>
      </c>
      <c r="E12" s="38"/>
      <c r="F12" s="38"/>
      <c r="G12" s="38"/>
      <c r="H12" s="103">
        <v>17.600000000000001</v>
      </c>
      <c r="I12" s="38">
        <v>21</v>
      </c>
      <c r="J12" s="38" t="s">
        <v>39</v>
      </c>
      <c r="K12" s="49"/>
    </row>
    <row r="13" spans="2:11" x14ac:dyDescent="0.2">
      <c r="B13" s="38">
        <f t="shared" si="0"/>
        <v>10</v>
      </c>
      <c r="C13" s="39">
        <v>42369</v>
      </c>
      <c r="D13" s="16">
        <v>0.77083333333333337</v>
      </c>
      <c r="E13" s="38"/>
      <c r="F13" s="38"/>
      <c r="G13" s="38"/>
      <c r="H13" s="103">
        <v>18</v>
      </c>
      <c r="I13" s="38">
        <v>23</v>
      </c>
      <c r="J13" s="38" t="s">
        <v>38</v>
      </c>
      <c r="K13" s="49"/>
    </row>
    <row r="14" spans="2:11" x14ac:dyDescent="0.2">
      <c r="B14" s="38">
        <f t="shared" si="0"/>
        <v>11</v>
      </c>
      <c r="C14" s="39">
        <v>42369</v>
      </c>
      <c r="D14" s="16">
        <v>0.94791666666666663</v>
      </c>
      <c r="E14" s="38"/>
      <c r="F14" s="38"/>
      <c r="G14" s="38"/>
      <c r="H14" s="103">
        <v>15.2</v>
      </c>
      <c r="I14" s="38">
        <v>27</v>
      </c>
      <c r="J14" s="38"/>
      <c r="K14" s="49"/>
    </row>
    <row r="15" spans="2:11" x14ac:dyDescent="0.2">
      <c r="B15" s="38">
        <f t="shared" si="0"/>
        <v>12</v>
      </c>
      <c r="C15" s="39">
        <v>42370</v>
      </c>
      <c r="D15" s="16">
        <v>9.375E-2</v>
      </c>
      <c r="E15" s="38"/>
      <c r="F15" s="38"/>
      <c r="G15" s="38"/>
      <c r="H15" s="103">
        <v>15</v>
      </c>
      <c r="I15" s="38">
        <v>30</v>
      </c>
      <c r="J15" s="38"/>
      <c r="K15" s="49"/>
    </row>
    <row r="16" spans="2:11" x14ac:dyDescent="0.2">
      <c r="B16" s="38">
        <f t="shared" si="0"/>
        <v>13</v>
      </c>
      <c r="C16" s="39">
        <v>42370</v>
      </c>
      <c r="D16" s="16">
        <v>0.24097222222222223</v>
      </c>
      <c r="E16" s="38"/>
      <c r="F16" s="38"/>
      <c r="G16" s="38"/>
      <c r="H16" s="103">
        <v>14.5</v>
      </c>
      <c r="I16" s="38">
        <v>27</v>
      </c>
      <c r="J16" s="38"/>
      <c r="K16" s="49"/>
    </row>
    <row r="17" spans="2:11" x14ac:dyDescent="0.2">
      <c r="B17" s="38">
        <f t="shared" si="0"/>
        <v>14</v>
      </c>
      <c r="C17" s="39">
        <v>42370</v>
      </c>
      <c r="D17" s="16">
        <v>0.34027777777777773</v>
      </c>
      <c r="E17" s="38">
        <v>15.8</v>
      </c>
      <c r="F17" s="38">
        <v>20</v>
      </c>
      <c r="G17" s="38">
        <v>23.6</v>
      </c>
      <c r="H17" s="103">
        <f t="shared" ref="H17:H22" si="1">AVERAGE(E17:G17)</f>
        <v>19.8</v>
      </c>
      <c r="I17" s="38">
        <v>33</v>
      </c>
      <c r="J17" s="38" t="s">
        <v>39</v>
      </c>
      <c r="K17" s="49"/>
    </row>
    <row r="18" spans="2:11" x14ac:dyDescent="0.2">
      <c r="B18" s="38">
        <f t="shared" si="0"/>
        <v>15</v>
      </c>
      <c r="C18" s="39">
        <v>42370</v>
      </c>
      <c r="D18" s="16">
        <v>0.5625</v>
      </c>
      <c r="E18" s="38">
        <v>14.1</v>
      </c>
      <c r="F18" s="38">
        <v>15</v>
      </c>
      <c r="G18" s="38">
        <v>15.1</v>
      </c>
      <c r="H18" s="103">
        <f t="shared" si="1"/>
        <v>14.733333333333334</v>
      </c>
      <c r="I18" s="38">
        <v>22</v>
      </c>
      <c r="J18" s="38" t="s">
        <v>38</v>
      </c>
      <c r="K18" s="49"/>
    </row>
    <row r="19" spans="2:11" x14ac:dyDescent="0.2">
      <c r="B19" s="38">
        <f t="shared" si="0"/>
        <v>16</v>
      </c>
      <c r="C19" s="39">
        <v>42370</v>
      </c>
      <c r="D19" s="16">
        <v>0.70833333333333337</v>
      </c>
      <c r="E19" s="38">
        <v>18.100000000000001</v>
      </c>
      <c r="F19" s="38">
        <v>18.8</v>
      </c>
      <c r="G19" s="38">
        <v>19.5</v>
      </c>
      <c r="H19" s="103">
        <f t="shared" si="1"/>
        <v>18.8</v>
      </c>
      <c r="I19" s="38">
        <v>23</v>
      </c>
      <c r="J19" s="38" t="s">
        <v>38</v>
      </c>
      <c r="K19" s="49"/>
    </row>
    <row r="20" spans="2:11" x14ac:dyDescent="0.2">
      <c r="B20" s="38">
        <f t="shared" si="0"/>
        <v>17</v>
      </c>
      <c r="C20" s="39">
        <v>42370</v>
      </c>
      <c r="D20" s="16">
        <v>0.86458333333333337</v>
      </c>
      <c r="E20" s="38">
        <v>15.6</v>
      </c>
      <c r="F20" s="38">
        <v>16</v>
      </c>
      <c r="G20" s="38">
        <v>16.5</v>
      </c>
      <c r="H20" s="103">
        <f t="shared" si="1"/>
        <v>16.033333333333335</v>
      </c>
      <c r="I20" s="38">
        <v>21</v>
      </c>
      <c r="J20" s="38" t="s">
        <v>39</v>
      </c>
      <c r="K20" s="49"/>
    </row>
    <row r="21" spans="2:11" x14ac:dyDescent="0.2">
      <c r="B21" s="38">
        <f t="shared" si="0"/>
        <v>18</v>
      </c>
      <c r="C21" s="39">
        <v>42370</v>
      </c>
      <c r="D21" s="16">
        <v>0.96527777777777779</v>
      </c>
      <c r="E21" s="38">
        <v>15</v>
      </c>
      <c r="F21" s="38">
        <v>15.5</v>
      </c>
      <c r="G21" s="38">
        <v>16</v>
      </c>
      <c r="H21" s="103">
        <f t="shared" si="1"/>
        <v>15.5</v>
      </c>
      <c r="I21" s="38">
        <v>22</v>
      </c>
      <c r="J21" s="38" t="s">
        <v>38</v>
      </c>
      <c r="K21" s="49"/>
    </row>
    <row r="22" spans="2:11" x14ac:dyDescent="0.2">
      <c r="B22" s="38">
        <f t="shared" si="0"/>
        <v>19</v>
      </c>
      <c r="C22" s="39">
        <v>42371</v>
      </c>
      <c r="D22" s="16">
        <v>0.15277777777777776</v>
      </c>
      <c r="E22" s="38">
        <v>15.7</v>
      </c>
      <c r="F22" s="38">
        <v>15.9</v>
      </c>
      <c r="G22" s="38">
        <v>16</v>
      </c>
      <c r="H22" s="103">
        <f t="shared" si="1"/>
        <v>15.866666666666667</v>
      </c>
      <c r="I22" s="38">
        <v>23</v>
      </c>
      <c r="J22" s="38" t="s">
        <v>46</v>
      </c>
      <c r="K22" s="49"/>
    </row>
    <row r="23" spans="2:11" x14ac:dyDescent="0.2">
      <c r="B23" s="38">
        <f>B22+1</f>
        <v>20</v>
      </c>
      <c r="C23" s="39">
        <v>42371</v>
      </c>
      <c r="D23" s="16">
        <v>0.47569444444444442</v>
      </c>
      <c r="E23" s="38">
        <v>11.2</v>
      </c>
      <c r="F23" s="38">
        <v>13.5</v>
      </c>
      <c r="G23" s="38">
        <v>15.4</v>
      </c>
      <c r="H23" s="103">
        <f t="shared" ref="H23:H86" si="2">AVERAGE(E23:G23)</f>
        <v>13.366666666666667</v>
      </c>
      <c r="I23" s="38">
        <v>34.200000000000003</v>
      </c>
      <c r="J23" s="38"/>
      <c r="K23" s="49"/>
    </row>
    <row r="24" spans="2:11" x14ac:dyDescent="0.2">
      <c r="B24" s="38">
        <f t="shared" si="0"/>
        <v>21</v>
      </c>
      <c r="C24" s="39">
        <v>42371</v>
      </c>
      <c r="D24" s="16">
        <v>0.625</v>
      </c>
      <c r="E24" s="38">
        <v>15.2</v>
      </c>
      <c r="F24" s="38">
        <v>16.5</v>
      </c>
      <c r="G24" s="38">
        <v>17.100000000000001</v>
      </c>
      <c r="H24" s="103">
        <f t="shared" si="2"/>
        <v>16.266666666666666</v>
      </c>
      <c r="I24" s="38">
        <v>21.6</v>
      </c>
      <c r="J24" s="38" t="s">
        <v>39</v>
      </c>
      <c r="K24" s="49"/>
    </row>
    <row r="25" spans="2:11" x14ac:dyDescent="0.2">
      <c r="B25" s="38">
        <f t="shared" si="0"/>
        <v>22</v>
      </c>
      <c r="C25" s="39">
        <v>42371</v>
      </c>
      <c r="D25" s="16">
        <v>0.76041666666666663</v>
      </c>
      <c r="E25" s="38">
        <v>11.5</v>
      </c>
      <c r="F25" s="38">
        <v>15</v>
      </c>
      <c r="G25" s="38">
        <v>16.2</v>
      </c>
      <c r="H25" s="103">
        <f t="shared" si="2"/>
        <v>14.233333333333334</v>
      </c>
      <c r="I25" s="38">
        <v>28</v>
      </c>
      <c r="J25" s="38"/>
      <c r="K25" s="49"/>
    </row>
    <row r="26" spans="2:11" x14ac:dyDescent="0.2">
      <c r="B26" s="38">
        <f t="shared" si="0"/>
        <v>23</v>
      </c>
      <c r="C26" s="39">
        <v>42371</v>
      </c>
      <c r="D26" s="16">
        <v>0.95138888888888884</v>
      </c>
      <c r="E26" s="38">
        <v>12.2</v>
      </c>
      <c r="F26" s="38">
        <v>13</v>
      </c>
      <c r="G26" s="38">
        <v>13.5</v>
      </c>
      <c r="H26" s="103">
        <f t="shared" si="2"/>
        <v>12.9</v>
      </c>
      <c r="I26" s="38">
        <v>35</v>
      </c>
      <c r="J26" s="38" t="s">
        <v>39</v>
      </c>
      <c r="K26" s="49"/>
    </row>
    <row r="27" spans="2:11" x14ac:dyDescent="0.2">
      <c r="B27" s="38">
        <f t="shared" si="0"/>
        <v>24</v>
      </c>
      <c r="C27" s="39">
        <v>42372</v>
      </c>
      <c r="D27" s="16">
        <v>8.6805555555555566E-2</v>
      </c>
      <c r="E27" s="38">
        <v>14.2</v>
      </c>
      <c r="F27" s="38">
        <v>16</v>
      </c>
      <c r="G27" s="38">
        <v>17.5</v>
      </c>
      <c r="H27" s="103">
        <f t="shared" si="2"/>
        <v>15.9</v>
      </c>
      <c r="I27" s="38">
        <v>26</v>
      </c>
      <c r="J27" s="38"/>
      <c r="K27" s="49"/>
    </row>
    <row r="28" spans="2:11" x14ac:dyDescent="0.2">
      <c r="B28" s="38">
        <f t="shared" si="0"/>
        <v>25</v>
      </c>
      <c r="C28" s="39">
        <v>42372</v>
      </c>
      <c r="D28" s="16">
        <v>0.45833333333333331</v>
      </c>
      <c r="E28" s="38">
        <v>14.4</v>
      </c>
      <c r="F28" s="38">
        <v>14.5</v>
      </c>
      <c r="G28" s="38">
        <v>17.2</v>
      </c>
      <c r="H28" s="103">
        <f t="shared" si="2"/>
        <v>15.366666666666665</v>
      </c>
      <c r="I28" s="38">
        <v>27</v>
      </c>
      <c r="J28" s="38"/>
      <c r="K28" s="49"/>
    </row>
    <row r="29" spans="2:11" x14ac:dyDescent="0.2">
      <c r="B29" s="38">
        <f t="shared" si="0"/>
        <v>26</v>
      </c>
      <c r="C29" s="39">
        <v>42372</v>
      </c>
      <c r="D29" s="16">
        <v>0.64583333333333337</v>
      </c>
      <c r="E29" s="38">
        <v>18.5</v>
      </c>
      <c r="F29" s="38">
        <v>18.8</v>
      </c>
      <c r="G29" s="38">
        <v>19</v>
      </c>
      <c r="H29" s="103">
        <f t="shared" si="2"/>
        <v>18.766666666666666</v>
      </c>
      <c r="I29" s="38">
        <v>26</v>
      </c>
      <c r="J29" s="38"/>
      <c r="K29" s="49"/>
    </row>
    <row r="30" spans="2:11" x14ac:dyDescent="0.2">
      <c r="B30" s="38">
        <f t="shared" si="0"/>
        <v>27</v>
      </c>
      <c r="C30" s="39">
        <v>42372</v>
      </c>
      <c r="D30" s="16">
        <v>0.75694444444444453</v>
      </c>
      <c r="E30" s="38">
        <v>15.7</v>
      </c>
      <c r="F30" s="38">
        <v>19.3</v>
      </c>
      <c r="G30" s="38">
        <v>20.2</v>
      </c>
      <c r="H30" s="103">
        <f t="shared" si="2"/>
        <v>18.400000000000002</v>
      </c>
      <c r="I30" s="38">
        <v>27</v>
      </c>
      <c r="J30" s="38"/>
      <c r="K30" s="49"/>
    </row>
    <row r="31" spans="2:11" x14ac:dyDescent="0.2">
      <c r="B31" s="38">
        <f t="shared" si="0"/>
        <v>28</v>
      </c>
      <c r="C31" s="39">
        <v>42372</v>
      </c>
      <c r="D31" s="16">
        <v>0.95138888888888884</v>
      </c>
      <c r="E31" s="38">
        <v>17.3</v>
      </c>
      <c r="F31" s="38">
        <v>18.3</v>
      </c>
      <c r="G31" s="38">
        <v>19.2</v>
      </c>
      <c r="H31" s="103">
        <f t="shared" si="2"/>
        <v>18.266666666666666</v>
      </c>
      <c r="I31" s="38">
        <v>20</v>
      </c>
      <c r="J31" s="38"/>
      <c r="K31" s="49"/>
    </row>
    <row r="32" spans="2:11" x14ac:dyDescent="0.2">
      <c r="B32" s="38">
        <f t="shared" si="0"/>
        <v>29</v>
      </c>
      <c r="C32" s="39">
        <v>42373</v>
      </c>
      <c r="D32" s="16">
        <v>8.6805555555555566E-2</v>
      </c>
      <c r="E32" s="38">
        <v>18.2</v>
      </c>
      <c r="F32" s="38">
        <v>19.8</v>
      </c>
      <c r="G32" s="38">
        <v>21.8</v>
      </c>
      <c r="H32" s="103">
        <f t="shared" si="2"/>
        <v>19.933333333333334</v>
      </c>
      <c r="I32" s="38">
        <v>19.3</v>
      </c>
      <c r="J32" s="38"/>
      <c r="K32" s="49"/>
    </row>
    <row r="33" spans="2:11" x14ac:dyDescent="0.2">
      <c r="B33" s="38">
        <f t="shared" si="0"/>
        <v>30</v>
      </c>
      <c r="C33" s="39">
        <v>42373</v>
      </c>
      <c r="D33" s="16">
        <v>0.35416666666666669</v>
      </c>
      <c r="E33" s="38">
        <v>17</v>
      </c>
      <c r="F33" s="38">
        <v>17</v>
      </c>
      <c r="G33" s="38">
        <v>19.3</v>
      </c>
      <c r="H33" s="103">
        <f t="shared" si="2"/>
        <v>17.766666666666666</v>
      </c>
      <c r="I33" s="38">
        <v>24</v>
      </c>
      <c r="J33" s="38" t="s">
        <v>38</v>
      </c>
      <c r="K33" s="49"/>
    </row>
    <row r="34" spans="2:11" x14ac:dyDescent="0.2">
      <c r="B34" s="38">
        <f t="shared" si="0"/>
        <v>31</v>
      </c>
      <c r="C34" s="39">
        <v>42373</v>
      </c>
      <c r="D34" s="16">
        <v>0.5</v>
      </c>
      <c r="E34" s="38">
        <v>13.1</v>
      </c>
      <c r="F34" s="38">
        <v>14.2</v>
      </c>
      <c r="G34" s="38">
        <v>17.8</v>
      </c>
      <c r="H34" s="103">
        <f t="shared" si="2"/>
        <v>15.033333333333331</v>
      </c>
      <c r="I34" s="38">
        <v>35</v>
      </c>
      <c r="J34" s="38" t="s">
        <v>38</v>
      </c>
      <c r="K34" s="49"/>
    </row>
    <row r="35" spans="2:11" x14ac:dyDescent="0.2">
      <c r="B35" s="38">
        <f t="shared" si="0"/>
        <v>32</v>
      </c>
      <c r="C35" s="39">
        <v>42373</v>
      </c>
      <c r="D35" s="16">
        <v>0.65277777777777779</v>
      </c>
      <c r="E35" s="38">
        <v>19</v>
      </c>
      <c r="F35" s="38">
        <v>23.3</v>
      </c>
      <c r="G35" s="38">
        <v>24.2</v>
      </c>
      <c r="H35" s="103">
        <f t="shared" si="2"/>
        <v>22.166666666666668</v>
      </c>
      <c r="I35" s="38">
        <v>30</v>
      </c>
      <c r="J35" s="38"/>
      <c r="K35" s="49"/>
    </row>
    <row r="36" spans="2:11" x14ac:dyDescent="0.2">
      <c r="B36" s="38">
        <f t="shared" si="0"/>
        <v>33</v>
      </c>
      <c r="C36" s="39">
        <v>42373</v>
      </c>
      <c r="D36" s="16">
        <v>0.75694444444444453</v>
      </c>
      <c r="E36" s="38">
        <v>18.399999999999999</v>
      </c>
      <c r="F36" s="38">
        <v>20</v>
      </c>
      <c r="G36" s="38">
        <v>20.7</v>
      </c>
      <c r="H36" s="103">
        <f t="shared" si="2"/>
        <v>19.7</v>
      </c>
      <c r="I36" s="38">
        <v>20.8</v>
      </c>
      <c r="J36" s="38"/>
      <c r="K36" s="49"/>
    </row>
    <row r="37" spans="2:11" x14ac:dyDescent="0.2">
      <c r="B37" s="38">
        <f t="shared" si="0"/>
        <v>34</v>
      </c>
      <c r="C37" s="39">
        <v>42373</v>
      </c>
      <c r="D37" s="16">
        <v>0.91666666666666663</v>
      </c>
      <c r="E37" s="38">
        <v>14.4</v>
      </c>
      <c r="F37" s="38">
        <v>16.2</v>
      </c>
      <c r="G37" s="38">
        <v>17.100000000000001</v>
      </c>
      <c r="H37" s="103">
        <f t="shared" si="2"/>
        <v>15.9</v>
      </c>
      <c r="I37" s="38">
        <v>23</v>
      </c>
      <c r="J37" s="38"/>
      <c r="K37" s="49"/>
    </row>
    <row r="38" spans="2:11" x14ac:dyDescent="0.2">
      <c r="B38" s="38">
        <f t="shared" si="0"/>
        <v>35</v>
      </c>
      <c r="C38" s="39">
        <v>42374</v>
      </c>
      <c r="D38" s="16">
        <v>9.0277777777777776E-2</v>
      </c>
      <c r="E38" s="38">
        <v>15.5</v>
      </c>
      <c r="F38" s="38">
        <v>16.3</v>
      </c>
      <c r="G38" s="38">
        <v>17.5</v>
      </c>
      <c r="H38" s="103">
        <f t="shared" si="2"/>
        <v>16.433333333333334</v>
      </c>
      <c r="I38" s="38">
        <v>30</v>
      </c>
      <c r="J38" s="38"/>
      <c r="K38" s="49"/>
    </row>
    <row r="39" spans="2:11" x14ac:dyDescent="0.2">
      <c r="B39" s="38">
        <f t="shared" si="0"/>
        <v>36</v>
      </c>
      <c r="C39" s="39">
        <v>42374</v>
      </c>
      <c r="D39" s="16">
        <v>0.50694444444444442</v>
      </c>
      <c r="E39" s="38">
        <v>19.3</v>
      </c>
      <c r="F39" s="38">
        <v>19.399999999999999</v>
      </c>
      <c r="G39" s="38">
        <v>20.399999999999999</v>
      </c>
      <c r="H39" s="103">
        <f t="shared" si="2"/>
        <v>19.7</v>
      </c>
      <c r="I39" s="38">
        <v>43.6</v>
      </c>
      <c r="J39" s="38" t="s">
        <v>38</v>
      </c>
      <c r="K39" s="49"/>
    </row>
    <row r="40" spans="2:11" x14ac:dyDescent="0.2">
      <c r="B40" s="38">
        <f t="shared" si="0"/>
        <v>37</v>
      </c>
      <c r="C40" s="39">
        <v>42374</v>
      </c>
      <c r="D40" s="16">
        <v>0.65625</v>
      </c>
      <c r="E40" s="38">
        <v>17.2</v>
      </c>
      <c r="F40" s="38">
        <v>17.8</v>
      </c>
      <c r="G40" s="38">
        <v>18.100000000000001</v>
      </c>
      <c r="H40" s="103">
        <f t="shared" si="2"/>
        <v>17.7</v>
      </c>
      <c r="I40" s="38">
        <v>33</v>
      </c>
      <c r="J40" s="38" t="s">
        <v>38</v>
      </c>
      <c r="K40" s="49"/>
    </row>
    <row r="41" spans="2:11" x14ac:dyDescent="0.2">
      <c r="B41" s="38">
        <f t="shared" si="0"/>
        <v>38</v>
      </c>
      <c r="C41" s="39">
        <v>42374</v>
      </c>
      <c r="D41" s="16">
        <v>0.79861111111111116</v>
      </c>
      <c r="E41" s="38">
        <v>18</v>
      </c>
      <c r="F41" s="38">
        <v>19.7</v>
      </c>
      <c r="G41" s="38">
        <v>21.3</v>
      </c>
      <c r="H41" s="103">
        <f t="shared" si="2"/>
        <v>19.666666666666668</v>
      </c>
      <c r="I41" s="38">
        <v>25</v>
      </c>
      <c r="J41" s="38" t="s">
        <v>38</v>
      </c>
      <c r="K41" s="49"/>
    </row>
    <row r="42" spans="2:11" x14ac:dyDescent="0.2">
      <c r="B42" s="38">
        <f t="shared" si="0"/>
        <v>39</v>
      </c>
      <c r="C42" s="39">
        <v>42374</v>
      </c>
      <c r="D42" s="16">
        <v>0.96527777777777779</v>
      </c>
      <c r="E42" s="38">
        <v>17.5</v>
      </c>
      <c r="F42" s="38">
        <v>18.600000000000001</v>
      </c>
      <c r="G42" s="38">
        <v>19.2</v>
      </c>
      <c r="H42" s="103">
        <f t="shared" si="2"/>
        <v>18.433333333333334</v>
      </c>
      <c r="I42" s="38">
        <v>24.4</v>
      </c>
      <c r="J42" s="38"/>
      <c r="K42" s="49"/>
    </row>
    <row r="43" spans="2:11" x14ac:dyDescent="0.2">
      <c r="B43" s="38">
        <f t="shared" si="0"/>
        <v>40</v>
      </c>
      <c r="C43" s="39">
        <v>42375</v>
      </c>
      <c r="D43" s="16">
        <v>0.10416666666666667</v>
      </c>
      <c r="E43" s="38">
        <v>20.6</v>
      </c>
      <c r="F43" s="38">
        <v>22.3</v>
      </c>
      <c r="G43" s="38">
        <v>23.1</v>
      </c>
      <c r="H43" s="103">
        <f t="shared" si="2"/>
        <v>22</v>
      </c>
      <c r="I43" s="38">
        <v>30.2</v>
      </c>
      <c r="J43" s="38"/>
      <c r="K43" s="49"/>
    </row>
    <row r="44" spans="2:11" x14ac:dyDescent="0.2">
      <c r="B44" s="38">
        <f t="shared" si="0"/>
        <v>41</v>
      </c>
      <c r="C44" s="39">
        <v>42375</v>
      </c>
      <c r="D44" s="16">
        <v>0.1423611111111111</v>
      </c>
      <c r="E44" s="38">
        <v>16.2</v>
      </c>
      <c r="F44" s="38">
        <v>17.5</v>
      </c>
      <c r="G44" s="38">
        <v>18.2</v>
      </c>
      <c r="H44" s="103">
        <f t="shared" si="2"/>
        <v>17.3</v>
      </c>
      <c r="I44" s="38">
        <v>25.4</v>
      </c>
      <c r="J44" s="38"/>
      <c r="K44" s="49"/>
    </row>
    <row r="45" spans="2:11" x14ac:dyDescent="0.2">
      <c r="B45" s="38">
        <f t="shared" si="0"/>
        <v>42</v>
      </c>
      <c r="C45" s="39">
        <v>42375</v>
      </c>
      <c r="D45" s="16">
        <v>0.53472222222222221</v>
      </c>
      <c r="E45" s="38">
        <v>14.1</v>
      </c>
      <c r="F45" s="38">
        <v>15.2</v>
      </c>
      <c r="G45" s="38">
        <v>16.399999999999999</v>
      </c>
      <c r="H45" s="103">
        <f t="shared" si="2"/>
        <v>15.233333333333333</v>
      </c>
      <c r="I45" s="38">
        <v>36.5</v>
      </c>
      <c r="J45" s="38" t="s">
        <v>38</v>
      </c>
      <c r="K45" s="49"/>
    </row>
    <row r="46" spans="2:11" x14ac:dyDescent="0.2">
      <c r="B46" s="38">
        <f t="shared" si="0"/>
        <v>43</v>
      </c>
      <c r="C46" s="39">
        <v>42375</v>
      </c>
      <c r="D46" s="16">
        <v>0.60763888888888895</v>
      </c>
      <c r="E46" s="38">
        <v>17.8</v>
      </c>
      <c r="F46" s="38">
        <v>20.8</v>
      </c>
      <c r="G46" s="38">
        <v>20.5</v>
      </c>
      <c r="H46" s="103">
        <f t="shared" si="2"/>
        <v>19.7</v>
      </c>
      <c r="I46" s="38">
        <v>35</v>
      </c>
      <c r="J46" s="38" t="s">
        <v>39</v>
      </c>
      <c r="K46" s="49"/>
    </row>
    <row r="47" spans="2:11" x14ac:dyDescent="0.2">
      <c r="B47" s="38">
        <f t="shared" si="0"/>
        <v>44</v>
      </c>
      <c r="C47" s="39">
        <v>42375</v>
      </c>
      <c r="D47" s="16">
        <v>0.75694444444444453</v>
      </c>
      <c r="E47" s="38">
        <v>12.2</v>
      </c>
      <c r="F47" s="38">
        <v>14.1</v>
      </c>
      <c r="G47" s="38">
        <v>16.600000000000001</v>
      </c>
      <c r="H47" s="103">
        <f t="shared" si="2"/>
        <v>14.299999999999999</v>
      </c>
      <c r="I47" s="38">
        <v>41</v>
      </c>
      <c r="J47" s="38" t="s">
        <v>39</v>
      </c>
      <c r="K47" s="49"/>
    </row>
    <row r="48" spans="2:11" x14ac:dyDescent="0.2">
      <c r="B48" s="38">
        <f t="shared" si="0"/>
        <v>45</v>
      </c>
      <c r="C48" s="39">
        <v>42375</v>
      </c>
      <c r="D48" s="16">
        <v>0.9375</v>
      </c>
      <c r="E48" s="38">
        <v>16.2</v>
      </c>
      <c r="F48" s="38">
        <v>17.5</v>
      </c>
      <c r="G48" s="38">
        <v>19.100000000000001</v>
      </c>
      <c r="H48" s="103">
        <f t="shared" si="2"/>
        <v>17.600000000000001</v>
      </c>
      <c r="I48" s="38">
        <v>37</v>
      </c>
      <c r="J48" s="38"/>
      <c r="K48" s="49"/>
    </row>
    <row r="49" spans="2:11" x14ac:dyDescent="0.2">
      <c r="B49" s="38">
        <f t="shared" si="0"/>
        <v>46</v>
      </c>
      <c r="C49" s="39">
        <v>42376</v>
      </c>
      <c r="D49" s="16">
        <v>0.11458333333333333</v>
      </c>
      <c r="E49" s="38">
        <v>15.1</v>
      </c>
      <c r="F49" s="38">
        <v>16</v>
      </c>
      <c r="G49" s="38">
        <v>17.2</v>
      </c>
      <c r="H49" s="103">
        <f t="shared" si="2"/>
        <v>16.099999999999998</v>
      </c>
      <c r="I49" s="38">
        <v>29</v>
      </c>
      <c r="J49" s="38"/>
      <c r="K49" s="49"/>
    </row>
    <row r="50" spans="2:11" x14ac:dyDescent="0.2">
      <c r="B50" s="38">
        <f t="shared" si="0"/>
        <v>47</v>
      </c>
      <c r="C50" s="39">
        <v>42376</v>
      </c>
      <c r="D50" s="16">
        <v>0.39930555555555558</v>
      </c>
      <c r="E50" s="38">
        <v>15.1</v>
      </c>
      <c r="F50" s="38">
        <v>15.4</v>
      </c>
      <c r="G50" s="38">
        <v>16.2</v>
      </c>
      <c r="H50" s="103">
        <f t="shared" si="2"/>
        <v>15.566666666666668</v>
      </c>
      <c r="I50" s="38">
        <v>45</v>
      </c>
      <c r="J50" s="38"/>
      <c r="K50" s="49"/>
    </row>
    <row r="51" spans="2:11" x14ac:dyDescent="0.2">
      <c r="B51" s="38">
        <f t="shared" si="0"/>
        <v>48</v>
      </c>
      <c r="C51" s="39">
        <v>42376</v>
      </c>
      <c r="D51" s="16">
        <v>0.54513888888888895</v>
      </c>
      <c r="E51" s="38">
        <v>21.5</v>
      </c>
      <c r="F51" s="38">
        <v>21.6</v>
      </c>
      <c r="G51" s="38">
        <v>21.9</v>
      </c>
      <c r="H51" s="103">
        <f t="shared" si="2"/>
        <v>21.666666666666668</v>
      </c>
      <c r="I51" s="38">
        <v>43</v>
      </c>
      <c r="J51" s="38"/>
      <c r="K51" s="49"/>
    </row>
    <row r="52" spans="2:11" x14ac:dyDescent="0.2">
      <c r="B52" s="38">
        <f t="shared" si="0"/>
        <v>49</v>
      </c>
      <c r="C52" s="39">
        <v>42376</v>
      </c>
      <c r="D52" s="16">
        <v>0.84027777777777779</v>
      </c>
      <c r="E52" s="38">
        <v>16.7</v>
      </c>
      <c r="F52" s="38">
        <v>19.899999999999999</v>
      </c>
      <c r="G52" s="38">
        <v>24.3</v>
      </c>
      <c r="H52" s="103">
        <f t="shared" si="2"/>
        <v>20.299999999999997</v>
      </c>
      <c r="I52" s="38">
        <v>35</v>
      </c>
      <c r="J52" s="38" t="s">
        <v>38</v>
      </c>
      <c r="K52" s="49"/>
    </row>
    <row r="53" spans="2:11" x14ac:dyDescent="0.2">
      <c r="B53" s="38">
        <f t="shared" si="0"/>
        <v>50</v>
      </c>
      <c r="C53" s="39">
        <v>42377</v>
      </c>
      <c r="D53" s="16">
        <v>9.0277777777777776E-2</v>
      </c>
      <c r="E53" s="38">
        <v>14.8</v>
      </c>
      <c r="F53" s="38">
        <v>15.5</v>
      </c>
      <c r="G53" s="38">
        <v>16.3</v>
      </c>
      <c r="H53" s="103">
        <f t="shared" si="2"/>
        <v>15.533333333333333</v>
      </c>
      <c r="I53" s="38">
        <v>33</v>
      </c>
      <c r="J53" s="38"/>
      <c r="K53" s="49"/>
    </row>
    <row r="54" spans="2:11" x14ac:dyDescent="0.2">
      <c r="B54" s="38">
        <f t="shared" si="0"/>
        <v>51</v>
      </c>
      <c r="C54" s="39">
        <v>42377</v>
      </c>
      <c r="D54" s="16">
        <v>0.375</v>
      </c>
      <c r="E54" s="38">
        <v>14</v>
      </c>
      <c r="F54" s="38">
        <v>14.8</v>
      </c>
      <c r="G54" s="38">
        <v>20.6</v>
      </c>
      <c r="H54" s="103">
        <f t="shared" si="2"/>
        <v>16.466666666666669</v>
      </c>
      <c r="I54" s="38">
        <v>32</v>
      </c>
      <c r="J54" s="38" t="s">
        <v>39</v>
      </c>
      <c r="K54" s="49"/>
    </row>
    <row r="55" spans="2:11" x14ac:dyDescent="0.2">
      <c r="B55" s="38">
        <f t="shared" si="0"/>
        <v>52</v>
      </c>
      <c r="C55" s="39">
        <v>42377</v>
      </c>
      <c r="D55" s="16">
        <v>0.59375</v>
      </c>
      <c r="E55" s="38">
        <v>16.5</v>
      </c>
      <c r="F55" s="38">
        <v>16.8</v>
      </c>
      <c r="G55" s="38">
        <v>19.8</v>
      </c>
      <c r="H55" s="103">
        <f t="shared" si="2"/>
        <v>17.7</v>
      </c>
      <c r="I55" s="38">
        <v>30</v>
      </c>
      <c r="J55" s="38" t="s">
        <v>38</v>
      </c>
      <c r="K55" s="49"/>
    </row>
    <row r="56" spans="2:11" x14ac:dyDescent="0.2">
      <c r="B56" s="38">
        <f t="shared" si="0"/>
        <v>53</v>
      </c>
      <c r="C56" s="39">
        <v>42377</v>
      </c>
      <c r="D56" s="16">
        <v>0.96527777777777779</v>
      </c>
      <c r="E56" s="38">
        <v>13.4</v>
      </c>
      <c r="F56" s="38">
        <v>13.6</v>
      </c>
      <c r="G56" s="38">
        <v>14</v>
      </c>
      <c r="H56" s="103">
        <f t="shared" si="2"/>
        <v>13.666666666666666</v>
      </c>
      <c r="I56" s="38">
        <v>28</v>
      </c>
      <c r="J56" s="38" t="s">
        <v>39</v>
      </c>
      <c r="K56" s="49"/>
    </row>
    <row r="57" spans="2:11" x14ac:dyDescent="0.2">
      <c r="B57" s="38">
        <f t="shared" si="0"/>
        <v>54</v>
      </c>
      <c r="C57" s="39">
        <v>42378</v>
      </c>
      <c r="D57" s="16">
        <v>1.0416666666666666E-2</v>
      </c>
      <c r="E57" s="38">
        <v>14</v>
      </c>
      <c r="F57" s="38">
        <v>14.5</v>
      </c>
      <c r="G57" s="38">
        <v>15.5</v>
      </c>
      <c r="H57" s="103">
        <f t="shared" si="2"/>
        <v>14.666666666666666</v>
      </c>
      <c r="I57" s="38">
        <v>37</v>
      </c>
      <c r="J57" s="38" t="s">
        <v>39</v>
      </c>
      <c r="K57" s="49"/>
    </row>
    <row r="58" spans="2:11" x14ac:dyDescent="0.2">
      <c r="B58" s="38">
        <f t="shared" si="0"/>
        <v>55</v>
      </c>
      <c r="C58" s="39">
        <v>42378</v>
      </c>
      <c r="D58" s="16">
        <v>0.15277777777777776</v>
      </c>
      <c r="E58" s="38">
        <v>15.6</v>
      </c>
      <c r="F58" s="38">
        <v>17.7</v>
      </c>
      <c r="G58" s="38">
        <v>18.8</v>
      </c>
      <c r="H58" s="103">
        <f t="shared" si="2"/>
        <v>17.366666666666664</v>
      </c>
      <c r="I58" s="38">
        <v>36</v>
      </c>
      <c r="J58" s="38" t="s">
        <v>39</v>
      </c>
      <c r="K58" s="49"/>
    </row>
    <row r="59" spans="2:11" x14ac:dyDescent="0.2">
      <c r="B59" s="38">
        <f t="shared" si="0"/>
        <v>56</v>
      </c>
      <c r="C59" s="39">
        <v>42378</v>
      </c>
      <c r="D59" s="16">
        <v>0.69791666666666663</v>
      </c>
      <c r="E59" s="38">
        <v>15</v>
      </c>
      <c r="F59" s="38">
        <v>16</v>
      </c>
      <c r="G59" s="38">
        <v>17</v>
      </c>
      <c r="H59" s="103">
        <f t="shared" si="2"/>
        <v>16</v>
      </c>
      <c r="I59" s="38">
        <v>33</v>
      </c>
      <c r="J59" s="38"/>
      <c r="K59" s="49"/>
    </row>
    <row r="60" spans="2:11" x14ac:dyDescent="0.2">
      <c r="B60" s="38">
        <f t="shared" si="0"/>
        <v>57</v>
      </c>
      <c r="C60" s="39">
        <v>42379</v>
      </c>
      <c r="D60" s="16">
        <v>0.64930555555555558</v>
      </c>
      <c r="E60" s="38">
        <v>15.3</v>
      </c>
      <c r="F60" s="38">
        <v>17.399999999999999</v>
      </c>
      <c r="G60" s="38">
        <v>17.7</v>
      </c>
      <c r="H60" s="103">
        <f t="shared" si="2"/>
        <v>16.8</v>
      </c>
      <c r="I60" s="38">
        <v>30</v>
      </c>
      <c r="J60" s="38" t="s">
        <v>38</v>
      </c>
      <c r="K60" s="49"/>
    </row>
    <row r="61" spans="2:11" x14ac:dyDescent="0.2">
      <c r="B61" s="38">
        <f t="shared" si="0"/>
        <v>58</v>
      </c>
      <c r="C61" s="39">
        <v>42379</v>
      </c>
      <c r="D61" s="16">
        <v>0.82291666666666663</v>
      </c>
      <c r="E61" s="38">
        <v>14.9</v>
      </c>
      <c r="F61" s="38">
        <v>15.7</v>
      </c>
      <c r="G61" s="38">
        <v>17.100000000000001</v>
      </c>
      <c r="H61" s="103">
        <f t="shared" si="2"/>
        <v>15.9</v>
      </c>
      <c r="I61" s="38">
        <v>29.3</v>
      </c>
      <c r="J61" s="38" t="s">
        <v>39</v>
      </c>
      <c r="K61" s="49"/>
    </row>
    <row r="62" spans="2:11" x14ac:dyDescent="0.2">
      <c r="B62" s="38">
        <f t="shared" si="0"/>
        <v>59</v>
      </c>
      <c r="C62" s="39">
        <v>42379</v>
      </c>
      <c r="D62" s="16">
        <v>0.48958333333333331</v>
      </c>
      <c r="E62" s="38">
        <v>14.8</v>
      </c>
      <c r="F62" s="38">
        <v>15.1</v>
      </c>
      <c r="G62" s="38">
        <v>15.7</v>
      </c>
      <c r="H62" s="103">
        <f t="shared" si="2"/>
        <v>15.199999999999998</v>
      </c>
      <c r="I62" s="38">
        <v>34</v>
      </c>
      <c r="J62" s="38" t="s">
        <v>38</v>
      </c>
      <c r="K62" s="49"/>
    </row>
    <row r="63" spans="2:11" x14ac:dyDescent="0.2">
      <c r="B63" s="38">
        <f t="shared" si="0"/>
        <v>60</v>
      </c>
      <c r="C63" s="39">
        <v>42380</v>
      </c>
      <c r="D63" s="16">
        <v>0.19444444444444445</v>
      </c>
      <c r="E63" s="38">
        <v>15.4</v>
      </c>
      <c r="F63" s="38">
        <v>15.7</v>
      </c>
      <c r="G63" s="38">
        <v>16.8</v>
      </c>
      <c r="H63" s="103">
        <f t="shared" si="2"/>
        <v>15.966666666666669</v>
      </c>
      <c r="I63" s="38">
        <v>28</v>
      </c>
      <c r="J63" s="38" t="s">
        <v>39</v>
      </c>
      <c r="K63" s="49"/>
    </row>
    <row r="64" spans="2:11" x14ac:dyDescent="0.2">
      <c r="B64" s="38">
        <f t="shared" si="0"/>
        <v>61</v>
      </c>
      <c r="C64" s="39">
        <v>42380</v>
      </c>
      <c r="D64" s="16">
        <v>0.60763888888888895</v>
      </c>
      <c r="E64" s="38">
        <v>16</v>
      </c>
      <c r="F64" s="38">
        <v>17.2</v>
      </c>
      <c r="G64" s="38">
        <v>17.3</v>
      </c>
      <c r="H64" s="103">
        <f t="shared" si="2"/>
        <v>16.833333333333332</v>
      </c>
      <c r="I64" s="38">
        <v>51</v>
      </c>
      <c r="J64" s="38"/>
      <c r="K64" s="49"/>
    </row>
    <row r="65" spans="2:11" x14ac:dyDescent="0.2">
      <c r="B65" s="38">
        <f t="shared" si="0"/>
        <v>62</v>
      </c>
      <c r="C65" s="39">
        <v>42380</v>
      </c>
      <c r="D65" s="16">
        <v>0.75347222222222221</v>
      </c>
      <c r="E65" s="38">
        <v>14.5</v>
      </c>
      <c r="F65" s="38">
        <v>15.4</v>
      </c>
      <c r="G65" s="38">
        <v>16.2</v>
      </c>
      <c r="H65" s="103">
        <f t="shared" si="2"/>
        <v>15.366666666666665</v>
      </c>
      <c r="I65" s="38">
        <v>33.200000000000003</v>
      </c>
      <c r="J65" s="38" t="s">
        <v>38</v>
      </c>
      <c r="K65" s="49"/>
    </row>
    <row r="66" spans="2:11" x14ac:dyDescent="0.2">
      <c r="B66" s="38">
        <f t="shared" si="0"/>
        <v>63</v>
      </c>
      <c r="C66" s="39">
        <v>42380</v>
      </c>
      <c r="D66" s="16">
        <v>0.91666666666666663</v>
      </c>
      <c r="E66" s="38">
        <v>13.9</v>
      </c>
      <c r="F66" s="38">
        <v>16.100000000000001</v>
      </c>
      <c r="G66" s="38">
        <v>16.3</v>
      </c>
      <c r="H66" s="103">
        <f t="shared" si="2"/>
        <v>15.433333333333332</v>
      </c>
      <c r="I66" s="38">
        <v>33</v>
      </c>
      <c r="J66" s="38" t="s">
        <v>39</v>
      </c>
      <c r="K66" s="49"/>
    </row>
    <row r="67" spans="2:11" x14ac:dyDescent="0.2">
      <c r="B67" s="38">
        <f t="shared" si="0"/>
        <v>64</v>
      </c>
      <c r="C67" s="39">
        <v>42381</v>
      </c>
      <c r="D67" s="16">
        <v>9.0277777777777776E-2</v>
      </c>
      <c r="E67" s="38">
        <v>16</v>
      </c>
      <c r="F67" s="38">
        <v>18.5</v>
      </c>
      <c r="G67" s="38">
        <v>19.7</v>
      </c>
      <c r="H67" s="103">
        <f t="shared" si="2"/>
        <v>18.066666666666666</v>
      </c>
      <c r="I67" s="38">
        <v>25</v>
      </c>
      <c r="J67" s="38"/>
      <c r="K67" s="49"/>
    </row>
    <row r="68" spans="2:11" x14ac:dyDescent="0.2">
      <c r="B68" s="38">
        <f t="shared" si="0"/>
        <v>65</v>
      </c>
      <c r="C68" s="39">
        <v>42382</v>
      </c>
      <c r="D68" s="16">
        <v>0.46875</v>
      </c>
      <c r="E68" s="38">
        <v>14.5</v>
      </c>
      <c r="F68" s="38">
        <v>15.1</v>
      </c>
      <c r="G68" s="38">
        <v>17</v>
      </c>
      <c r="H68" s="103">
        <f t="shared" si="2"/>
        <v>15.533333333333333</v>
      </c>
      <c r="I68" s="38">
        <v>30</v>
      </c>
      <c r="J68" s="38"/>
      <c r="K68" s="49"/>
    </row>
    <row r="69" spans="2:11" x14ac:dyDescent="0.2">
      <c r="B69" s="38">
        <f t="shared" si="0"/>
        <v>66</v>
      </c>
      <c r="C69" s="39">
        <v>42383</v>
      </c>
      <c r="D69" s="16">
        <v>0.46875</v>
      </c>
      <c r="E69" s="38">
        <v>13</v>
      </c>
      <c r="F69" s="38">
        <v>14</v>
      </c>
      <c r="G69" s="38">
        <v>15</v>
      </c>
      <c r="H69" s="103">
        <f t="shared" si="2"/>
        <v>14</v>
      </c>
      <c r="I69" s="38">
        <v>33</v>
      </c>
      <c r="J69" s="38"/>
      <c r="K69" s="49"/>
    </row>
    <row r="70" spans="2:11" x14ac:dyDescent="0.2">
      <c r="B70" s="38">
        <f t="shared" ref="B70:B133" si="3">B69+1</f>
        <v>67</v>
      </c>
      <c r="C70" s="39">
        <v>42384</v>
      </c>
      <c r="D70" s="16">
        <v>0.59375</v>
      </c>
      <c r="E70" s="38">
        <v>15.8</v>
      </c>
      <c r="F70" s="38">
        <v>16.7</v>
      </c>
      <c r="G70" s="38">
        <v>18.399999999999999</v>
      </c>
      <c r="H70" s="103">
        <f t="shared" si="2"/>
        <v>16.966666666666665</v>
      </c>
      <c r="I70" s="38">
        <v>32</v>
      </c>
      <c r="J70" s="38"/>
      <c r="K70" s="49"/>
    </row>
    <row r="71" spans="2:11" x14ac:dyDescent="0.2">
      <c r="B71" s="38">
        <f t="shared" si="3"/>
        <v>68</v>
      </c>
      <c r="C71" s="39">
        <v>42385</v>
      </c>
      <c r="D71" s="16">
        <v>0.53125</v>
      </c>
      <c r="E71" s="38">
        <v>18.5</v>
      </c>
      <c r="F71" s="38">
        <v>19</v>
      </c>
      <c r="G71" s="38">
        <v>21.4</v>
      </c>
      <c r="H71" s="103">
        <f t="shared" si="2"/>
        <v>19.633333333333333</v>
      </c>
      <c r="I71" s="38">
        <v>36.4</v>
      </c>
      <c r="J71" s="38" t="s">
        <v>38</v>
      </c>
      <c r="K71" s="49"/>
    </row>
    <row r="72" spans="2:11" x14ac:dyDescent="0.2">
      <c r="B72" s="38">
        <f t="shared" si="3"/>
        <v>69</v>
      </c>
      <c r="C72" s="39">
        <v>42385</v>
      </c>
      <c r="D72" s="16">
        <v>0.60763888888888895</v>
      </c>
      <c r="E72" s="38">
        <v>18.8</v>
      </c>
      <c r="F72" s="38">
        <v>19</v>
      </c>
      <c r="G72" s="38">
        <v>21</v>
      </c>
      <c r="H72" s="103">
        <f t="shared" si="2"/>
        <v>19.599999999999998</v>
      </c>
      <c r="I72" s="38">
        <v>34</v>
      </c>
      <c r="J72" s="38" t="s">
        <v>39</v>
      </c>
      <c r="K72" s="49"/>
    </row>
    <row r="73" spans="2:11" x14ac:dyDescent="0.2">
      <c r="B73" s="40">
        <f t="shared" si="3"/>
        <v>70</v>
      </c>
      <c r="C73" s="41">
        <v>42386</v>
      </c>
      <c r="D73" s="16">
        <v>0.50694444444444442</v>
      </c>
      <c r="E73" s="40">
        <v>15.2</v>
      </c>
      <c r="F73" s="40">
        <v>16.2</v>
      </c>
      <c r="G73" s="40">
        <v>17.100000000000001</v>
      </c>
      <c r="H73" s="103">
        <f t="shared" si="2"/>
        <v>16.166666666666668</v>
      </c>
      <c r="I73" s="40">
        <v>35</v>
      </c>
      <c r="J73" s="40" t="s">
        <v>38</v>
      </c>
      <c r="K73" s="49"/>
    </row>
    <row r="74" spans="2:11" x14ac:dyDescent="0.2">
      <c r="B74" s="40">
        <f t="shared" si="3"/>
        <v>71</v>
      </c>
      <c r="C74" s="41">
        <v>42386</v>
      </c>
      <c r="D74" s="16">
        <v>0.64930555555555558</v>
      </c>
      <c r="E74" s="40">
        <v>15.5</v>
      </c>
      <c r="F74" s="40">
        <v>16</v>
      </c>
      <c r="G74" s="40">
        <v>16.5</v>
      </c>
      <c r="H74" s="103">
        <f t="shared" si="2"/>
        <v>16</v>
      </c>
      <c r="I74" s="40">
        <v>38</v>
      </c>
      <c r="J74" s="40" t="s">
        <v>39</v>
      </c>
      <c r="K74" s="49"/>
    </row>
    <row r="75" spans="2:11" x14ac:dyDescent="0.2">
      <c r="B75" s="40">
        <f t="shared" si="3"/>
        <v>72</v>
      </c>
      <c r="C75" s="41">
        <v>42386</v>
      </c>
      <c r="D75" s="16">
        <v>0.76736111111111116</v>
      </c>
      <c r="E75" s="40">
        <v>15.5</v>
      </c>
      <c r="F75" s="40">
        <v>16.5</v>
      </c>
      <c r="G75" s="40">
        <v>17.5</v>
      </c>
      <c r="H75" s="103">
        <f t="shared" si="2"/>
        <v>16.5</v>
      </c>
      <c r="I75" s="40">
        <v>30</v>
      </c>
      <c r="J75" s="40" t="s">
        <v>46</v>
      </c>
      <c r="K75" s="49"/>
    </row>
    <row r="76" spans="2:11" x14ac:dyDescent="0.2">
      <c r="B76" s="40">
        <f t="shared" si="3"/>
        <v>73</v>
      </c>
      <c r="C76" s="41">
        <v>42387</v>
      </c>
      <c r="D76" s="16">
        <v>6.9444444444444441E-3</v>
      </c>
      <c r="E76" s="40">
        <v>14.5</v>
      </c>
      <c r="F76" s="40">
        <v>15.6</v>
      </c>
      <c r="G76" s="40">
        <v>16.3</v>
      </c>
      <c r="H76" s="103">
        <f t="shared" si="2"/>
        <v>15.466666666666669</v>
      </c>
      <c r="I76" s="40">
        <v>45</v>
      </c>
      <c r="J76" s="40" t="s">
        <v>39</v>
      </c>
      <c r="K76" s="49"/>
    </row>
    <row r="77" spans="2:11" x14ac:dyDescent="0.2">
      <c r="B77" s="40">
        <f t="shared" si="3"/>
        <v>74</v>
      </c>
      <c r="C77" s="41">
        <v>42387</v>
      </c>
      <c r="D77" s="16">
        <v>0.15625</v>
      </c>
      <c r="E77" s="40">
        <v>14.8</v>
      </c>
      <c r="F77" s="40">
        <v>14.85</v>
      </c>
      <c r="G77" s="40">
        <v>14.9</v>
      </c>
      <c r="H77" s="103">
        <f t="shared" si="2"/>
        <v>14.85</v>
      </c>
      <c r="I77" s="40">
        <v>35</v>
      </c>
      <c r="J77" s="40" t="s">
        <v>46</v>
      </c>
      <c r="K77" s="49"/>
    </row>
    <row r="78" spans="2:11" x14ac:dyDescent="0.2">
      <c r="B78" s="42">
        <f t="shared" si="3"/>
        <v>75</v>
      </c>
      <c r="C78" s="43">
        <v>42387</v>
      </c>
      <c r="D78" s="16">
        <v>0.46527777777777773</v>
      </c>
      <c r="E78" s="46">
        <v>17</v>
      </c>
      <c r="F78" s="46">
        <v>17.2</v>
      </c>
      <c r="G78" s="46">
        <v>17.7</v>
      </c>
      <c r="H78" s="103">
        <f t="shared" si="2"/>
        <v>17.3</v>
      </c>
      <c r="I78" s="46">
        <v>45</v>
      </c>
      <c r="J78" s="46" t="s">
        <v>39</v>
      </c>
      <c r="K78" s="46"/>
    </row>
    <row r="79" spans="2:11" x14ac:dyDescent="0.2">
      <c r="B79" s="42">
        <f t="shared" si="3"/>
        <v>76</v>
      </c>
      <c r="C79" s="43">
        <v>42387</v>
      </c>
      <c r="D79" s="16">
        <v>0.63541666666666663</v>
      </c>
      <c r="E79" s="46">
        <v>14</v>
      </c>
      <c r="F79" s="46">
        <v>14.9</v>
      </c>
      <c r="G79" s="46">
        <v>15.5</v>
      </c>
      <c r="H79" s="103">
        <f t="shared" si="2"/>
        <v>14.799999999999999</v>
      </c>
      <c r="I79" s="46">
        <v>31</v>
      </c>
      <c r="J79" s="46" t="s">
        <v>38</v>
      </c>
      <c r="K79" s="46"/>
    </row>
    <row r="80" spans="2:11" x14ac:dyDescent="0.2">
      <c r="B80" s="42">
        <f t="shared" si="3"/>
        <v>77</v>
      </c>
      <c r="C80" s="43">
        <v>42387</v>
      </c>
      <c r="D80" s="16">
        <v>0.76388888888888884</v>
      </c>
      <c r="E80" s="46">
        <v>17.2</v>
      </c>
      <c r="F80" s="46">
        <v>17.899999999999999</v>
      </c>
      <c r="G80" s="46">
        <v>18.100000000000001</v>
      </c>
      <c r="H80" s="103">
        <f t="shared" si="2"/>
        <v>17.733333333333331</v>
      </c>
      <c r="I80" s="46">
        <v>30</v>
      </c>
      <c r="J80" s="46" t="s">
        <v>39</v>
      </c>
      <c r="K80" s="46"/>
    </row>
    <row r="81" spans="2:11" x14ac:dyDescent="0.2">
      <c r="B81" s="42">
        <f t="shared" si="3"/>
        <v>78</v>
      </c>
      <c r="C81" s="43">
        <v>42387</v>
      </c>
      <c r="D81" s="16">
        <v>0.95138888888888884</v>
      </c>
      <c r="E81" s="46">
        <v>14.8</v>
      </c>
      <c r="F81" s="46">
        <v>15.8</v>
      </c>
      <c r="G81" s="46">
        <v>16.2</v>
      </c>
      <c r="H81" s="103">
        <f t="shared" si="2"/>
        <v>15.6</v>
      </c>
      <c r="I81" s="46">
        <v>41</v>
      </c>
      <c r="J81" s="46" t="s">
        <v>38</v>
      </c>
      <c r="K81" s="46"/>
    </row>
    <row r="82" spans="2:11" x14ac:dyDescent="0.2">
      <c r="B82" s="42">
        <f t="shared" si="3"/>
        <v>79</v>
      </c>
      <c r="C82" s="43">
        <v>42388</v>
      </c>
      <c r="D82" s="16">
        <v>9.3055555555555558E-2</v>
      </c>
      <c r="E82" s="46">
        <v>14.5</v>
      </c>
      <c r="F82" s="46">
        <v>17.100000000000001</v>
      </c>
      <c r="G82" s="46">
        <v>17.3</v>
      </c>
      <c r="H82" s="103">
        <f t="shared" si="2"/>
        <v>16.3</v>
      </c>
      <c r="I82" s="46">
        <v>32</v>
      </c>
      <c r="J82" s="46" t="s">
        <v>39</v>
      </c>
      <c r="K82" s="46"/>
    </row>
    <row r="83" spans="2:11" x14ac:dyDescent="0.2">
      <c r="B83" s="44">
        <f t="shared" si="3"/>
        <v>80</v>
      </c>
      <c r="C83" s="45">
        <v>42388</v>
      </c>
      <c r="D83" s="16">
        <v>0.46527777777777773</v>
      </c>
      <c r="E83" s="46">
        <v>17.5</v>
      </c>
      <c r="F83" s="46">
        <v>18.399999999999999</v>
      </c>
      <c r="G83" s="46">
        <v>21.3</v>
      </c>
      <c r="H83" s="103">
        <f t="shared" si="2"/>
        <v>19.066666666666666</v>
      </c>
      <c r="I83" s="46">
        <v>26</v>
      </c>
      <c r="J83" s="46" t="s">
        <v>38</v>
      </c>
      <c r="K83" s="46"/>
    </row>
    <row r="84" spans="2:11" x14ac:dyDescent="0.2">
      <c r="B84" s="44">
        <f t="shared" si="3"/>
        <v>81</v>
      </c>
      <c r="C84" s="45">
        <v>42388</v>
      </c>
      <c r="D84" s="16">
        <v>0.61111111111111105</v>
      </c>
      <c r="E84" s="46">
        <v>16.100000000000001</v>
      </c>
      <c r="F84" s="46">
        <v>16.5</v>
      </c>
      <c r="G84" s="46">
        <v>19.2</v>
      </c>
      <c r="H84" s="103">
        <f t="shared" si="2"/>
        <v>17.266666666666666</v>
      </c>
      <c r="I84" s="46">
        <v>29</v>
      </c>
      <c r="J84" s="46" t="s">
        <v>39</v>
      </c>
      <c r="K84" s="46"/>
    </row>
    <row r="85" spans="2:11" x14ac:dyDescent="0.2">
      <c r="B85" s="44">
        <f t="shared" si="3"/>
        <v>82</v>
      </c>
      <c r="C85" s="45">
        <v>42388</v>
      </c>
      <c r="D85" s="16">
        <v>0.76388888888888884</v>
      </c>
      <c r="E85" s="46">
        <v>15.1</v>
      </c>
      <c r="F85" s="46">
        <v>15.5</v>
      </c>
      <c r="G85" s="46">
        <v>16.100000000000001</v>
      </c>
      <c r="H85" s="103">
        <f t="shared" si="2"/>
        <v>15.566666666666668</v>
      </c>
      <c r="I85" s="46">
        <v>21</v>
      </c>
      <c r="J85" s="46" t="s">
        <v>39</v>
      </c>
      <c r="K85" s="46"/>
    </row>
    <row r="86" spans="2:11" x14ac:dyDescent="0.2">
      <c r="B86" s="44">
        <f t="shared" si="3"/>
        <v>83</v>
      </c>
      <c r="C86" s="45">
        <v>42388</v>
      </c>
      <c r="D86" s="16">
        <v>0.94444444444444453</v>
      </c>
      <c r="E86" s="46">
        <v>12.4</v>
      </c>
      <c r="F86" s="46">
        <v>15.3</v>
      </c>
      <c r="G86" s="46">
        <v>15.9</v>
      </c>
      <c r="H86" s="103">
        <f t="shared" si="2"/>
        <v>14.533333333333333</v>
      </c>
      <c r="I86" s="46">
        <v>24</v>
      </c>
      <c r="J86" s="46" t="s">
        <v>38</v>
      </c>
      <c r="K86" s="46"/>
    </row>
    <row r="87" spans="2:11" x14ac:dyDescent="0.2">
      <c r="B87" s="44">
        <f t="shared" si="3"/>
        <v>84</v>
      </c>
      <c r="C87" s="45">
        <v>42389</v>
      </c>
      <c r="D87" s="16">
        <v>0.10069444444444443</v>
      </c>
      <c r="E87" s="46">
        <v>15.9</v>
      </c>
      <c r="F87" s="46">
        <v>16.2</v>
      </c>
      <c r="G87" s="46">
        <v>16.899999999999999</v>
      </c>
      <c r="H87" s="103">
        <f t="shared" ref="H87:H150" si="4">AVERAGE(E87:G87)</f>
        <v>16.333333333333332</v>
      </c>
      <c r="I87" s="46">
        <v>39</v>
      </c>
      <c r="J87" s="46" t="s">
        <v>39</v>
      </c>
      <c r="K87" s="46"/>
    </row>
    <row r="88" spans="2:11" x14ac:dyDescent="0.2">
      <c r="B88" s="47">
        <f t="shared" si="3"/>
        <v>85</v>
      </c>
      <c r="C88" s="48">
        <v>42389</v>
      </c>
      <c r="D88" s="16">
        <v>0.52083333333333337</v>
      </c>
      <c r="E88" s="46">
        <v>15.6</v>
      </c>
      <c r="F88" s="46">
        <v>17.2</v>
      </c>
      <c r="G88" s="46">
        <v>19.2</v>
      </c>
      <c r="H88" s="103">
        <f t="shared" si="4"/>
        <v>17.333333333333332</v>
      </c>
      <c r="I88" s="46">
        <v>28</v>
      </c>
      <c r="J88" s="46" t="s">
        <v>39</v>
      </c>
      <c r="K88" s="46"/>
    </row>
    <row r="89" spans="2:11" x14ac:dyDescent="0.2">
      <c r="B89" s="47">
        <f t="shared" si="3"/>
        <v>86</v>
      </c>
      <c r="C89" s="48">
        <v>42389</v>
      </c>
      <c r="D89" s="16">
        <v>0.61111111111111105</v>
      </c>
      <c r="E89" s="46">
        <v>15.1</v>
      </c>
      <c r="F89" s="46">
        <v>15.5</v>
      </c>
      <c r="G89" s="46">
        <v>16.100000000000001</v>
      </c>
      <c r="H89" s="103">
        <f t="shared" si="4"/>
        <v>15.566666666666668</v>
      </c>
      <c r="I89" s="46">
        <v>21</v>
      </c>
      <c r="J89" s="46" t="s">
        <v>38</v>
      </c>
      <c r="K89" s="46"/>
    </row>
    <row r="90" spans="2:11" x14ac:dyDescent="0.2">
      <c r="B90" s="47">
        <f t="shared" si="3"/>
        <v>87</v>
      </c>
      <c r="C90" s="48">
        <v>42389</v>
      </c>
      <c r="D90" s="16">
        <v>0.76388888888888884</v>
      </c>
      <c r="E90" s="46">
        <v>16.899999999999999</v>
      </c>
      <c r="F90" s="46">
        <v>16.600000000000001</v>
      </c>
      <c r="G90" s="46">
        <v>17.100000000000001</v>
      </c>
      <c r="H90" s="103">
        <f t="shared" si="4"/>
        <v>16.866666666666667</v>
      </c>
      <c r="I90" s="46">
        <v>24</v>
      </c>
      <c r="J90" s="46" t="s">
        <v>39</v>
      </c>
      <c r="K90" s="46"/>
    </row>
    <row r="91" spans="2:11" x14ac:dyDescent="0.2">
      <c r="B91" s="47">
        <f t="shared" si="3"/>
        <v>88</v>
      </c>
      <c r="C91" s="48">
        <v>42389</v>
      </c>
      <c r="D91" s="16">
        <v>0.95138888888888884</v>
      </c>
      <c r="E91" s="46">
        <v>18.5</v>
      </c>
      <c r="F91" s="46">
        <v>19</v>
      </c>
      <c r="G91" s="46">
        <v>20.5</v>
      </c>
      <c r="H91" s="103">
        <f t="shared" si="4"/>
        <v>19.333333333333332</v>
      </c>
      <c r="I91" s="46">
        <v>38</v>
      </c>
      <c r="J91" s="46" t="s">
        <v>38</v>
      </c>
      <c r="K91" s="46"/>
    </row>
    <row r="92" spans="2:11" x14ac:dyDescent="0.2">
      <c r="B92" s="47">
        <f t="shared" si="3"/>
        <v>89</v>
      </c>
      <c r="C92" s="54">
        <v>42390</v>
      </c>
      <c r="D92" s="16">
        <v>9.7222222222222224E-2</v>
      </c>
      <c r="E92" s="46">
        <v>15.9</v>
      </c>
      <c r="F92" s="46">
        <v>16.2</v>
      </c>
      <c r="G92" s="46">
        <v>16.8</v>
      </c>
      <c r="H92" s="103">
        <f t="shared" si="4"/>
        <v>16.3</v>
      </c>
      <c r="I92" s="46">
        <v>45</v>
      </c>
      <c r="J92" s="46" t="s">
        <v>39</v>
      </c>
      <c r="K92" s="46"/>
    </row>
    <row r="93" spans="2:11" x14ac:dyDescent="0.2">
      <c r="B93" s="49">
        <f t="shared" si="3"/>
        <v>90</v>
      </c>
      <c r="C93" s="54">
        <v>42390</v>
      </c>
      <c r="D93" s="16">
        <v>0.51041666666666663</v>
      </c>
      <c r="E93" s="46">
        <v>16.399999999999999</v>
      </c>
      <c r="F93" s="46">
        <v>19</v>
      </c>
      <c r="G93" s="46">
        <v>20</v>
      </c>
      <c r="H93" s="103">
        <f t="shared" si="4"/>
        <v>18.466666666666665</v>
      </c>
      <c r="I93" s="46">
        <v>27</v>
      </c>
      <c r="J93" s="46" t="s">
        <v>38</v>
      </c>
      <c r="K93" s="50" t="s">
        <v>50</v>
      </c>
    </row>
    <row r="94" spans="2:11" x14ac:dyDescent="0.2">
      <c r="B94" s="49">
        <f t="shared" si="3"/>
        <v>91</v>
      </c>
      <c r="C94" s="54">
        <v>42390</v>
      </c>
      <c r="D94" s="16">
        <v>0.61458333333333337</v>
      </c>
      <c r="E94" s="46">
        <v>17.7</v>
      </c>
      <c r="F94" s="46">
        <v>17.899999999999999</v>
      </c>
      <c r="G94" s="46">
        <v>18.600000000000001</v>
      </c>
      <c r="H94" s="103">
        <f t="shared" si="4"/>
        <v>18.066666666666666</v>
      </c>
      <c r="I94" s="46">
        <v>21</v>
      </c>
      <c r="J94" s="46" t="s">
        <v>39</v>
      </c>
      <c r="K94" s="50" t="s">
        <v>51</v>
      </c>
    </row>
    <row r="95" spans="2:11" x14ac:dyDescent="0.2">
      <c r="B95" s="49">
        <f t="shared" si="3"/>
        <v>92</v>
      </c>
      <c r="C95" s="54">
        <v>42390</v>
      </c>
      <c r="D95" s="16">
        <v>0.77083333333333337</v>
      </c>
      <c r="E95" s="46">
        <v>17.2</v>
      </c>
      <c r="F95" s="46">
        <v>17.8</v>
      </c>
      <c r="G95" s="46">
        <v>18.100000000000001</v>
      </c>
      <c r="H95" s="103">
        <f t="shared" si="4"/>
        <v>17.7</v>
      </c>
      <c r="I95" s="46">
        <v>24</v>
      </c>
      <c r="J95" s="46" t="s">
        <v>39</v>
      </c>
      <c r="K95" s="50" t="s">
        <v>52</v>
      </c>
    </row>
    <row r="96" spans="2:11" x14ac:dyDescent="0.2">
      <c r="B96" s="49">
        <f t="shared" si="3"/>
        <v>93</v>
      </c>
      <c r="C96" s="54">
        <v>42390</v>
      </c>
      <c r="D96" s="16">
        <v>0.94444444444444453</v>
      </c>
      <c r="E96" s="46">
        <v>13.4</v>
      </c>
      <c r="F96" s="46">
        <v>14.9</v>
      </c>
      <c r="G96" s="46">
        <v>17.899999999999999</v>
      </c>
      <c r="H96" s="103">
        <f t="shared" si="4"/>
        <v>15.4</v>
      </c>
      <c r="I96" s="46">
        <v>30</v>
      </c>
      <c r="J96" s="46" t="s">
        <v>38</v>
      </c>
      <c r="K96" s="50" t="s">
        <v>52</v>
      </c>
    </row>
    <row r="97" spans="2:11" x14ac:dyDescent="0.2">
      <c r="B97" s="49">
        <f t="shared" si="3"/>
        <v>94</v>
      </c>
      <c r="C97" s="54">
        <v>42391</v>
      </c>
      <c r="D97" s="16">
        <v>9.0277777777777776E-2</v>
      </c>
      <c r="E97" s="46">
        <v>14.4</v>
      </c>
      <c r="F97" s="46">
        <v>15.7</v>
      </c>
      <c r="G97" s="46">
        <v>17.3</v>
      </c>
      <c r="H97" s="103">
        <f t="shared" si="4"/>
        <v>15.800000000000002</v>
      </c>
      <c r="I97" s="46">
        <v>38</v>
      </c>
      <c r="J97" s="46" t="s">
        <v>38</v>
      </c>
      <c r="K97" s="50" t="s">
        <v>53</v>
      </c>
    </row>
    <row r="98" spans="2:11" x14ac:dyDescent="0.2">
      <c r="B98" s="49">
        <f t="shared" si="3"/>
        <v>95</v>
      </c>
      <c r="C98" s="54">
        <v>42391</v>
      </c>
      <c r="D98" s="16">
        <v>0.53125</v>
      </c>
      <c r="E98" s="46">
        <v>15.4</v>
      </c>
      <c r="F98" s="46">
        <v>16.5</v>
      </c>
      <c r="G98" s="46">
        <v>18.100000000000001</v>
      </c>
      <c r="H98" s="103">
        <f t="shared" si="4"/>
        <v>16.666666666666668</v>
      </c>
      <c r="I98" s="46">
        <v>28</v>
      </c>
      <c r="J98" s="46" t="s">
        <v>38</v>
      </c>
      <c r="K98" s="51" t="s">
        <v>54</v>
      </c>
    </row>
    <row r="99" spans="2:11" x14ac:dyDescent="0.2">
      <c r="B99" s="49">
        <f t="shared" si="3"/>
        <v>96</v>
      </c>
      <c r="C99" s="54">
        <v>42391</v>
      </c>
      <c r="D99" s="16">
        <v>0.63541666666666663</v>
      </c>
      <c r="E99" s="46">
        <v>14.3</v>
      </c>
      <c r="F99" s="46">
        <v>15.5</v>
      </c>
      <c r="G99" s="46">
        <v>17.5</v>
      </c>
      <c r="H99" s="103">
        <f t="shared" si="4"/>
        <v>15.766666666666666</v>
      </c>
      <c r="I99" s="46">
        <v>33</v>
      </c>
      <c r="J99" s="46" t="s">
        <v>39</v>
      </c>
      <c r="K99" s="51" t="s">
        <v>55</v>
      </c>
    </row>
    <row r="100" spans="2:11" x14ac:dyDescent="0.2">
      <c r="B100" s="49">
        <f t="shared" si="3"/>
        <v>97</v>
      </c>
      <c r="C100" s="54">
        <v>42392</v>
      </c>
      <c r="D100" s="16">
        <v>8.6805555555555566E-2</v>
      </c>
      <c r="E100" s="46">
        <v>15.6</v>
      </c>
      <c r="F100" s="46">
        <v>15.8</v>
      </c>
      <c r="G100" s="46">
        <v>16.100000000000001</v>
      </c>
      <c r="H100" s="103">
        <f t="shared" si="4"/>
        <v>15.833333333333334</v>
      </c>
      <c r="I100" s="46">
        <v>26</v>
      </c>
      <c r="J100" s="46" t="s">
        <v>39</v>
      </c>
      <c r="K100" s="51" t="s">
        <v>56</v>
      </c>
    </row>
    <row r="101" spans="2:11" x14ac:dyDescent="0.2">
      <c r="B101" s="49">
        <f t="shared" si="3"/>
        <v>98</v>
      </c>
      <c r="C101" s="54">
        <v>42392</v>
      </c>
      <c r="D101" s="16">
        <v>0.5</v>
      </c>
      <c r="E101" s="46">
        <v>15.7</v>
      </c>
      <c r="F101" s="46">
        <v>17.5</v>
      </c>
      <c r="G101" s="46">
        <v>17.600000000000001</v>
      </c>
      <c r="H101" s="103">
        <f t="shared" si="4"/>
        <v>16.933333333333334</v>
      </c>
      <c r="I101" s="46">
        <v>24</v>
      </c>
      <c r="J101" s="46" t="s">
        <v>39</v>
      </c>
      <c r="K101" s="51" t="s">
        <v>54</v>
      </c>
    </row>
    <row r="102" spans="2:11" x14ac:dyDescent="0.2">
      <c r="B102" s="49">
        <f t="shared" si="3"/>
        <v>99</v>
      </c>
      <c r="C102" s="54">
        <v>42392</v>
      </c>
      <c r="D102" s="16">
        <v>0.64583333333333337</v>
      </c>
      <c r="E102" s="46">
        <v>18.2</v>
      </c>
      <c r="F102" s="46">
        <v>18.5</v>
      </c>
      <c r="G102" s="46">
        <v>19</v>
      </c>
      <c r="H102" s="103">
        <f t="shared" si="4"/>
        <v>18.566666666666666</v>
      </c>
      <c r="I102" s="46">
        <v>19</v>
      </c>
      <c r="J102" s="46" t="s">
        <v>39</v>
      </c>
      <c r="K102" s="51" t="s">
        <v>50</v>
      </c>
    </row>
    <row r="103" spans="2:11" x14ac:dyDescent="0.2">
      <c r="B103" s="49">
        <f t="shared" si="3"/>
        <v>100</v>
      </c>
      <c r="C103" s="54">
        <v>42393</v>
      </c>
      <c r="D103" s="16">
        <v>9.375E-2</v>
      </c>
      <c r="E103" s="46">
        <v>15.1</v>
      </c>
      <c r="F103" s="46">
        <v>15.6</v>
      </c>
      <c r="G103" s="46">
        <v>16.2</v>
      </c>
      <c r="H103" s="103">
        <f t="shared" si="4"/>
        <v>15.633333333333333</v>
      </c>
      <c r="I103" s="46">
        <v>26</v>
      </c>
      <c r="J103" s="46" t="s">
        <v>39</v>
      </c>
      <c r="K103" s="51" t="s">
        <v>57</v>
      </c>
    </row>
    <row r="104" spans="2:11" x14ac:dyDescent="0.2">
      <c r="B104" s="49">
        <f t="shared" si="3"/>
        <v>101</v>
      </c>
      <c r="C104" s="54">
        <v>42393</v>
      </c>
      <c r="D104" s="16">
        <v>0.22916666666666666</v>
      </c>
      <c r="E104" s="46">
        <v>14.5</v>
      </c>
      <c r="F104" s="46">
        <v>15</v>
      </c>
      <c r="G104" s="46">
        <v>16.5</v>
      </c>
      <c r="H104" s="103">
        <f t="shared" si="4"/>
        <v>15.333333333333334</v>
      </c>
      <c r="I104" s="46">
        <v>27</v>
      </c>
      <c r="J104" s="46" t="s">
        <v>38</v>
      </c>
      <c r="K104" s="50" t="s">
        <v>58</v>
      </c>
    </row>
    <row r="105" spans="2:11" x14ac:dyDescent="0.2">
      <c r="B105" s="52">
        <f t="shared" si="3"/>
        <v>102</v>
      </c>
      <c r="C105" s="54">
        <v>42393</v>
      </c>
      <c r="D105" s="16">
        <v>0.95138888888888884</v>
      </c>
      <c r="E105" s="46">
        <v>13.5</v>
      </c>
      <c r="F105" s="46">
        <v>13.9</v>
      </c>
      <c r="G105" s="46">
        <v>15.6</v>
      </c>
      <c r="H105" s="103">
        <f t="shared" si="4"/>
        <v>14.333333333333334</v>
      </c>
      <c r="I105" s="46">
        <v>24.3</v>
      </c>
      <c r="J105" s="46" t="s">
        <v>38</v>
      </c>
      <c r="K105" s="51" t="s">
        <v>57</v>
      </c>
    </row>
    <row r="106" spans="2:11" x14ac:dyDescent="0.2">
      <c r="B106" s="52">
        <f t="shared" si="3"/>
        <v>103</v>
      </c>
      <c r="C106" s="54">
        <v>42394</v>
      </c>
      <c r="D106" s="16">
        <v>9.375E-2</v>
      </c>
      <c r="E106" s="46">
        <v>17.3</v>
      </c>
      <c r="F106" s="46">
        <v>18.100000000000001</v>
      </c>
      <c r="G106" s="46">
        <v>18.8</v>
      </c>
      <c r="H106" s="103">
        <f t="shared" si="4"/>
        <v>18.066666666666666</v>
      </c>
      <c r="I106" s="46">
        <v>15.2</v>
      </c>
      <c r="J106" s="46" t="s">
        <v>39</v>
      </c>
      <c r="K106" s="51" t="s">
        <v>57</v>
      </c>
    </row>
    <row r="107" spans="2:11" x14ac:dyDescent="0.2">
      <c r="B107" s="53">
        <f t="shared" si="3"/>
        <v>104</v>
      </c>
      <c r="C107" s="54">
        <v>42394</v>
      </c>
      <c r="D107" s="16">
        <v>0.46180555555555558</v>
      </c>
      <c r="E107" s="46">
        <v>17.600000000000001</v>
      </c>
      <c r="F107" s="46">
        <v>17.8</v>
      </c>
      <c r="G107" s="46">
        <v>19.5</v>
      </c>
      <c r="H107" s="103">
        <f t="shared" si="4"/>
        <v>18.3</v>
      </c>
      <c r="I107" s="46">
        <v>28</v>
      </c>
      <c r="J107" s="46" t="s">
        <v>38</v>
      </c>
      <c r="K107" s="51" t="s">
        <v>59</v>
      </c>
    </row>
    <row r="108" spans="2:11" x14ac:dyDescent="0.2">
      <c r="B108" s="53">
        <f t="shared" si="3"/>
        <v>105</v>
      </c>
      <c r="C108" s="54">
        <v>42394</v>
      </c>
      <c r="D108" s="16">
        <v>0.61458333333333337</v>
      </c>
      <c r="E108" s="46">
        <v>16.7</v>
      </c>
      <c r="F108" s="46">
        <v>17</v>
      </c>
      <c r="G108" s="46">
        <v>18.899999999999999</v>
      </c>
      <c r="H108" s="103">
        <f t="shared" si="4"/>
        <v>17.533333333333335</v>
      </c>
      <c r="I108" s="46">
        <v>27</v>
      </c>
      <c r="J108" s="46" t="s">
        <v>39</v>
      </c>
      <c r="K108" s="51" t="s">
        <v>55</v>
      </c>
    </row>
    <row r="109" spans="2:11" x14ac:dyDescent="0.2">
      <c r="B109" s="53">
        <f t="shared" si="3"/>
        <v>106</v>
      </c>
      <c r="C109" s="54">
        <v>42394</v>
      </c>
      <c r="D109" s="16">
        <v>0.78472222222222221</v>
      </c>
      <c r="E109" s="46">
        <v>13.5</v>
      </c>
      <c r="F109" s="46">
        <v>15.7</v>
      </c>
      <c r="G109" s="46">
        <v>17.100000000000001</v>
      </c>
      <c r="H109" s="103">
        <f t="shared" si="4"/>
        <v>15.433333333333332</v>
      </c>
      <c r="I109" s="46">
        <v>26</v>
      </c>
      <c r="J109" s="46" t="s">
        <v>38</v>
      </c>
      <c r="K109" s="51" t="s">
        <v>50</v>
      </c>
    </row>
    <row r="110" spans="2:11" x14ac:dyDescent="0.2">
      <c r="B110" s="53">
        <f t="shared" si="3"/>
        <v>107</v>
      </c>
      <c r="C110" s="54">
        <v>42395</v>
      </c>
      <c r="D110" s="16">
        <v>0.94791666666666663</v>
      </c>
      <c r="E110" s="46">
        <v>15.8</v>
      </c>
      <c r="F110" s="46">
        <v>16.5</v>
      </c>
      <c r="G110" s="46">
        <v>17.899999999999999</v>
      </c>
      <c r="H110" s="103">
        <f t="shared" si="4"/>
        <v>16.733333333333331</v>
      </c>
      <c r="I110" s="46">
        <v>24</v>
      </c>
      <c r="J110" s="46" t="s">
        <v>38</v>
      </c>
      <c r="K110" s="51" t="s">
        <v>57</v>
      </c>
    </row>
    <row r="111" spans="2:11" x14ac:dyDescent="0.2">
      <c r="B111" s="55">
        <f t="shared" si="3"/>
        <v>108</v>
      </c>
      <c r="C111" s="56">
        <v>42395</v>
      </c>
      <c r="D111" s="16">
        <v>0.45833333333333331</v>
      </c>
      <c r="E111" s="46">
        <v>17.8</v>
      </c>
      <c r="F111" s="46">
        <v>18.899999999999999</v>
      </c>
      <c r="G111" s="46">
        <v>19.3</v>
      </c>
      <c r="H111" s="103">
        <f t="shared" si="4"/>
        <v>18.666666666666668</v>
      </c>
      <c r="I111" s="46">
        <v>22</v>
      </c>
      <c r="J111" s="46" t="s">
        <v>38</v>
      </c>
      <c r="K111" s="51" t="s">
        <v>50</v>
      </c>
    </row>
    <row r="112" spans="2:11" x14ac:dyDescent="0.2">
      <c r="B112" s="55">
        <f t="shared" si="3"/>
        <v>109</v>
      </c>
      <c r="C112" s="56">
        <v>42395</v>
      </c>
      <c r="D112" s="16">
        <v>0.61458333333333337</v>
      </c>
      <c r="E112" s="46">
        <v>18.2</v>
      </c>
      <c r="F112" s="46">
        <v>19.5</v>
      </c>
      <c r="G112" s="46">
        <v>20</v>
      </c>
      <c r="H112" s="103">
        <f t="shared" si="4"/>
        <v>19.233333333333334</v>
      </c>
      <c r="I112" s="46">
        <v>28</v>
      </c>
      <c r="J112" s="46" t="s">
        <v>39</v>
      </c>
      <c r="K112" s="51" t="s">
        <v>50</v>
      </c>
    </row>
    <row r="113" spans="2:11" x14ac:dyDescent="0.2">
      <c r="B113" s="55">
        <f t="shared" si="3"/>
        <v>110</v>
      </c>
      <c r="C113" s="56">
        <v>42395</v>
      </c>
      <c r="D113" s="16">
        <v>0.78472222222222221</v>
      </c>
      <c r="E113" s="46">
        <v>17.600000000000001</v>
      </c>
      <c r="F113" s="46">
        <v>17.8</v>
      </c>
      <c r="G113" s="46">
        <v>19.7</v>
      </c>
      <c r="H113" s="103">
        <f t="shared" si="4"/>
        <v>18.366666666666671</v>
      </c>
      <c r="I113" s="46">
        <v>26</v>
      </c>
      <c r="J113" s="46" t="s">
        <v>38</v>
      </c>
      <c r="K113" s="51" t="s">
        <v>50</v>
      </c>
    </row>
    <row r="114" spans="2:11" x14ac:dyDescent="0.2">
      <c r="B114" s="55">
        <f t="shared" si="3"/>
        <v>111</v>
      </c>
      <c r="C114" s="56">
        <v>42395</v>
      </c>
      <c r="D114" s="16">
        <v>0.94791666666666663</v>
      </c>
      <c r="E114" s="46">
        <v>14.9</v>
      </c>
      <c r="F114" s="46">
        <v>15.4</v>
      </c>
      <c r="G114" s="46">
        <v>16.399999999999999</v>
      </c>
      <c r="H114" s="103">
        <f t="shared" si="4"/>
        <v>15.566666666666668</v>
      </c>
      <c r="I114" s="46">
        <v>30</v>
      </c>
      <c r="J114" s="46" t="s">
        <v>38</v>
      </c>
      <c r="K114" s="51" t="s">
        <v>57</v>
      </c>
    </row>
    <row r="115" spans="2:11" x14ac:dyDescent="0.2">
      <c r="B115" s="55">
        <f t="shared" si="3"/>
        <v>112</v>
      </c>
      <c r="C115" s="56">
        <v>42396</v>
      </c>
      <c r="D115" s="16">
        <v>9.375E-2</v>
      </c>
      <c r="E115" s="46">
        <v>16.899999999999999</v>
      </c>
      <c r="F115" s="46">
        <v>17.600000000000001</v>
      </c>
      <c r="G115" s="46">
        <v>18.100000000000001</v>
      </c>
      <c r="H115" s="103">
        <f t="shared" si="4"/>
        <v>17.533333333333335</v>
      </c>
      <c r="I115" s="46">
        <v>22</v>
      </c>
      <c r="J115" s="46" t="s">
        <v>39</v>
      </c>
      <c r="K115" s="51" t="s">
        <v>60</v>
      </c>
    </row>
    <row r="116" spans="2:11" x14ac:dyDescent="0.2">
      <c r="B116" s="61">
        <f t="shared" si="3"/>
        <v>113</v>
      </c>
      <c r="C116" s="62">
        <v>42396</v>
      </c>
      <c r="D116" s="124">
        <v>0.48958333333333331</v>
      </c>
      <c r="E116" s="59">
        <v>14.8</v>
      </c>
      <c r="F116" s="59">
        <v>17</v>
      </c>
      <c r="G116" s="59">
        <v>17.899999999999999</v>
      </c>
      <c r="H116" s="103">
        <f t="shared" si="4"/>
        <v>16.566666666666666</v>
      </c>
      <c r="I116" s="59">
        <v>35</v>
      </c>
      <c r="J116" s="59" t="s">
        <v>38</v>
      </c>
      <c r="K116" s="60" t="s">
        <v>50</v>
      </c>
    </row>
    <row r="117" spans="2:11" x14ac:dyDescent="0.2">
      <c r="B117" s="57">
        <f t="shared" si="3"/>
        <v>114</v>
      </c>
      <c r="C117" s="58">
        <v>42396</v>
      </c>
      <c r="D117" s="16">
        <v>0.69444444444444453</v>
      </c>
      <c r="E117" s="46">
        <v>18.100000000000001</v>
      </c>
      <c r="F117" s="46">
        <v>19.2</v>
      </c>
      <c r="G117" s="46">
        <v>21</v>
      </c>
      <c r="H117" s="103">
        <f t="shared" si="4"/>
        <v>19.433333333333334</v>
      </c>
      <c r="I117" s="46">
        <v>26</v>
      </c>
      <c r="J117" s="46" t="s">
        <v>38</v>
      </c>
      <c r="K117" s="51" t="s">
        <v>61</v>
      </c>
    </row>
    <row r="118" spans="2:11" x14ac:dyDescent="0.2">
      <c r="B118" s="57">
        <f t="shared" si="3"/>
        <v>115</v>
      </c>
      <c r="C118" s="58">
        <v>42396</v>
      </c>
      <c r="D118" s="16">
        <v>0.84375</v>
      </c>
      <c r="E118" s="46">
        <v>14.5</v>
      </c>
      <c r="F118" s="46">
        <v>14.8</v>
      </c>
      <c r="G118" s="46">
        <v>16</v>
      </c>
      <c r="H118" s="103">
        <f t="shared" si="4"/>
        <v>15.1</v>
      </c>
      <c r="I118" s="46">
        <v>30</v>
      </c>
      <c r="J118" s="46" t="s">
        <v>38</v>
      </c>
      <c r="K118" s="51" t="s">
        <v>50</v>
      </c>
    </row>
    <row r="119" spans="2:11" x14ac:dyDescent="0.2">
      <c r="B119" s="57">
        <f t="shared" si="3"/>
        <v>116</v>
      </c>
      <c r="C119" s="58">
        <v>42397</v>
      </c>
      <c r="D119" s="16">
        <v>0.52083333333333337</v>
      </c>
      <c r="E119" s="46">
        <v>18.2</v>
      </c>
      <c r="F119" s="46">
        <v>19.399999999999999</v>
      </c>
      <c r="G119" s="46">
        <v>21.3</v>
      </c>
      <c r="H119" s="103">
        <f t="shared" si="4"/>
        <v>19.633333333333329</v>
      </c>
      <c r="I119" s="46">
        <v>25</v>
      </c>
      <c r="J119" s="46" t="s">
        <v>38</v>
      </c>
      <c r="K119" s="51" t="s">
        <v>61</v>
      </c>
    </row>
    <row r="120" spans="2:11" x14ac:dyDescent="0.2">
      <c r="B120" s="57">
        <f t="shared" si="3"/>
        <v>117</v>
      </c>
      <c r="C120" s="58">
        <v>42397</v>
      </c>
      <c r="D120" s="16">
        <v>0.68055555555555547</v>
      </c>
      <c r="E120" s="46">
        <v>14.2</v>
      </c>
      <c r="F120" s="46">
        <v>14.8</v>
      </c>
      <c r="G120" s="46">
        <v>15.5</v>
      </c>
      <c r="H120" s="103">
        <f t="shared" si="4"/>
        <v>14.833333333333334</v>
      </c>
      <c r="I120" s="46">
        <v>28</v>
      </c>
      <c r="J120" s="46" t="s">
        <v>38</v>
      </c>
      <c r="K120" s="51" t="s">
        <v>50</v>
      </c>
    </row>
    <row r="121" spans="2:11" x14ac:dyDescent="0.2">
      <c r="B121" s="57">
        <f t="shared" si="3"/>
        <v>118</v>
      </c>
      <c r="C121" s="58">
        <v>42397</v>
      </c>
      <c r="D121" s="16">
        <v>0.98611111111111116</v>
      </c>
      <c r="E121" s="46">
        <v>17.100000000000001</v>
      </c>
      <c r="F121" s="46">
        <v>17.5</v>
      </c>
      <c r="G121" s="46">
        <v>19.600000000000001</v>
      </c>
      <c r="H121" s="103">
        <f t="shared" si="4"/>
        <v>18.066666666666666</v>
      </c>
      <c r="I121" s="46">
        <v>28</v>
      </c>
      <c r="J121" s="46" t="s">
        <v>38</v>
      </c>
      <c r="K121" s="51" t="s">
        <v>62</v>
      </c>
    </row>
    <row r="122" spans="2:11" x14ac:dyDescent="0.2">
      <c r="B122" s="57">
        <f t="shared" si="3"/>
        <v>119</v>
      </c>
      <c r="C122" s="58">
        <v>42398</v>
      </c>
      <c r="D122" s="16">
        <v>0.13541666666666666</v>
      </c>
      <c r="E122" s="46">
        <v>15.4</v>
      </c>
      <c r="F122" s="46">
        <v>16.399999999999999</v>
      </c>
      <c r="G122" s="46">
        <v>17.600000000000001</v>
      </c>
      <c r="H122" s="103">
        <f t="shared" si="4"/>
        <v>16.466666666666665</v>
      </c>
      <c r="I122" s="46">
        <v>31</v>
      </c>
      <c r="J122" s="46" t="s">
        <v>38</v>
      </c>
      <c r="K122" s="51" t="s">
        <v>57</v>
      </c>
    </row>
    <row r="123" spans="2:11" x14ac:dyDescent="0.2">
      <c r="B123" s="57">
        <f t="shared" si="3"/>
        <v>120</v>
      </c>
      <c r="C123" s="58">
        <v>42398</v>
      </c>
      <c r="D123" s="16">
        <v>0.59375</v>
      </c>
      <c r="E123" s="46">
        <v>16</v>
      </c>
      <c r="F123" s="46">
        <v>18.100000000000001</v>
      </c>
      <c r="G123" s="46">
        <v>18.100000000000001</v>
      </c>
      <c r="H123" s="103">
        <f t="shared" si="4"/>
        <v>17.400000000000002</v>
      </c>
      <c r="I123" s="46">
        <v>26</v>
      </c>
      <c r="J123" s="46" t="s">
        <v>38</v>
      </c>
      <c r="K123" s="51" t="s">
        <v>50</v>
      </c>
    </row>
    <row r="124" spans="2:11" x14ac:dyDescent="0.2">
      <c r="B124" s="57">
        <f t="shared" si="3"/>
        <v>121</v>
      </c>
      <c r="C124" s="58">
        <v>42398</v>
      </c>
      <c r="D124" s="16">
        <v>0.67361111111111116</v>
      </c>
      <c r="E124" s="46">
        <v>16.7</v>
      </c>
      <c r="F124" s="46">
        <v>17.100000000000001</v>
      </c>
      <c r="G124" s="46">
        <v>17.899999999999999</v>
      </c>
      <c r="H124" s="103">
        <f t="shared" si="4"/>
        <v>17.233333333333331</v>
      </c>
      <c r="I124" s="46">
        <v>32</v>
      </c>
      <c r="J124" s="46" t="s">
        <v>39</v>
      </c>
      <c r="K124" s="51" t="s">
        <v>61</v>
      </c>
    </row>
    <row r="125" spans="2:11" x14ac:dyDescent="0.2">
      <c r="B125" s="57">
        <f t="shared" si="3"/>
        <v>122</v>
      </c>
      <c r="C125" s="58">
        <v>42398</v>
      </c>
      <c r="D125" s="16">
        <v>0.84375</v>
      </c>
      <c r="E125" s="46">
        <v>15.5</v>
      </c>
      <c r="F125" s="46">
        <v>15.8</v>
      </c>
      <c r="G125" s="46">
        <v>16.2</v>
      </c>
      <c r="H125" s="103">
        <f t="shared" si="4"/>
        <v>15.833333333333334</v>
      </c>
      <c r="I125" s="46">
        <v>26</v>
      </c>
      <c r="J125" s="46" t="s">
        <v>46</v>
      </c>
      <c r="K125" s="51" t="s">
        <v>61</v>
      </c>
    </row>
    <row r="126" spans="2:11" x14ac:dyDescent="0.2">
      <c r="B126" s="57">
        <f t="shared" si="3"/>
        <v>123</v>
      </c>
      <c r="C126" s="58">
        <v>42398</v>
      </c>
      <c r="D126" s="16">
        <v>0.97222222222222221</v>
      </c>
      <c r="E126" s="46">
        <v>17.100000000000001</v>
      </c>
      <c r="F126" s="46">
        <v>18.3</v>
      </c>
      <c r="G126" s="46">
        <v>18.899999999999999</v>
      </c>
      <c r="H126" s="103">
        <f t="shared" si="4"/>
        <v>18.100000000000001</v>
      </c>
      <c r="I126" s="46">
        <v>26</v>
      </c>
      <c r="J126" s="46" t="s">
        <v>38</v>
      </c>
      <c r="K126" s="51" t="s">
        <v>57</v>
      </c>
    </row>
    <row r="127" spans="2:11" x14ac:dyDescent="0.2">
      <c r="B127" s="57">
        <f t="shared" si="3"/>
        <v>124</v>
      </c>
      <c r="C127" s="58">
        <v>42399</v>
      </c>
      <c r="D127" s="16">
        <v>0.11805555555555557</v>
      </c>
      <c r="E127" s="46">
        <v>16.5</v>
      </c>
      <c r="F127" s="46">
        <v>17.399999999999999</v>
      </c>
      <c r="G127" s="46">
        <v>17.8</v>
      </c>
      <c r="H127" s="103">
        <f t="shared" si="4"/>
        <v>17.233333333333334</v>
      </c>
      <c r="I127" s="46">
        <v>24</v>
      </c>
      <c r="J127" s="46" t="s">
        <v>39</v>
      </c>
      <c r="K127" s="51" t="s">
        <v>57</v>
      </c>
    </row>
    <row r="128" spans="2:11" x14ac:dyDescent="0.2">
      <c r="B128" s="63">
        <f t="shared" si="3"/>
        <v>125</v>
      </c>
      <c r="C128" s="64">
        <v>42399</v>
      </c>
      <c r="D128" s="16">
        <v>0.59375</v>
      </c>
      <c r="E128" s="46">
        <v>19</v>
      </c>
      <c r="F128" s="46">
        <v>23</v>
      </c>
      <c r="G128" s="46">
        <v>24</v>
      </c>
      <c r="H128" s="103">
        <f t="shared" si="4"/>
        <v>22</v>
      </c>
      <c r="I128" s="46">
        <v>23</v>
      </c>
      <c r="J128" s="46" t="s">
        <v>38</v>
      </c>
      <c r="K128" s="51" t="s">
        <v>50</v>
      </c>
    </row>
    <row r="129" spans="2:11" x14ac:dyDescent="0.2">
      <c r="B129" s="63">
        <f t="shared" si="3"/>
        <v>126</v>
      </c>
      <c r="C129" s="64">
        <v>42399</v>
      </c>
      <c r="D129" s="16">
        <v>0.67361111111111116</v>
      </c>
      <c r="E129" s="46">
        <v>14.3</v>
      </c>
      <c r="F129" s="46">
        <v>15.9</v>
      </c>
      <c r="G129" s="46">
        <v>17.2</v>
      </c>
      <c r="H129" s="103">
        <f t="shared" si="4"/>
        <v>15.800000000000002</v>
      </c>
      <c r="I129" s="46">
        <v>28</v>
      </c>
      <c r="J129" s="46" t="s">
        <v>39</v>
      </c>
      <c r="K129" s="51" t="s">
        <v>61</v>
      </c>
    </row>
    <row r="130" spans="2:11" x14ac:dyDescent="0.2">
      <c r="B130" s="63">
        <f t="shared" si="3"/>
        <v>127</v>
      </c>
      <c r="C130" s="64">
        <v>42399</v>
      </c>
      <c r="D130" s="16">
        <v>0.84375</v>
      </c>
      <c r="E130" s="46">
        <v>14.8</v>
      </c>
      <c r="F130" s="46">
        <v>15.1</v>
      </c>
      <c r="G130" s="46">
        <v>16</v>
      </c>
      <c r="H130" s="103">
        <f t="shared" si="4"/>
        <v>15.299999999999999</v>
      </c>
      <c r="I130" s="46">
        <v>26</v>
      </c>
      <c r="J130" s="46" t="s">
        <v>39</v>
      </c>
      <c r="K130" s="51" t="s">
        <v>50</v>
      </c>
    </row>
    <row r="131" spans="2:11" x14ac:dyDescent="0.2">
      <c r="B131" s="63">
        <f t="shared" si="3"/>
        <v>128</v>
      </c>
      <c r="C131" s="64">
        <v>42400</v>
      </c>
      <c r="D131" s="16">
        <v>6.9444444444444434E-2</v>
      </c>
      <c r="E131" s="46">
        <v>12.5</v>
      </c>
      <c r="F131" s="46">
        <v>14.3</v>
      </c>
      <c r="G131" s="46">
        <v>15.1</v>
      </c>
      <c r="H131" s="103">
        <f t="shared" si="4"/>
        <v>13.966666666666667</v>
      </c>
      <c r="I131" s="46">
        <v>28</v>
      </c>
      <c r="J131" s="46" t="s">
        <v>38</v>
      </c>
      <c r="K131" s="51" t="s">
        <v>57</v>
      </c>
    </row>
    <row r="132" spans="2:11" x14ac:dyDescent="0.2">
      <c r="B132" s="63">
        <f t="shared" si="3"/>
        <v>129</v>
      </c>
      <c r="C132" s="64">
        <v>42400</v>
      </c>
      <c r="D132" s="16">
        <v>0.23958333333333334</v>
      </c>
      <c r="E132" s="46">
        <v>16</v>
      </c>
      <c r="F132" s="46">
        <v>18.2</v>
      </c>
      <c r="G132" s="46">
        <v>20</v>
      </c>
      <c r="H132" s="103">
        <f t="shared" si="4"/>
        <v>18.066666666666666</v>
      </c>
      <c r="I132" s="46">
        <v>32</v>
      </c>
      <c r="J132" s="46" t="s">
        <v>38</v>
      </c>
      <c r="K132" s="51" t="s">
        <v>57</v>
      </c>
    </row>
    <row r="133" spans="2:11" x14ac:dyDescent="0.2">
      <c r="B133" s="65">
        <f t="shared" si="3"/>
        <v>130</v>
      </c>
      <c r="C133" s="66">
        <v>42401</v>
      </c>
      <c r="D133" s="16">
        <v>0.52083333333333337</v>
      </c>
      <c r="E133" s="46">
        <v>15.2</v>
      </c>
      <c r="F133" s="46">
        <v>18.5</v>
      </c>
      <c r="G133" s="46">
        <v>20.3</v>
      </c>
      <c r="H133" s="103">
        <f t="shared" si="4"/>
        <v>18</v>
      </c>
      <c r="I133" s="46">
        <v>22</v>
      </c>
      <c r="J133" s="46" t="s">
        <v>38</v>
      </c>
      <c r="K133" s="51" t="s">
        <v>61</v>
      </c>
    </row>
    <row r="134" spans="2:11" x14ac:dyDescent="0.2">
      <c r="B134" s="65">
        <f t="shared" ref="B134:B198" si="5">B133+1</f>
        <v>131</v>
      </c>
      <c r="C134" s="66">
        <v>42401</v>
      </c>
      <c r="D134" s="16">
        <v>0.6166666666666667</v>
      </c>
      <c r="E134" s="46">
        <v>17.7</v>
      </c>
      <c r="F134" s="46">
        <v>18.399999999999999</v>
      </c>
      <c r="G134" s="46">
        <v>19.399999999999999</v>
      </c>
      <c r="H134" s="103">
        <f t="shared" si="4"/>
        <v>18.499999999999996</v>
      </c>
      <c r="I134" s="46">
        <v>25</v>
      </c>
      <c r="J134" s="46" t="s">
        <v>39</v>
      </c>
      <c r="K134" s="51" t="s">
        <v>50</v>
      </c>
    </row>
    <row r="135" spans="2:11" x14ac:dyDescent="0.2">
      <c r="B135" s="65">
        <f t="shared" si="5"/>
        <v>132</v>
      </c>
      <c r="C135" s="66">
        <v>42401</v>
      </c>
      <c r="D135" s="16">
        <v>0.84375</v>
      </c>
      <c r="E135" s="46">
        <v>12.9</v>
      </c>
      <c r="F135" s="46">
        <v>14.9</v>
      </c>
      <c r="G135" s="46">
        <v>16.3</v>
      </c>
      <c r="H135" s="103">
        <f t="shared" si="4"/>
        <v>14.700000000000001</v>
      </c>
      <c r="I135" s="46">
        <v>28</v>
      </c>
      <c r="J135" s="46" t="s">
        <v>39</v>
      </c>
      <c r="K135" s="51" t="s">
        <v>63</v>
      </c>
    </row>
    <row r="136" spans="2:11" x14ac:dyDescent="0.2">
      <c r="B136" s="65">
        <f t="shared" si="5"/>
        <v>133</v>
      </c>
      <c r="C136" s="66">
        <v>42401</v>
      </c>
      <c r="D136" s="16">
        <v>0.97222222222222221</v>
      </c>
      <c r="E136" s="46">
        <v>15.2</v>
      </c>
      <c r="F136" s="46">
        <v>16.100000000000001</v>
      </c>
      <c r="G136" s="46">
        <v>20.6</v>
      </c>
      <c r="H136" s="103">
        <f t="shared" si="4"/>
        <v>17.3</v>
      </c>
      <c r="I136" s="46">
        <v>35</v>
      </c>
      <c r="J136" s="46" t="s">
        <v>38</v>
      </c>
      <c r="K136" s="51" t="s">
        <v>57</v>
      </c>
    </row>
    <row r="137" spans="2:11" x14ac:dyDescent="0.2">
      <c r="B137" s="65">
        <f t="shared" si="5"/>
        <v>134</v>
      </c>
      <c r="C137" s="66">
        <v>42402</v>
      </c>
      <c r="D137" s="16">
        <v>9.7222222222222224E-2</v>
      </c>
      <c r="E137" s="46">
        <v>16.7</v>
      </c>
      <c r="F137" s="46">
        <v>17.3</v>
      </c>
      <c r="G137" s="46">
        <v>19.399999999999999</v>
      </c>
      <c r="H137" s="103">
        <f t="shared" si="4"/>
        <v>17.8</v>
      </c>
      <c r="I137" s="46">
        <v>33</v>
      </c>
      <c r="J137" s="46" t="s">
        <v>39</v>
      </c>
      <c r="K137" s="51" t="s">
        <v>57</v>
      </c>
    </row>
    <row r="138" spans="2:11" x14ac:dyDescent="0.2">
      <c r="B138" s="67">
        <f t="shared" si="5"/>
        <v>135</v>
      </c>
      <c r="C138" s="68">
        <v>42402</v>
      </c>
      <c r="D138" s="16">
        <v>0.45833333333333331</v>
      </c>
      <c r="E138" s="46">
        <v>12.6</v>
      </c>
      <c r="F138" s="46">
        <v>13.9</v>
      </c>
      <c r="G138" s="46">
        <v>18.399999999999999</v>
      </c>
      <c r="H138" s="103">
        <f t="shared" si="4"/>
        <v>14.966666666666667</v>
      </c>
      <c r="I138" s="46">
        <v>34</v>
      </c>
      <c r="J138" s="46" t="s">
        <v>39</v>
      </c>
      <c r="K138" s="51" t="s">
        <v>61</v>
      </c>
    </row>
    <row r="139" spans="2:11" x14ac:dyDescent="0.2">
      <c r="B139" s="67">
        <f t="shared" si="5"/>
        <v>136</v>
      </c>
      <c r="C139" s="68">
        <v>42402</v>
      </c>
      <c r="D139" s="16">
        <v>0.61111111111111105</v>
      </c>
      <c r="E139" s="46">
        <v>12.3</v>
      </c>
      <c r="F139" s="46">
        <v>14.1</v>
      </c>
      <c r="G139" s="46">
        <v>14.8</v>
      </c>
      <c r="H139" s="103">
        <f t="shared" si="4"/>
        <v>13.733333333333334</v>
      </c>
      <c r="I139" s="46">
        <v>29</v>
      </c>
      <c r="J139" s="46" t="s">
        <v>38</v>
      </c>
      <c r="K139" s="51" t="s">
        <v>50</v>
      </c>
    </row>
    <row r="140" spans="2:11" x14ac:dyDescent="0.2">
      <c r="B140" s="67">
        <f t="shared" si="5"/>
        <v>137</v>
      </c>
      <c r="C140" s="68">
        <v>42402</v>
      </c>
      <c r="D140" s="16">
        <v>0.76041666666666663</v>
      </c>
      <c r="E140" s="46">
        <v>14.7</v>
      </c>
      <c r="F140" s="46">
        <v>15.3</v>
      </c>
      <c r="G140" s="46">
        <v>15.4</v>
      </c>
      <c r="H140" s="103">
        <f t="shared" si="4"/>
        <v>15.133333333333333</v>
      </c>
      <c r="I140" s="46">
        <v>28</v>
      </c>
      <c r="J140" s="46" t="s">
        <v>39</v>
      </c>
      <c r="K140" s="51" t="s">
        <v>64</v>
      </c>
    </row>
    <row r="141" spans="2:11" x14ac:dyDescent="0.2">
      <c r="B141" s="67">
        <f t="shared" si="5"/>
        <v>138</v>
      </c>
      <c r="C141" s="68">
        <v>42402</v>
      </c>
      <c r="D141" s="16">
        <v>0.97222222222222221</v>
      </c>
      <c r="E141" s="46">
        <v>10.5</v>
      </c>
      <c r="F141" s="46">
        <v>11.2</v>
      </c>
      <c r="G141" s="46">
        <v>14.8</v>
      </c>
      <c r="H141" s="103">
        <f t="shared" si="4"/>
        <v>12.166666666666666</v>
      </c>
      <c r="I141" s="46">
        <v>24</v>
      </c>
      <c r="J141" s="46" t="s">
        <v>38</v>
      </c>
      <c r="K141" s="51" t="s">
        <v>57</v>
      </c>
    </row>
    <row r="142" spans="2:11" x14ac:dyDescent="0.2">
      <c r="B142" s="67">
        <f t="shared" si="5"/>
        <v>139</v>
      </c>
      <c r="C142" s="68">
        <v>42403</v>
      </c>
      <c r="D142" s="16">
        <v>9.375E-2</v>
      </c>
      <c r="E142" s="46">
        <v>14</v>
      </c>
      <c r="F142" s="46">
        <v>15.1</v>
      </c>
      <c r="G142" s="46">
        <v>15.8</v>
      </c>
      <c r="H142" s="103">
        <f t="shared" si="4"/>
        <v>14.966666666666669</v>
      </c>
      <c r="I142" s="46">
        <v>34</v>
      </c>
      <c r="J142" s="46" t="s">
        <v>39</v>
      </c>
      <c r="K142" s="51" t="s">
        <v>57</v>
      </c>
    </row>
    <row r="143" spans="2:11" x14ac:dyDescent="0.2">
      <c r="B143" s="69">
        <f t="shared" si="5"/>
        <v>140</v>
      </c>
      <c r="C143" s="70">
        <v>42403</v>
      </c>
      <c r="D143" s="16">
        <v>0.44791666666666669</v>
      </c>
      <c r="E143" s="46">
        <v>12</v>
      </c>
      <c r="F143" s="46">
        <v>13.9</v>
      </c>
      <c r="G143" s="46">
        <v>14.7</v>
      </c>
      <c r="H143" s="103">
        <f t="shared" si="4"/>
        <v>13.533333333333331</v>
      </c>
      <c r="I143" s="46">
        <v>30</v>
      </c>
      <c r="J143" s="46" t="s">
        <v>38</v>
      </c>
      <c r="K143" s="51" t="s">
        <v>50</v>
      </c>
    </row>
    <row r="144" spans="2:11" x14ac:dyDescent="0.2">
      <c r="B144" s="69">
        <f t="shared" si="5"/>
        <v>141</v>
      </c>
      <c r="C144" s="70">
        <v>42403</v>
      </c>
      <c r="D144" s="16">
        <v>0.61458333333333337</v>
      </c>
      <c r="E144" s="46">
        <v>14.3</v>
      </c>
      <c r="F144" s="46">
        <v>15.7</v>
      </c>
      <c r="G144" s="46">
        <v>17.3</v>
      </c>
      <c r="H144" s="103">
        <f t="shared" si="4"/>
        <v>15.766666666666666</v>
      </c>
      <c r="I144" s="46">
        <v>25</v>
      </c>
      <c r="J144" s="46" t="s">
        <v>46</v>
      </c>
      <c r="K144" s="51" t="s">
        <v>65</v>
      </c>
    </row>
    <row r="145" spans="2:11" x14ac:dyDescent="0.2">
      <c r="B145" s="69">
        <f t="shared" si="5"/>
        <v>142</v>
      </c>
      <c r="C145" s="70">
        <v>42403</v>
      </c>
      <c r="D145" s="16">
        <v>0.87916666666666676</v>
      </c>
      <c r="E145" s="46">
        <v>12.4</v>
      </c>
      <c r="F145" s="46">
        <v>13.8</v>
      </c>
      <c r="G145" s="46">
        <v>14.3</v>
      </c>
      <c r="H145" s="103">
        <f t="shared" si="4"/>
        <v>13.5</v>
      </c>
      <c r="I145" s="46">
        <v>26</v>
      </c>
      <c r="J145" s="46" t="s">
        <v>38</v>
      </c>
      <c r="K145" s="51" t="s">
        <v>66</v>
      </c>
    </row>
    <row r="146" spans="2:11" x14ac:dyDescent="0.2">
      <c r="B146" s="69">
        <f t="shared" si="5"/>
        <v>143</v>
      </c>
      <c r="C146" s="70">
        <v>42404</v>
      </c>
      <c r="D146" s="16">
        <v>5.9027777777777783E-2</v>
      </c>
      <c r="E146" s="46">
        <v>13.1</v>
      </c>
      <c r="F146" s="46">
        <v>14.7</v>
      </c>
      <c r="G146" s="46">
        <v>16.2</v>
      </c>
      <c r="H146" s="103">
        <f t="shared" si="4"/>
        <v>14.666666666666666</v>
      </c>
      <c r="I146" s="46">
        <v>34</v>
      </c>
      <c r="J146" s="46" t="s">
        <v>38</v>
      </c>
      <c r="K146" s="51" t="s">
        <v>57</v>
      </c>
    </row>
    <row r="147" spans="2:11" x14ac:dyDescent="0.2">
      <c r="B147" s="71">
        <f t="shared" si="5"/>
        <v>144</v>
      </c>
      <c r="C147" s="72">
        <v>42404</v>
      </c>
      <c r="D147" s="16">
        <v>0.61458333333333337</v>
      </c>
      <c r="E147" s="46">
        <v>13.9</v>
      </c>
      <c r="F147" s="46">
        <v>14.3</v>
      </c>
      <c r="G147" s="46">
        <v>17.8</v>
      </c>
      <c r="H147" s="103">
        <f t="shared" si="4"/>
        <v>15.333333333333334</v>
      </c>
      <c r="I147" s="46">
        <v>24</v>
      </c>
      <c r="J147" s="46" t="s">
        <v>38</v>
      </c>
      <c r="K147" s="51" t="s">
        <v>50</v>
      </c>
    </row>
    <row r="148" spans="2:11" x14ac:dyDescent="0.2">
      <c r="B148" s="71">
        <f t="shared" si="5"/>
        <v>145</v>
      </c>
      <c r="C148" s="72">
        <v>42404</v>
      </c>
      <c r="D148" s="16">
        <v>6.25E-2</v>
      </c>
      <c r="E148" s="46">
        <v>13.1</v>
      </c>
      <c r="F148" s="46">
        <v>14.2</v>
      </c>
      <c r="G148" s="46">
        <v>16.2</v>
      </c>
      <c r="H148" s="103">
        <f t="shared" si="4"/>
        <v>14.5</v>
      </c>
      <c r="I148" s="46">
        <v>34</v>
      </c>
      <c r="J148" s="46" t="s">
        <v>38</v>
      </c>
      <c r="K148" s="51" t="s">
        <v>61</v>
      </c>
    </row>
    <row r="149" spans="2:11" x14ac:dyDescent="0.2">
      <c r="B149" s="71">
        <f t="shared" si="5"/>
        <v>146</v>
      </c>
      <c r="C149" s="72">
        <v>42405</v>
      </c>
      <c r="D149" s="16">
        <v>0.125</v>
      </c>
      <c r="E149" s="46">
        <v>13.9</v>
      </c>
      <c r="F149" s="46">
        <v>14.3</v>
      </c>
      <c r="G149" s="46">
        <v>17.8</v>
      </c>
      <c r="H149" s="103">
        <f t="shared" si="4"/>
        <v>15.333333333333334</v>
      </c>
      <c r="I149" s="46">
        <v>23</v>
      </c>
      <c r="J149" s="46" t="s">
        <v>39</v>
      </c>
      <c r="K149" s="51" t="s">
        <v>61</v>
      </c>
    </row>
    <row r="150" spans="2:11" x14ac:dyDescent="0.2">
      <c r="B150" s="73">
        <f t="shared" si="5"/>
        <v>147</v>
      </c>
      <c r="C150" s="74">
        <v>42405</v>
      </c>
      <c r="D150" s="16">
        <v>0.63541666666666663</v>
      </c>
      <c r="E150" s="46">
        <v>14.2</v>
      </c>
      <c r="F150" s="46">
        <v>16.399999999999999</v>
      </c>
      <c r="G150" s="46">
        <v>18</v>
      </c>
      <c r="H150" s="103">
        <f t="shared" si="4"/>
        <v>16.2</v>
      </c>
      <c r="I150" s="46">
        <v>34</v>
      </c>
      <c r="J150" s="46" t="s">
        <v>38</v>
      </c>
      <c r="K150" s="51" t="s">
        <v>50</v>
      </c>
    </row>
    <row r="151" spans="2:11" x14ac:dyDescent="0.2">
      <c r="B151" s="73">
        <f t="shared" si="5"/>
        <v>148</v>
      </c>
      <c r="C151" s="74">
        <v>42406</v>
      </c>
      <c r="D151" s="16">
        <v>0.4861111111111111</v>
      </c>
      <c r="E151" s="46">
        <v>13.7</v>
      </c>
      <c r="F151" s="46">
        <v>14</v>
      </c>
      <c r="G151" s="46">
        <v>15.8</v>
      </c>
      <c r="H151" s="103">
        <f t="shared" ref="H151:H214" si="6">AVERAGE(E151:G151)</f>
        <v>14.5</v>
      </c>
      <c r="I151" s="46">
        <v>38</v>
      </c>
      <c r="J151" s="46" t="s">
        <v>38</v>
      </c>
      <c r="K151" s="51" t="s">
        <v>57</v>
      </c>
    </row>
    <row r="152" spans="2:11" x14ac:dyDescent="0.2">
      <c r="B152" s="73">
        <f t="shared" si="5"/>
        <v>149</v>
      </c>
      <c r="C152" s="74">
        <v>42406</v>
      </c>
      <c r="D152" s="127">
        <v>0.79861111111111116</v>
      </c>
      <c r="E152" s="46">
        <v>9.5</v>
      </c>
      <c r="F152" s="46">
        <v>10.5</v>
      </c>
      <c r="G152" s="46">
        <v>11.5</v>
      </c>
      <c r="H152" s="103">
        <f t="shared" si="6"/>
        <v>10.5</v>
      </c>
      <c r="I152" s="46">
        <v>24</v>
      </c>
      <c r="J152" s="46" t="s">
        <v>39</v>
      </c>
      <c r="K152" s="51" t="s">
        <v>57</v>
      </c>
    </row>
    <row r="153" spans="2:11" x14ac:dyDescent="0.2">
      <c r="B153" s="73">
        <f t="shared" si="5"/>
        <v>150</v>
      </c>
      <c r="C153" s="74">
        <v>42406</v>
      </c>
      <c r="D153" s="127">
        <v>0.96180555555555547</v>
      </c>
      <c r="E153" s="46">
        <v>12.3</v>
      </c>
      <c r="F153" s="46">
        <v>12.4</v>
      </c>
      <c r="G153" s="46">
        <v>14.8</v>
      </c>
      <c r="H153" s="103">
        <f t="shared" si="6"/>
        <v>13.166666666666666</v>
      </c>
      <c r="I153" s="46">
        <v>28</v>
      </c>
      <c r="J153" s="46" t="s">
        <v>38</v>
      </c>
      <c r="K153" s="51" t="s">
        <v>63</v>
      </c>
    </row>
    <row r="154" spans="2:11" x14ac:dyDescent="0.2">
      <c r="B154" s="73">
        <f t="shared" si="5"/>
        <v>151</v>
      </c>
      <c r="C154" s="74">
        <v>42407</v>
      </c>
      <c r="D154" s="127">
        <v>8.6805555555555566E-2</v>
      </c>
      <c r="E154" s="46">
        <v>12.8</v>
      </c>
      <c r="F154" s="46">
        <v>13.2</v>
      </c>
      <c r="G154" s="46">
        <v>15.3</v>
      </c>
      <c r="H154" s="103">
        <f t="shared" si="6"/>
        <v>13.766666666666666</v>
      </c>
      <c r="I154" s="46">
        <v>23</v>
      </c>
      <c r="J154" s="46" t="s">
        <v>39</v>
      </c>
      <c r="K154" s="51" t="s">
        <v>66</v>
      </c>
    </row>
    <row r="155" spans="2:11" x14ac:dyDescent="0.2">
      <c r="B155" s="75">
        <f t="shared" si="5"/>
        <v>152</v>
      </c>
      <c r="C155" s="76">
        <v>42407</v>
      </c>
      <c r="D155" s="16">
        <v>0.49652777777777773</v>
      </c>
      <c r="E155" s="46">
        <v>13.6</v>
      </c>
      <c r="F155" s="46">
        <v>14.6</v>
      </c>
      <c r="G155" s="46">
        <v>14.8</v>
      </c>
      <c r="H155" s="103">
        <f t="shared" si="6"/>
        <v>14.333333333333334</v>
      </c>
      <c r="I155" s="46">
        <v>27</v>
      </c>
      <c r="J155" s="46" t="s">
        <v>39</v>
      </c>
      <c r="K155" s="51" t="s">
        <v>57</v>
      </c>
    </row>
    <row r="156" spans="2:11" x14ac:dyDescent="0.2">
      <c r="B156" s="75">
        <f t="shared" si="5"/>
        <v>153</v>
      </c>
      <c r="C156" s="76">
        <v>42407</v>
      </c>
      <c r="D156" s="16">
        <v>0.65277777777777779</v>
      </c>
      <c r="E156" s="46">
        <v>15.5</v>
      </c>
      <c r="F156" s="46">
        <v>16.2</v>
      </c>
      <c r="G156" s="46">
        <v>17.7</v>
      </c>
      <c r="H156" s="103">
        <f t="shared" si="6"/>
        <v>16.466666666666665</v>
      </c>
      <c r="I156" s="46">
        <v>28</v>
      </c>
      <c r="J156" s="46" t="s">
        <v>39</v>
      </c>
      <c r="K156" s="51" t="s">
        <v>57</v>
      </c>
    </row>
    <row r="157" spans="2:11" x14ac:dyDescent="0.2">
      <c r="B157" s="75">
        <f t="shared" si="5"/>
        <v>154</v>
      </c>
      <c r="C157" s="76">
        <v>42407</v>
      </c>
      <c r="D157" s="16">
        <v>0.79861111111111116</v>
      </c>
      <c r="E157" s="46">
        <v>13.3</v>
      </c>
      <c r="F157" s="46">
        <v>15.3</v>
      </c>
      <c r="G157" s="46">
        <v>17</v>
      </c>
      <c r="H157" s="103">
        <f t="shared" si="6"/>
        <v>15.200000000000001</v>
      </c>
      <c r="I157" s="46">
        <v>24</v>
      </c>
      <c r="J157" s="46" t="s">
        <v>39</v>
      </c>
      <c r="K157" s="51" t="s">
        <v>57</v>
      </c>
    </row>
    <row r="158" spans="2:11" x14ac:dyDescent="0.2">
      <c r="B158" s="75">
        <f t="shared" si="5"/>
        <v>155</v>
      </c>
      <c r="C158" s="76">
        <v>42408</v>
      </c>
      <c r="D158" s="16">
        <v>0.11458333333333333</v>
      </c>
      <c r="E158" s="46">
        <v>16.3</v>
      </c>
      <c r="F158" s="46">
        <v>16.5</v>
      </c>
      <c r="G158" s="46">
        <v>16.899999999999999</v>
      </c>
      <c r="H158" s="103">
        <f t="shared" si="6"/>
        <v>16.566666666666666</v>
      </c>
      <c r="I158" s="46">
        <v>25</v>
      </c>
      <c r="J158" s="46" t="s">
        <v>39</v>
      </c>
      <c r="K158" s="51" t="s">
        <v>66</v>
      </c>
    </row>
    <row r="159" spans="2:11" x14ac:dyDescent="0.2">
      <c r="B159" s="77">
        <f t="shared" si="5"/>
        <v>156</v>
      </c>
      <c r="C159" s="78">
        <v>42408</v>
      </c>
      <c r="D159" s="16">
        <v>0.51041666666666663</v>
      </c>
      <c r="E159" s="46">
        <v>17.3</v>
      </c>
      <c r="F159" s="46">
        <v>17.600000000000001</v>
      </c>
      <c r="G159" s="46">
        <v>18.2</v>
      </c>
      <c r="H159" s="103">
        <f t="shared" si="6"/>
        <v>17.700000000000003</v>
      </c>
      <c r="I159" s="46">
        <v>29</v>
      </c>
      <c r="J159" s="46" t="s">
        <v>38</v>
      </c>
      <c r="K159" s="51" t="s">
        <v>57</v>
      </c>
    </row>
    <row r="160" spans="2:11" x14ac:dyDescent="0.2">
      <c r="B160" s="77">
        <f t="shared" si="5"/>
        <v>157</v>
      </c>
      <c r="C160" s="78">
        <v>42408</v>
      </c>
      <c r="D160" s="16">
        <v>0.65625</v>
      </c>
      <c r="E160" s="46">
        <v>16.899999999999999</v>
      </c>
      <c r="F160" s="46">
        <v>17.2</v>
      </c>
      <c r="G160" s="46">
        <v>17.899999999999999</v>
      </c>
      <c r="H160" s="103">
        <f t="shared" si="6"/>
        <v>17.333333333333332</v>
      </c>
      <c r="I160" s="46">
        <v>35</v>
      </c>
      <c r="J160" s="46" t="s">
        <v>39</v>
      </c>
      <c r="K160" s="51" t="s">
        <v>57</v>
      </c>
    </row>
    <row r="161" spans="2:11" x14ac:dyDescent="0.2">
      <c r="B161" s="77">
        <f t="shared" si="5"/>
        <v>158</v>
      </c>
      <c r="C161" s="78">
        <v>42408</v>
      </c>
      <c r="D161" s="16">
        <v>0.8125</v>
      </c>
      <c r="E161" s="46">
        <v>12.2</v>
      </c>
      <c r="F161" s="46">
        <v>10.1</v>
      </c>
      <c r="G161" s="46">
        <v>11.3</v>
      </c>
      <c r="H161" s="103">
        <f t="shared" si="6"/>
        <v>11.199999999999998</v>
      </c>
      <c r="I161" s="46">
        <v>33</v>
      </c>
      <c r="J161" s="46" t="s">
        <v>39</v>
      </c>
      <c r="K161" s="51" t="s">
        <v>57</v>
      </c>
    </row>
    <row r="162" spans="2:11" x14ac:dyDescent="0.2">
      <c r="B162" s="77">
        <f t="shared" si="5"/>
        <v>159</v>
      </c>
      <c r="C162" s="78">
        <v>42408</v>
      </c>
      <c r="D162" s="16">
        <v>0.97916666666666663</v>
      </c>
      <c r="E162" s="46">
        <v>16.600000000000001</v>
      </c>
      <c r="F162" s="46">
        <v>16.7</v>
      </c>
      <c r="G162" s="46">
        <v>18.899999999999999</v>
      </c>
      <c r="H162" s="103">
        <f t="shared" si="6"/>
        <v>17.399999999999999</v>
      </c>
      <c r="I162" s="46">
        <v>33</v>
      </c>
      <c r="J162" s="46" t="s">
        <v>38</v>
      </c>
      <c r="K162" s="51" t="s">
        <v>62</v>
      </c>
    </row>
    <row r="163" spans="2:11" x14ac:dyDescent="0.2">
      <c r="B163" s="77">
        <f t="shared" si="5"/>
        <v>160</v>
      </c>
      <c r="C163" s="78">
        <v>42409</v>
      </c>
      <c r="D163" s="16">
        <v>0.11458333333333333</v>
      </c>
      <c r="E163" s="46">
        <v>14.9</v>
      </c>
      <c r="F163" s="46">
        <v>15.7</v>
      </c>
      <c r="G163" s="46">
        <v>17</v>
      </c>
      <c r="H163" s="103">
        <f t="shared" si="6"/>
        <v>15.866666666666667</v>
      </c>
      <c r="I163" s="46">
        <v>34</v>
      </c>
      <c r="J163" s="46" t="s">
        <v>39</v>
      </c>
      <c r="K163" s="51" t="s">
        <v>67</v>
      </c>
    </row>
    <row r="164" spans="2:11" x14ac:dyDescent="0.2">
      <c r="B164" s="79">
        <f t="shared" si="5"/>
        <v>161</v>
      </c>
      <c r="C164" s="80">
        <v>42409</v>
      </c>
      <c r="D164" s="16">
        <v>0.48958333333333331</v>
      </c>
      <c r="E164" s="46">
        <v>13</v>
      </c>
      <c r="F164" s="46">
        <v>14.5</v>
      </c>
      <c r="G164" s="46">
        <v>19</v>
      </c>
      <c r="H164" s="103">
        <f t="shared" si="6"/>
        <v>15.5</v>
      </c>
      <c r="I164" s="46">
        <v>28</v>
      </c>
      <c r="J164" s="46" t="s">
        <v>38</v>
      </c>
      <c r="K164" s="51" t="s">
        <v>62</v>
      </c>
    </row>
    <row r="165" spans="2:11" x14ac:dyDescent="0.2">
      <c r="B165" s="79">
        <f t="shared" si="5"/>
        <v>162</v>
      </c>
      <c r="C165" s="80">
        <v>42409</v>
      </c>
      <c r="D165" s="16">
        <v>0.65625</v>
      </c>
      <c r="E165" s="46">
        <v>16.899999999999999</v>
      </c>
      <c r="F165" s="46">
        <v>17.3</v>
      </c>
      <c r="G165" s="46">
        <v>18.399999999999999</v>
      </c>
      <c r="H165" s="103">
        <f t="shared" si="6"/>
        <v>17.533333333333335</v>
      </c>
      <c r="I165" s="46">
        <v>40</v>
      </c>
      <c r="J165" s="46" t="s">
        <v>39</v>
      </c>
      <c r="K165" s="51" t="s">
        <v>57</v>
      </c>
    </row>
    <row r="166" spans="2:11" x14ac:dyDescent="0.2">
      <c r="B166" s="79">
        <f t="shared" si="5"/>
        <v>163</v>
      </c>
      <c r="C166" s="80">
        <v>42409</v>
      </c>
      <c r="D166" s="16">
        <v>0.8125</v>
      </c>
      <c r="E166" s="46">
        <v>10.6</v>
      </c>
      <c r="F166" s="46">
        <v>11.3</v>
      </c>
      <c r="G166" s="46">
        <v>12</v>
      </c>
      <c r="H166" s="103">
        <f t="shared" si="6"/>
        <v>11.299999999999999</v>
      </c>
      <c r="I166" s="46">
        <v>28</v>
      </c>
      <c r="J166" s="46" t="s">
        <v>39</v>
      </c>
      <c r="K166" s="51" t="s">
        <v>57</v>
      </c>
    </row>
    <row r="167" spans="2:11" x14ac:dyDescent="0.2">
      <c r="B167" s="79">
        <f t="shared" si="5"/>
        <v>164</v>
      </c>
      <c r="C167" s="80">
        <v>42410</v>
      </c>
      <c r="D167" s="16">
        <v>1.3888888888888888E-2</v>
      </c>
      <c r="E167" s="46">
        <v>14.6</v>
      </c>
      <c r="F167" s="46">
        <v>15.3</v>
      </c>
      <c r="G167" s="46">
        <v>16.2</v>
      </c>
      <c r="H167" s="103">
        <f t="shared" si="6"/>
        <v>15.366666666666665</v>
      </c>
      <c r="I167" s="46">
        <v>24</v>
      </c>
      <c r="J167" s="46" t="s">
        <v>39</v>
      </c>
      <c r="K167" s="51" t="s">
        <v>50</v>
      </c>
    </row>
    <row r="168" spans="2:11" x14ac:dyDescent="0.2">
      <c r="B168" s="79">
        <f t="shared" si="5"/>
        <v>165</v>
      </c>
      <c r="C168" s="80">
        <v>42410</v>
      </c>
      <c r="D168" s="16">
        <v>0.16319444444444445</v>
      </c>
      <c r="E168" s="46">
        <v>12.3</v>
      </c>
      <c r="F168" s="46">
        <v>12.9</v>
      </c>
      <c r="G168" s="46">
        <v>14.3</v>
      </c>
      <c r="H168" s="103">
        <f t="shared" si="6"/>
        <v>13.166666666666666</v>
      </c>
      <c r="I168" s="46">
        <v>26</v>
      </c>
      <c r="J168" s="46" t="s">
        <v>38</v>
      </c>
      <c r="K168" s="51" t="s">
        <v>61</v>
      </c>
    </row>
    <row r="169" spans="2:11" x14ac:dyDescent="0.2">
      <c r="B169" s="81">
        <f t="shared" si="5"/>
        <v>166</v>
      </c>
      <c r="C169" s="82">
        <v>42410</v>
      </c>
      <c r="D169" s="16">
        <v>0.49652777777777773</v>
      </c>
      <c r="E169" s="46">
        <v>10.199999999999999</v>
      </c>
      <c r="F169" s="46">
        <v>11.9</v>
      </c>
      <c r="G169" s="46">
        <v>12.5</v>
      </c>
      <c r="H169" s="103">
        <f t="shared" si="6"/>
        <v>11.533333333333333</v>
      </c>
      <c r="I169" s="46">
        <v>24</v>
      </c>
      <c r="J169" s="46" t="s">
        <v>38</v>
      </c>
      <c r="K169" s="51" t="s">
        <v>50</v>
      </c>
    </row>
    <row r="170" spans="2:11" x14ac:dyDescent="0.2">
      <c r="B170" s="81">
        <f t="shared" si="5"/>
        <v>167</v>
      </c>
      <c r="C170" s="82">
        <v>42410</v>
      </c>
      <c r="D170" s="16">
        <v>0.65625</v>
      </c>
      <c r="E170" s="46">
        <v>12.3</v>
      </c>
      <c r="F170" s="46">
        <v>14.4</v>
      </c>
      <c r="G170" s="46">
        <v>15.6</v>
      </c>
      <c r="H170" s="103">
        <f t="shared" si="6"/>
        <v>14.100000000000001</v>
      </c>
      <c r="I170" s="46">
        <v>25</v>
      </c>
      <c r="J170" s="46" t="s">
        <v>39</v>
      </c>
      <c r="K170" s="51" t="s">
        <v>61</v>
      </c>
    </row>
    <row r="171" spans="2:11" x14ac:dyDescent="0.2">
      <c r="B171" s="81">
        <f t="shared" si="5"/>
        <v>168</v>
      </c>
      <c r="C171" s="82">
        <v>42410</v>
      </c>
      <c r="D171" s="16">
        <v>0.85416666666666663</v>
      </c>
      <c r="E171" s="46">
        <v>10.5</v>
      </c>
      <c r="F171" s="46">
        <v>11.5</v>
      </c>
      <c r="G171" s="46">
        <v>12.5</v>
      </c>
      <c r="H171" s="103">
        <f t="shared" si="6"/>
        <v>11.5</v>
      </c>
      <c r="I171" s="46">
        <v>22</v>
      </c>
      <c r="J171" s="46" t="s">
        <v>39</v>
      </c>
      <c r="K171" s="51" t="s">
        <v>62</v>
      </c>
    </row>
    <row r="172" spans="2:11" x14ac:dyDescent="0.2">
      <c r="B172" s="81">
        <f t="shared" si="5"/>
        <v>169</v>
      </c>
      <c r="C172" s="82">
        <v>42411</v>
      </c>
      <c r="D172" s="16">
        <v>1.7361111111111112E-2</v>
      </c>
      <c r="E172" s="46">
        <v>12.1</v>
      </c>
      <c r="F172" s="46">
        <v>12.7</v>
      </c>
      <c r="G172" s="46">
        <v>13.8</v>
      </c>
      <c r="H172" s="103">
        <f t="shared" si="6"/>
        <v>12.866666666666665</v>
      </c>
      <c r="I172" s="46">
        <v>23</v>
      </c>
      <c r="J172" s="46" t="s">
        <v>38</v>
      </c>
      <c r="K172" s="51" t="s">
        <v>57</v>
      </c>
    </row>
    <row r="173" spans="2:11" x14ac:dyDescent="0.2">
      <c r="B173" s="81">
        <f t="shared" si="5"/>
        <v>170</v>
      </c>
      <c r="C173" s="82">
        <v>42411</v>
      </c>
      <c r="D173" s="16">
        <v>0.15625</v>
      </c>
      <c r="E173" s="46">
        <v>13.3</v>
      </c>
      <c r="F173" s="46">
        <v>13.6</v>
      </c>
      <c r="G173" s="46">
        <v>14.2</v>
      </c>
      <c r="H173" s="103">
        <f t="shared" si="6"/>
        <v>13.699999999999998</v>
      </c>
      <c r="I173" s="46">
        <v>51</v>
      </c>
      <c r="J173" s="46" t="s">
        <v>39</v>
      </c>
      <c r="K173" s="51" t="s">
        <v>62</v>
      </c>
    </row>
    <row r="174" spans="2:11" x14ac:dyDescent="0.2">
      <c r="B174" s="83">
        <f t="shared" si="5"/>
        <v>171</v>
      </c>
      <c r="C174" s="84">
        <v>42411</v>
      </c>
      <c r="D174" s="16">
        <v>0.48958333333333331</v>
      </c>
      <c r="E174" s="46">
        <v>12.1</v>
      </c>
      <c r="F174" s="46">
        <v>14.9</v>
      </c>
      <c r="G174" s="46">
        <v>19.5</v>
      </c>
      <c r="H174" s="103">
        <f t="shared" si="6"/>
        <v>15.5</v>
      </c>
      <c r="I174" s="46">
        <v>23</v>
      </c>
      <c r="J174" s="46" t="s">
        <v>38</v>
      </c>
      <c r="K174" s="51" t="s">
        <v>50</v>
      </c>
    </row>
    <row r="175" spans="2:11" x14ac:dyDescent="0.2">
      <c r="B175" s="83">
        <f t="shared" si="5"/>
        <v>172</v>
      </c>
      <c r="C175" s="84">
        <v>42411</v>
      </c>
      <c r="D175" s="16">
        <v>0.65625</v>
      </c>
      <c r="E175" s="46">
        <v>15.2</v>
      </c>
      <c r="F175" s="46">
        <v>17.2</v>
      </c>
      <c r="G175" s="46">
        <v>17.8</v>
      </c>
      <c r="H175" s="103">
        <f t="shared" si="6"/>
        <v>16.733333333333334</v>
      </c>
      <c r="I175" s="46">
        <v>22</v>
      </c>
      <c r="J175" s="46" t="s">
        <v>39</v>
      </c>
      <c r="K175" s="51" t="s">
        <v>61</v>
      </c>
    </row>
    <row r="176" spans="2:11" x14ac:dyDescent="0.2">
      <c r="B176" s="83">
        <f t="shared" si="5"/>
        <v>173</v>
      </c>
      <c r="C176" s="84">
        <v>42411</v>
      </c>
      <c r="D176" s="16">
        <v>0.85972222222222217</v>
      </c>
      <c r="E176" s="46">
        <v>17.100000000000001</v>
      </c>
      <c r="F176" s="46">
        <v>17.7</v>
      </c>
      <c r="G176" s="46">
        <v>18.600000000000001</v>
      </c>
      <c r="H176" s="103">
        <f t="shared" si="6"/>
        <v>17.8</v>
      </c>
      <c r="I176" s="46">
        <v>23</v>
      </c>
      <c r="J176" s="46" t="s">
        <v>39</v>
      </c>
      <c r="K176" s="51" t="s">
        <v>62</v>
      </c>
    </row>
    <row r="177" spans="2:11" x14ac:dyDescent="0.2">
      <c r="B177" s="83">
        <f t="shared" si="5"/>
        <v>174</v>
      </c>
      <c r="C177" s="84">
        <v>42412</v>
      </c>
      <c r="D177" s="16">
        <v>0</v>
      </c>
      <c r="E177" s="46">
        <v>13.5</v>
      </c>
      <c r="F177" s="46">
        <v>13.8</v>
      </c>
      <c r="G177" s="46">
        <v>14.3</v>
      </c>
      <c r="H177" s="103">
        <f t="shared" si="6"/>
        <v>13.866666666666667</v>
      </c>
      <c r="I177" s="46">
        <v>28</v>
      </c>
      <c r="J177" s="46" t="s">
        <v>38</v>
      </c>
      <c r="K177" s="51" t="s">
        <v>57</v>
      </c>
    </row>
    <row r="178" spans="2:11" x14ac:dyDescent="0.2">
      <c r="B178" s="83">
        <f t="shared" si="5"/>
        <v>175</v>
      </c>
      <c r="C178" s="84">
        <v>42412</v>
      </c>
      <c r="D178" s="16">
        <v>0.15972222222222224</v>
      </c>
      <c r="E178" s="46">
        <v>12.8</v>
      </c>
      <c r="F178" s="46">
        <v>13.7</v>
      </c>
      <c r="G178" s="46">
        <v>15.5</v>
      </c>
      <c r="H178" s="103">
        <f t="shared" si="6"/>
        <v>14</v>
      </c>
      <c r="I178" s="46">
        <v>27</v>
      </c>
      <c r="J178" s="46" t="s">
        <v>39</v>
      </c>
      <c r="K178" s="51" t="s">
        <v>68</v>
      </c>
    </row>
    <row r="179" spans="2:11" x14ac:dyDescent="0.2">
      <c r="B179" s="83">
        <f t="shared" si="5"/>
        <v>176</v>
      </c>
      <c r="C179" s="84">
        <v>42412</v>
      </c>
      <c r="D179" s="16">
        <v>0.59375</v>
      </c>
      <c r="E179" s="46">
        <v>15.3</v>
      </c>
      <c r="F179" s="46">
        <v>16.600000000000001</v>
      </c>
      <c r="G179" s="46">
        <v>17.100000000000001</v>
      </c>
      <c r="H179" s="103">
        <f t="shared" si="6"/>
        <v>16.333333333333332</v>
      </c>
      <c r="I179" s="46">
        <v>20</v>
      </c>
      <c r="J179" s="46" t="s">
        <v>38</v>
      </c>
      <c r="K179" s="51" t="s">
        <v>50</v>
      </c>
    </row>
    <row r="180" spans="2:11" x14ac:dyDescent="0.2">
      <c r="B180" s="83">
        <f t="shared" si="5"/>
        <v>177</v>
      </c>
      <c r="C180" s="84">
        <v>42412</v>
      </c>
      <c r="D180" s="16">
        <v>0.73958333333333337</v>
      </c>
      <c r="E180" s="46">
        <v>12.6</v>
      </c>
      <c r="F180" s="46">
        <v>14</v>
      </c>
      <c r="G180" s="46">
        <v>14.5</v>
      </c>
      <c r="H180" s="103">
        <f t="shared" si="6"/>
        <v>13.700000000000001</v>
      </c>
      <c r="I180" s="46">
        <v>26</v>
      </c>
      <c r="J180" s="46" t="s">
        <v>38</v>
      </c>
      <c r="K180" s="51" t="s">
        <v>50</v>
      </c>
    </row>
    <row r="181" spans="2:11" x14ac:dyDescent="0.2">
      <c r="B181" s="83">
        <f t="shared" si="5"/>
        <v>178</v>
      </c>
      <c r="C181" s="84">
        <v>42412</v>
      </c>
      <c r="D181" s="16">
        <v>0.82291666666666663</v>
      </c>
      <c r="E181" s="46">
        <v>15.5</v>
      </c>
      <c r="F181" s="46">
        <v>15.9</v>
      </c>
      <c r="G181" s="46">
        <v>16.3</v>
      </c>
      <c r="H181" s="103">
        <f t="shared" si="6"/>
        <v>15.9</v>
      </c>
      <c r="I181" s="46">
        <v>26</v>
      </c>
      <c r="J181" s="46" t="s">
        <v>39</v>
      </c>
      <c r="K181" s="51" t="s">
        <v>50</v>
      </c>
    </row>
    <row r="182" spans="2:11" x14ac:dyDescent="0.2">
      <c r="B182" s="83">
        <f t="shared" si="5"/>
        <v>179</v>
      </c>
      <c r="C182" s="84">
        <v>42413</v>
      </c>
      <c r="D182" s="16">
        <v>1.0416666666666666E-2</v>
      </c>
      <c r="E182" s="46">
        <v>16.5</v>
      </c>
      <c r="F182" s="46">
        <v>16.899999999999999</v>
      </c>
      <c r="G182" s="46">
        <v>17.3</v>
      </c>
      <c r="H182" s="103">
        <f t="shared" si="6"/>
        <v>16.900000000000002</v>
      </c>
      <c r="I182" s="46">
        <v>25</v>
      </c>
      <c r="J182" s="46" t="s">
        <v>38</v>
      </c>
      <c r="K182" s="51" t="s">
        <v>61</v>
      </c>
    </row>
    <row r="183" spans="2:11" x14ac:dyDescent="0.2">
      <c r="B183" s="83">
        <f t="shared" si="5"/>
        <v>180</v>
      </c>
      <c r="C183" s="84">
        <v>42413</v>
      </c>
      <c r="D183" s="16">
        <v>0.48958333333333331</v>
      </c>
      <c r="E183" s="46">
        <v>11.9</v>
      </c>
      <c r="F183" s="46">
        <v>14.3</v>
      </c>
      <c r="G183" s="46">
        <v>16.8</v>
      </c>
      <c r="H183" s="103">
        <f t="shared" si="6"/>
        <v>14.333333333333334</v>
      </c>
      <c r="I183" s="46">
        <v>25</v>
      </c>
      <c r="J183" s="46" t="s">
        <v>38</v>
      </c>
      <c r="K183" s="51" t="s">
        <v>62</v>
      </c>
    </row>
    <row r="184" spans="2:11" x14ac:dyDescent="0.2">
      <c r="B184" s="83">
        <f t="shared" si="5"/>
        <v>181</v>
      </c>
      <c r="C184" s="84">
        <v>42413</v>
      </c>
      <c r="D184" s="16">
        <v>0.65625</v>
      </c>
      <c r="E184" s="46">
        <v>13.8</v>
      </c>
      <c r="F184" s="46">
        <v>15.2</v>
      </c>
      <c r="G184" s="46">
        <v>21</v>
      </c>
      <c r="H184" s="103">
        <f t="shared" si="6"/>
        <v>16.666666666666668</v>
      </c>
      <c r="I184" s="46">
        <v>37</v>
      </c>
      <c r="J184" s="46" t="s">
        <v>38</v>
      </c>
      <c r="K184" s="51" t="s">
        <v>57</v>
      </c>
    </row>
    <row r="185" spans="2:11" x14ac:dyDescent="0.2">
      <c r="B185" s="83">
        <f t="shared" si="5"/>
        <v>182</v>
      </c>
      <c r="C185" s="84">
        <v>42413</v>
      </c>
      <c r="D185" s="16">
        <v>0.88541666666666663</v>
      </c>
      <c r="E185" s="46">
        <v>13.8</v>
      </c>
      <c r="F185" s="46">
        <v>17.5</v>
      </c>
      <c r="G185" s="46">
        <v>18.399999999999999</v>
      </c>
      <c r="H185" s="103">
        <f t="shared" si="6"/>
        <v>16.566666666666666</v>
      </c>
      <c r="I185" s="46">
        <v>25</v>
      </c>
      <c r="J185" s="46" t="s">
        <v>39</v>
      </c>
      <c r="K185" s="51" t="s">
        <v>57</v>
      </c>
    </row>
    <row r="186" spans="2:11" x14ac:dyDescent="0.2">
      <c r="B186" s="83">
        <f t="shared" si="5"/>
        <v>183</v>
      </c>
      <c r="C186" s="84">
        <v>42414</v>
      </c>
      <c r="D186" s="16">
        <v>5.4166666666666669E-2</v>
      </c>
      <c r="E186" s="46">
        <v>17.600000000000001</v>
      </c>
      <c r="F186" s="46">
        <v>18.2</v>
      </c>
      <c r="G186" s="46">
        <v>18.899999999999999</v>
      </c>
      <c r="H186" s="103">
        <f t="shared" si="6"/>
        <v>18.233333333333331</v>
      </c>
      <c r="I186" s="46">
        <v>26</v>
      </c>
      <c r="J186" s="46" t="s">
        <v>38</v>
      </c>
      <c r="K186" s="51" t="s">
        <v>61</v>
      </c>
    </row>
    <row r="187" spans="2:11" x14ac:dyDescent="0.2">
      <c r="B187" s="83">
        <f t="shared" si="5"/>
        <v>184</v>
      </c>
      <c r="C187" s="84">
        <v>42414</v>
      </c>
      <c r="D187" s="16">
        <v>0.20138888888888887</v>
      </c>
      <c r="E187" s="46">
        <v>17.3</v>
      </c>
      <c r="F187" s="46">
        <v>17.5</v>
      </c>
      <c r="G187" s="46">
        <v>18</v>
      </c>
      <c r="H187" s="103">
        <f t="shared" si="6"/>
        <v>17.599999999999998</v>
      </c>
      <c r="I187" s="46">
        <v>20</v>
      </c>
      <c r="J187" s="46" t="s">
        <v>38</v>
      </c>
      <c r="K187" s="51" t="s">
        <v>50</v>
      </c>
    </row>
    <row r="188" spans="2:11" x14ac:dyDescent="0.2">
      <c r="B188" s="85">
        <f t="shared" si="5"/>
        <v>185</v>
      </c>
      <c r="C188" s="86">
        <v>42414</v>
      </c>
      <c r="D188" s="16">
        <v>0.48958333333333331</v>
      </c>
      <c r="E188" s="46">
        <v>12.2</v>
      </c>
      <c r="F188" s="46">
        <v>12.9</v>
      </c>
      <c r="G188" s="46">
        <v>15.5</v>
      </c>
      <c r="H188" s="103">
        <f t="shared" si="6"/>
        <v>13.533333333333333</v>
      </c>
      <c r="I188" s="46">
        <v>36</v>
      </c>
      <c r="J188" s="46" t="s">
        <v>38</v>
      </c>
      <c r="K188" s="51" t="s">
        <v>62</v>
      </c>
    </row>
    <row r="189" spans="2:11" x14ac:dyDescent="0.2">
      <c r="B189" s="85">
        <f t="shared" si="5"/>
        <v>186</v>
      </c>
      <c r="C189" s="86">
        <v>42414</v>
      </c>
      <c r="D189" s="16">
        <v>0.65625</v>
      </c>
      <c r="E189" s="46">
        <v>12</v>
      </c>
      <c r="F189" s="46">
        <v>13.1</v>
      </c>
      <c r="G189" s="46">
        <v>13.7</v>
      </c>
      <c r="H189" s="103">
        <f t="shared" si="6"/>
        <v>12.933333333333332</v>
      </c>
      <c r="I189" s="46">
        <v>26</v>
      </c>
      <c r="J189" s="46" t="s">
        <v>39</v>
      </c>
      <c r="K189" s="51" t="s">
        <v>62</v>
      </c>
    </row>
    <row r="190" spans="2:11" x14ac:dyDescent="0.2">
      <c r="B190" s="85">
        <f t="shared" si="5"/>
        <v>187</v>
      </c>
      <c r="C190" s="86">
        <v>42414</v>
      </c>
      <c r="D190" s="16">
        <v>0.88541666666666663</v>
      </c>
      <c r="E190" s="46">
        <v>15.2</v>
      </c>
      <c r="F190" s="46">
        <v>15.8</v>
      </c>
      <c r="G190" s="46">
        <v>16.100000000000001</v>
      </c>
      <c r="H190" s="103">
        <f t="shared" si="6"/>
        <v>15.700000000000001</v>
      </c>
      <c r="I190" s="46">
        <v>22</v>
      </c>
      <c r="J190" s="46" t="s">
        <v>39</v>
      </c>
      <c r="K190" s="51" t="s">
        <v>50</v>
      </c>
    </row>
    <row r="191" spans="2:11" x14ac:dyDescent="0.2">
      <c r="B191" s="85">
        <f t="shared" si="5"/>
        <v>188</v>
      </c>
      <c r="C191" s="86">
        <v>42415</v>
      </c>
      <c r="D191" s="16">
        <v>1.0416666666666666E-2</v>
      </c>
      <c r="E191" s="46">
        <v>17.899999999999999</v>
      </c>
      <c r="F191" s="46">
        <v>18.600000000000001</v>
      </c>
      <c r="G191" s="46">
        <v>19.7</v>
      </c>
      <c r="H191" s="103">
        <f t="shared" si="6"/>
        <v>18.733333333333334</v>
      </c>
      <c r="I191" s="46">
        <v>28</v>
      </c>
      <c r="J191" s="46" t="s">
        <v>39</v>
      </c>
      <c r="K191" s="51" t="s">
        <v>61</v>
      </c>
    </row>
    <row r="192" spans="2:11" x14ac:dyDescent="0.2">
      <c r="B192" s="85">
        <f t="shared" si="5"/>
        <v>189</v>
      </c>
      <c r="C192" s="86">
        <v>42415</v>
      </c>
      <c r="D192" s="16">
        <v>0.15972222222222224</v>
      </c>
      <c r="E192" s="46">
        <v>16.2</v>
      </c>
      <c r="F192" s="46">
        <v>16.7</v>
      </c>
      <c r="G192" s="46">
        <v>17.399999999999999</v>
      </c>
      <c r="H192" s="103">
        <f t="shared" si="6"/>
        <v>16.766666666666666</v>
      </c>
      <c r="I192" s="46">
        <v>27</v>
      </c>
      <c r="J192" s="46" t="s">
        <v>39</v>
      </c>
      <c r="K192" s="51" t="s">
        <v>50</v>
      </c>
    </row>
    <row r="193" spans="2:11" x14ac:dyDescent="0.2">
      <c r="B193" s="61">
        <f t="shared" si="5"/>
        <v>190</v>
      </c>
      <c r="C193" s="62">
        <v>42415</v>
      </c>
      <c r="D193" s="124">
        <v>0.4861111111111111</v>
      </c>
      <c r="E193" s="59">
        <v>12.5</v>
      </c>
      <c r="F193" s="59">
        <v>14.2</v>
      </c>
      <c r="G193" s="59">
        <v>14.5</v>
      </c>
      <c r="H193" s="103">
        <f t="shared" si="6"/>
        <v>13.733333333333334</v>
      </c>
      <c r="I193" s="59">
        <v>37</v>
      </c>
      <c r="J193" s="59" t="s">
        <v>38</v>
      </c>
      <c r="K193" s="60" t="s">
        <v>57</v>
      </c>
    </row>
    <row r="194" spans="2:11" x14ac:dyDescent="0.2">
      <c r="B194" s="87">
        <f t="shared" si="5"/>
        <v>191</v>
      </c>
      <c r="C194" s="88">
        <v>42415</v>
      </c>
      <c r="D194" s="16">
        <v>0.65277777777777779</v>
      </c>
      <c r="E194" s="46">
        <v>11.2</v>
      </c>
      <c r="F194" s="46">
        <v>12.6</v>
      </c>
      <c r="G194" s="46">
        <v>13.9</v>
      </c>
      <c r="H194" s="103">
        <f t="shared" si="6"/>
        <v>12.566666666666665</v>
      </c>
      <c r="I194" s="46">
        <v>34</v>
      </c>
      <c r="J194" s="46" t="s">
        <v>39</v>
      </c>
      <c r="K194" s="51" t="s">
        <v>57</v>
      </c>
    </row>
    <row r="195" spans="2:11" x14ac:dyDescent="0.2">
      <c r="B195" s="87">
        <f t="shared" si="5"/>
        <v>192</v>
      </c>
      <c r="C195" s="88">
        <v>42415</v>
      </c>
      <c r="D195" s="16">
        <v>0.88541666666666663</v>
      </c>
      <c r="E195" s="46">
        <v>17.8</v>
      </c>
      <c r="F195" s="46">
        <v>19.100000000000001</v>
      </c>
      <c r="G195" s="46">
        <v>22.1</v>
      </c>
      <c r="H195" s="103">
        <f t="shared" si="6"/>
        <v>19.666666666666668</v>
      </c>
      <c r="I195" s="46">
        <v>26</v>
      </c>
      <c r="J195" s="46" t="s">
        <v>39</v>
      </c>
      <c r="K195" s="51" t="s">
        <v>50</v>
      </c>
    </row>
    <row r="196" spans="2:11" x14ac:dyDescent="0.2">
      <c r="B196" s="87">
        <f t="shared" si="5"/>
        <v>193</v>
      </c>
      <c r="C196" s="88">
        <v>42416</v>
      </c>
      <c r="D196" s="16">
        <v>1.0416666666666666E-2</v>
      </c>
      <c r="E196" s="46">
        <v>17.600000000000001</v>
      </c>
      <c r="F196" s="46">
        <v>18.899999999999999</v>
      </c>
      <c r="G196" s="46">
        <v>19.7</v>
      </c>
      <c r="H196" s="103">
        <f t="shared" si="6"/>
        <v>18.733333333333334</v>
      </c>
      <c r="I196" s="46">
        <v>23</v>
      </c>
      <c r="J196" s="46" t="s">
        <v>39</v>
      </c>
      <c r="K196" s="51" t="s">
        <v>50</v>
      </c>
    </row>
    <row r="197" spans="2:11" x14ac:dyDescent="0.2">
      <c r="B197" s="87">
        <f t="shared" si="5"/>
        <v>194</v>
      </c>
      <c r="C197" s="88">
        <v>42416</v>
      </c>
      <c r="D197" s="16">
        <v>0.15277777777777776</v>
      </c>
      <c r="E197" s="46">
        <v>16.5</v>
      </c>
      <c r="F197" s="46">
        <v>17</v>
      </c>
      <c r="G197" s="46">
        <v>17.8</v>
      </c>
      <c r="H197" s="103">
        <f t="shared" si="6"/>
        <v>17.099999999999998</v>
      </c>
      <c r="I197" s="46">
        <v>25</v>
      </c>
      <c r="J197" s="46" t="s">
        <v>39</v>
      </c>
      <c r="K197" s="51" t="s">
        <v>61</v>
      </c>
    </row>
    <row r="198" spans="2:11" x14ac:dyDescent="0.2">
      <c r="B198" s="89">
        <f t="shared" si="5"/>
        <v>195</v>
      </c>
      <c r="C198" s="90">
        <v>42416</v>
      </c>
      <c r="D198" s="16">
        <v>0.4826388888888889</v>
      </c>
      <c r="E198" s="46">
        <v>10.8</v>
      </c>
      <c r="F198" s="46">
        <v>11.1</v>
      </c>
      <c r="G198" s="46">
        <v>12.2</v>
      </c>
      <c r="H198" s="103">
        <f t="shared" si="6"/>
        <v>11.366666666666665</v>
      </c>
      <c r="I198" s="46">
        <v>35</v>
      </c>
      <c r="J198" s="46" t="s">
        <v>38</v>
      </c>
      <c r="K198" s="51" t="s">
        <v>62</v>
      </c>
    </row>
    <row r="199" spans="2:11" x14ac:dyDescent="0.2">
      <c r="B199" s="89">
        <f t="shared" ref="B199:B262" si="7">B198+1</f>
        <v>196</v>
      </c>
      <c r="C199" s="90">
        <v>42416</v>
      </c>
      <c r="D199" s="16">
        <v>0.65625</v>
      </c>
      <c r="E199" s="46">
        <v>12</v>
      </c>
      <c r="F199" s="46">
        <v>14.2</v>
      </c>
      <c r="G199" s="46">
        <v>15.5</v>
      </c>
      <c r="H199" s="103">
        <f t="shared" si="6"/>
        <v>13.9</v>
      </c>
      <c r="I199" s="46">
        <v>33</v>
      </c>
      <c r="J199" s="46" t="s">
        <v>39</v>
      </c>
      <c r="K199" s="51" t="s">
        <v>57</v>
      </c>
    </row>
    <row r="200" spans="2:11" x14ac:dyDescent="0.2">
      <c r="B200" s="89">
        <f t="shared" si="7"/>
        <v>197</v>
      </c>
      <c r="C200" s="90">
        <v>42416</v>
      </c>
      <c r="D200" s="16">
        <v>0.875</v>
      </c>
      <c r="E200" s="46">
        <v>15.5</v>
      </c>
      <c r="F200" s="46">
        <v>17</v>
      </c>
      <c r="G200" s="46">
        <v>18.100000000000001</v>
      </c>
      <c r="H200" s="103">
        <f t="shared" si="6"/>
        <v>16.866666666666667</v>
      </c>
      <c r="I200" s="46">
        <v>34</v>
      </c>
      <c r="J200" s="46" t="s">
        <v>38</v>
      </c>
      <c r="K200" s="51" t="s">
        <v>50</v>
      </c>
    </row>
    <row r="201" spans="2:11" x14ac:dyDescent="0.2">
      <c r="B201" s="89">
        <f t="shared" si="7"/>
        <v>198</v>
      </c>
      <c r="C201" s="90">
        <v>42417</v>
      </c>
      <c r="D201" s="16">
        <v>1.0416666666666666E-2</v>
      </c>
      <c r="E201" s="46">
        <v>15.7</v>
      </c>
      <c r="F201" s="46">
        <v>16.5</v>
      </c>
      <c r="G201" s="46">
        <v>17.2</v>
      </c>
      <c r="H201" s="103">
        <f t="shared" si="6"/>
        <v>16.466666666666669</v>
      </c>
      <c r="I201" s="46">
        <v>28</v>
      </c>
      <c r="J201" s="46" t="s">
        <v>39</v>
      </c>
      <c r="K201" s="51" t="s">
        <v>50</v>
      </c>
    </row>
    <row r="202" spans="2:11" x14ac:dyDescent="0.2">
      <c r="B202" s="89">
        <f t="shared" si="7"/>
        <v>199</v>
      </c>
      <c r="C202" s="90">
        <v>42417</v>
      </c>
      <c r="D202" s="16">
        <v>0.15972222222222224</v>
      </c>
      <c r="E202" s="46">
        <v>15.9</v>
      </c>
      <c r="F202" s="46">
        <v>17.3</v>
      </c>
      <c r="G202" s="46">
        <v>18.899999999999999</v>
      </c>
      <c r="H202" s="103">
        <f t="shared" si="6"/>
        <v>17.366666666666667</v>
      </c>
      <c r="I202" s="46">
        <v>28</v>
      </c>
      <c r="J202" s="46" t="s">
        <v>39</v>
      </c>
      <c r="K202" s="51" t="s">
        <v>61</v>
      </c>
    </row>
    <row r="203" spans="2:11" x14ac:dyDescent="0.2">
      <c r="B203" s="89">
        <f t="shared" si="7"/>
        <v>200</v>
      </c>
      <c r="C203" s="90">
        <v>42417</v>
      </c>
      <c r="D203" s="16">
        <v>0.4861111111111111</v>
      </c>
      <c r="E203" s="46">
        <v>12.7</v>
      </c>
      <c r="F203" s="46">
        <v>13.9</v>
      </c>
      <c r="G203" s="46">
        <v>14.1</v>
      </c>
      <c r="H203" s="103">
        <f t="shared" si="6"/>
        <v>13.566666666666668</v>
      </c>
      <c r="I203" s="46">
        <v>29</v>
      </c>
      <c r="J203" s="46" t="s">
        <v>38</v>
      </c>
      <c r="K203" s="51" t="s">
        <v>57</v>
      </c>
    </row>
    <row r="204" spans="2:11" x14ac:dyDescent="0.2">
      <c r="B204" s="89">
        <f t="shared" si="7"/>
        <v>201</v>
      </c>
      <c r="C204" s="90">
        <v>42417</v>
      </c>
      <c r="D204" s="16">
        <v>0.66666666666666663</v>
      </c>
      <c r="E204" s="46">
        <v>13.4</v>
      </c>
      <c r="F204" s="46">
        <v>14.2</v>
      </c>
      <c r="G204" s="46">
        <v>14.9</v>
      </c>
      <c r="H204" s="103">
        <f t="shared" si="6"/>
        <v>14.166666666666666</v>
      </c>
      <c r="I204" s="46">
        <v>26</v>
      </c>
      <c r="J204" s="46" t="s">
        <v>39</v>
      </c>
      <c r="K204" s="51" t="s">
        <v>57</v>
      </c>
    </row>
    <row r="205" spans="2:11" x14ac:dyDescent="0.2">
      <c r="B205" s="89">
        <f t="shared" si="7"/>
        <v>202</v>
      </c>
      <c r="C205" s="90">
        <v>42417</v>
      </c>
      <c r="D205" s="16">
        <v>0.875</v>
      </c>
      <c r="E205" s="46">
        <v>15.9</v>
      </c>
      <c r="F205" s="46">
        <v>17</v>
      </c>
      <c r="G205" s="46">
        <v>20.3</v>
      </c>
      <c r="H205" s="103">
        <f t="shared" si="6"/>
        <v>17.733333333333334</v>
      </c>
      <c r="I205" s="46">
        <v>28</v>
      </c>
      <c r="J205" s="46" t="s">
        <v>38</v>
      </c>
      <c r="K205" s="51" t="s">
        <v>50</v>
      </c>
    </row>
    <row r="206" spans="2:11" x14ac:dyDescent="0.2">
      <c r="B206" s="89">
        <f t="shared" si="7"/>
        <v>203</v>
      </c>
      <c r="C206" s="90">
        <v>42418</v>
      </c>
      <c r="D206" s="16">
        <v>1.0416666666666666E-2</v>
      </c>
      <c r="E206" s="46">
        <v>17.3</v>
      </c>
      <c r="F206" s="46">
        <v>18</v>
      </c>
      <c r="G206" s="46">
        <v>19.899999999999999</v>
      </c>
      <c r="H206" s="103">
        <f t="shared" si="6"/>
        <v>18.399999999999999</v>
      </c>
      <c r="I206" s="46">
        <v>21</v>
      </c>
      <c r="J206" s="46" t="s">
        <v>39</v>
      </c>
      <c r="K206" s="51" t="s">
        <v>50</v>
      </c>
    </row>
    <row r="207" spans="2:11" x14ac:dyDescent="0.2">
      <c r="B207" s="89">
        <f t="shared" si="7"/>
        <v>204</v>
      </c>
      <c r="C207" s="90">
        <v>42418</v>
      </c>
      <c r="D207" s="16">
        <v>0.15277777777777776</v>
      </c>
      <c r="E207" s="46">
        <v>17.5</v>
      </c>
      <c r="F207" s="46">
        <v>18.600000000000001</v>
      </c>
      <c r="G207" s="46">
        <v>19.3</v>
      </c>
      <c r="H207" s="103">
        <f t="shared" si="6"/>
        <v>18.466666666666669</v>
      </c>
      <c r="I207" s="46">
        <v>25</v>
      </c>
      <c r="J207" s="46" t="s">
        <v>39</v>
      </c>
      <c r="K207" s="51" t="s">
        <v>50</v>
      </c>
    </row>
    <row r="208" spans="2:11" x14ac:dyDescent="0.2">
      <c r="B208" s="89">
        <f t="shared" si="7"/>
        <v>205</v>
      </c>
      <c r="C208" s="90">
        <v>42418</v>
      </c>
      <c r="D208" s="16">
        <v>0.4861111111111111</v>
      </c>
      <c r="E208" s="46">
        <v>14.7</v>
      </c>
      <c r="F208" s="46">
        <v>15.4</v>
      </c>
      <c r="G208" s="46">
        <v>16.8</v>
      </c>
      <c r="H208" s="103">
        <f t="shared" si="6"/>
        <v>15.633333333333335</v>
      </c>
      <c r="I208" s="46">
        <v>30</v>
      </c>
      <c r="J208" s="46" t="s">
        <v>38</v>
      </c>
      <c r="K208" s="51" t="s">
        <v>62</v>
      </c>
    </row>
    <row r="209" spans="2:11" x14ac:dyDescent="0.2">
      <c r="B209" s="89">
        <f t="shared" si="7"/>
        <v>206</v>
      </c>
      <c r="C209" s="90">
        <v>42418</v>
      </c>
      <c r="D209" s="16">
        <v>0.65277777777777779</v>
      </c>
      <c r="E209" s="46">
        <v>12.7</v>
      </c>
      <c r="F209" s="46">
        <v>14.3</v>
      </c>
      <c r="G209" s="46">
        <v>14.7</v>
      </c>
      <c r="H209" s="103">
        <f t="shared" si="6"/>
        <v>13.9</v>
      </c>
      <c r="I209" s="46">
        <v>37</v>
      </c>
      <c r="J209" s="46" t="s">
        <v>38</v>
      </c>
      <c r="K209" s="51" t="s">
        <v>57</v>
      </c>
    </row>
    <row r="210" spans="2:11" x14ac:dyDescent="0.2">
      <c r="B210" s="89">
        <f t="shared" si="7"/>
        <v>207</v>
      </c>
      <c r="C210" s="90">
        <v>42418</v>
      </c>
      <c r="D210" s="16">
        <v>0.86388888888888893</v>
      </c>
      <c r="E210" s="46">
        <v>16</v>
      </c>
      <c r="F210" s="46">
        <v>16.3</v>
      </c>
      <c r="G210" s="46">
        <v>17.600000000000001</v>
      </c>
      <c r="H210" s="103">
        <f t="shared" si="6"/>
        <v>16.633333333333333</v>
      </c>
      <c r="I210" s="46">
        <v>26</v>
      </c>
      <c r="J210" s="46" t="s">
        <v>38</v>
      </c>
      <c r="K210" s="51" t="s">
        <v>50</v>
      </c>
    </row>
    <row r="211" spans="2:11" x14ac:dyDescent="0.2">
      <c r="B211" s="89">
        <f t="shared" si="7"/>
        <v>208</v>
      </c>
      <c r="C211" s="90">
        <v>42419</v>
      </c>
      <c r="D211" s="16">
        <v>1.0416666666666666E-2</v>
      </c>
      <c r="E211" s="46">
        <v>17.100000000000001</v>
      </c>
      <c r="F211" s="46">
        <v>17.8</v>
      </c>
      <c r="G211" s="46">
        <v>18.399999999999999</v>
      </c>
      <c r="H211" s="103">
        <f t="shared" si="6"/>
        <v>17.766666666666669</v>
      </c>
      <c r="I211" s="46">
        <v>36</v>
      </c>
      <c r="J211" s="46" t="s">
        <v>38</v>
      </c>
      <c r="K211" s="51" t="s">
        <v>50</v>
      </c>
    </row>
    <row r="212" spans="2:11" x14ac:dyDescent="0.2">
      <c r="B212" s="89">
        <f t="shared" si="7"/>
        <v>209</v>
      </c>
      <c r="C212" s="90">
        <v>42419</v>
      </c>
      <c r="D212" s="16">
        <v>0.15625</v>
      </c>
      <c r="E212" s="46">
        <v>18.399999999999999</v>
      </c>
      <c r="F212" s="46">
        <v>19</v>
      </c>
      <c r="G212" s="46">
        <v>19.7</v>
      </c>
      <c r="H212" s="103">
        <f t="shared" si="6"/>
        <v>19.033333333333331</v>
      </c>
      <c r="I212" s="46">
        <v>24</v>
      </c>
      <c r="J212" s="46" t="s">
        <v>38</v>
      </c>
      <c r="K212" s="51" t="s">
        <v>50</v>
      </c>
    </row>
    <row r="213" spans="2:11" x14ac:dyDescent="0.2">
      <c r="B213" s="89">
        <f t="shared" si="7"/>
        <v>210</v>
      </c>
      <c r="C213" s="90">
        <v>42419</v>
      </c>
      <c r="D213" s="16">
        <v>0.47916666666666669</v>
      </c>
      <c r="E213" s="46">
        <v>11.2</v>
      </c>
      <c r="F213" s="46">
        <v>12.8</v>
      </c>
      <c r="G213" s="46">
        <v>13</v>
      </c>
      <c r="H213" s="103">
        <f t="shared" si="6"/>
        <v>12.333333333333334</v>
      </c>
      <c r="I213" s="46">
        <v>30</v>
      </c>
      <c r="J213" s="46" t="s">
        <v>38</v>
      </c>
      <c r="K213" s="51" t="s">
        <v>62</v>
      </c>
    </row>
    <row r="214" spans="2:11" x14ac:dyDescent="0.2">
      <c r="B214" s="89">
        <f t="shared" si="7"/>
        <v>211</v>
      </c>
      <c r="C214" s="90">
        <v>42419</v>
      </c>
      <c r="D214" s="16">
        <v>0.66319444444444442</v>
      </c>
      <c r="E214" s="46">
        <v>11.6</v>
      </c>
      <c r="F214" s="46">
        <v>10.9</v>
      </c>
      <c r="G214" s="46">
        <v>10.7</v>
      </c>
      <c r="H214" s="103">
        <f t="shared" si="6"/>
        <v>11.066666666666668</v>
      </c>
      <c r="I214" s="46">
        <v>37</v>
      </c>
      <c r="J214" s="46" t="s">
        <v>38</v>
      </c>
      <c r="K214" s="51" t="s">
        <v>57</v>
      </c>
    </row>
    <row r="215" spans="2:11" x14ac:dyDescent="0.2">
      <c r="B215" s="89">
        <f t="shared" si="7"/>
        <v>212</v>
      </c>
      <c r="C215" s="90">
        <v>42420</v>
      </c>
      <c r="D215" s="16">
        <v>1.0416666666666666E-2</v>
      </c>
      <c r="E215" s="46">
        <v>14</v>
      </c>
      <c r="F215" s="46">
        <v>14.5</v>
      </c>
      <c r="G215" s="46">
        <v>14.8</v>
      </c>
      <c r="H215" s="103">
        <f t="shared" ref="H215:H255" si="8">AVERAGE(E215:G215)</f>
        <v>14.433333333333332</v>
      </c>
      <c r="I215" s="46">
        <v>29</v>
      </c>
      <c r="J215" s="46" t="s">
        <v>39</v>
      </c>
      <c r="K215" s="51" t="s">
        <v>50</v>
      </c>
    </row>
    <row r="216" spans="2:11" x14ac:dyDescent="0.2">
      <c r="B216" s="89">
        <f t="shared" si="7"/>
        <v>213</v>
      </c>
      <c r="C216" s="90">
        <v>42420</v>
      </c>
      <c r="D216" s="16">
        <v>0.15625</v>
      </c>
      <c r="E216" s="46">
        <v>14.2</v>
      </c>
      <c r="F216" s="46">
        <v>15.1</v>
      </c>
      <c r="G216" s="46">
        <v>15.5</v>
      </c>
      <c r="H216" s="103">
        <f t="shared" si="8"/>
        <v>14.933333333333332</v>
      </c>
      <c r="I216" s="46">
        <v>22</v>
      </c>
      <c r="J216" s="46" t="s">
        <v>39</v>
      </c>
      <c r="K216" s="51" t="s">
        <v>50</v>
      </c>
    </row>
    <row r="217" spans="2:11" x14ac:dyDescent="0.2">
      <c r="B217" s="89">
        <f t="shared" si="7"/>
        <v>214</v>
      </c>
      <c r="C217" s="90">
        <v>42420</v>
      </c>
      <c r="D217" s="16">
        <v>0.47916666666666669</v>
      </c>
      <c r="E217" s="46">
        <v>15.1</v>
      </c>
      <c r="F217" s="46">
        <v>15.9</v>
      </c>
      <c r="G217" s="46">
        <v>16.399999999999999</v>
      </c>
      <c r="H217" s="103">
        <f t="shared" si="8"/>
        <v>15.799999999999999</v>
      </c>
      <c r="I217" s="46">
        <v>24</v>
      </c>
      <c r="J217" s="46" t="s">
        <v>39</v>
      </c>
      <c r="K217" s="51" t="s">
        <v>62</v>
      </c>
    </row>
    <row r="218" spans="2:11" x14ac:dyDescent="0.2">
      <c r="B218" s="89">
        <f t="shared" si="7"/>
        <v>215</v>
      </c>
      <c r="C218" s="90">
        <v>42420</v>
      </c>
      <c r="D218" s="16">
        <v>0.65625</v>
      </c>
      <c r="E218" s="46">
        <v>10.4</v>
      </c>
      <c r="F218" s="46">
        <v>11.3</v>
      </c>
      <c r="G218" s="46">
        <v>12.5</v>
      </c>
      <c r="H218" s="103">
        <f t="shared" si="8"/>
        <v>11.4</v>
      </c>
      <c r="I218" s="46">
        <v>26</v>
      </c>
      <c r="J218" s="46" t="s">
        <v>39</v>
      </c>
      <c r="K218" s="51" t="s">
        <v>62</v>
      </c>
    </row>
    <row r="219" spans="2:11" x14ac:dyDescent="0.2">
      <c r="B219" s="89">
        <f t="shared" si="7"/>
        <v>216</v>
      </c>
      <c r="C219" s="90">
        <v>42421</v>
      </c>
      <c r="D219" s="16">
        <v>1.3888888888888888E-2</v>
      </c>
      <c r="E219" s="46">
        <v>13.8</v>
      </c>
      <c r="F219" s="46">
        <v>14.6</v>
      </c>
      <c r="G219" s="46">
        <v>15.3</v>
      </c>
      <c r="H219" s="103">
        <f t="shared" si="8"/>
        <v>14.566666666666668</v>
      </c>
      <c r="I219" s="46">
        <v>26</v>
      </c>
      <c r="J219" s="46" t="s">
        <v>39</v>
      </c>
      <c r="K219" s="51" t="s">
        <v>50</v>
      </c>
    </row>
    <row r="220" spans="2:11" x14ac:dyDescent="0.2">
      <c r="B220" s="91">
        <f t="shared" si="7"/>
        <v>217</v>
      </c>
      <c r="C220" s="92">
        <v>42421</v>
      </c>
      <c r="D220" s="16">
        <v>0.47916666666666669</v>
      </c>
      <c r="E220" s="46">
        <v>15.9</v>
      </c>
      <c r="F220" s="46">
        <v>16.600000000000001</v>
      </c>
      <c r="G220" s="46">
        <v>17.2</v>
      </c>
      <c r="H220" s="103">
        <f t="shared" si="8"/>
        <v>16.566666666666666</v>
      </c>
      <c r="I220" s="46">
        <v>35</v>
      </c>
      <c r="J220" s="46" t="s">
        <v>39</v>
      </c>
      <c r="K220" s="51" t="s">
        <v>69</v>
      </c>
    </row>
    <row r="221" spans="2:11" x14ac:dyDescent="0.2">
      <c r="B221" s="91">
        <f t="shared" si="7"/>
        <v>218</v>
      </c>
      <c r="C221" s="92">
        <v>42421</v>
      </c>
      <c r="D221" s="16">
        <v>0.65416666666666667</v>
      </c>
      <c r="E221" s="46">
        <v>11.3</v>
      </c>
      <c r="F221" s="46">
        <v>14</v>
      </c>
      <c r="G221" s="46">
        <v>15.4</v>
      </c>
      <c r="H221" s="103">
        <f t="shared" si="8"/>
        <v>13.566666666666668</v>
      </c>
      <c r="I221" s="46">
        <v>29</v>
      </c>
      <c r="J221" s="46" t="s">
        <v>39</v>
      </c>
      <c r="K221" s="51" t="s">
        <v>62</v>
      </c>
    </row>
    <row r="222" spans="2:11" x14ac:dyDescent="0.2">
      <c r="B222" s="91">
        <f t="shared" si="7"/>
        <v>219</v>
      </c>
      <c r="C222" s="92">
        <v>42421</v>
      </c>
      <c r="D222" s="16">
        <v>0.86805555555555547</v>
      </c>
      <c r="E222" s="46">
        <v>14.7</v>
      </c>
      <c r="F222" s="46">
        <v>15.6</v>
      </c>
      <c r="G222" s="46">
        <v>17.899999999999999</v>
      </c>
      <c r="H222" s="103">
        <f t="shared" si="8"/>
        <v>16.066666666666666</v>
      </c>
      <c r="I222" s="46">
        <v>36</v>
      </c>
      <c r="J222" s="46" t="s">
        <v>38</v>
      </c>
      <c r="K222" s="51" t="s">
        <v>61</v>
      </c>
    </row>
    <row r="223" spans="2:11" x14ac:dyDescent="0.2">
      <c r="B223" s="61">
        <f t="shared" si="7"/>
        <v>220</v>
      </c>
      <c r="C223" s="62">
        <v>42422</v>
      </c>
      <c r="D223" s="125">
        <v>1.3888888888888888E-2</v>
      </c>
      <c r="E223" s="97">
        <v>10.5</v>
      </c>
      <c r="F223" s="97">
        <v>11.4</v>
      </c>
      <c r="G223" s="97">
        <v>14.9</v>
      </c>
      <c r="H223" s="103">
        <f t="shared" si="8"/>
        <v>12.266666666666666</v>
      </c>
      <c r="I223" s="97">
        <v>27</v>
      </c>
      <c r="J223" s="97" t="s">
        <v>39</v>
      </c>
      <c r="K223" s="98" t="s">
        <v>50</v>
      </c>
    </row>
    <row r="224" spans="2:11" x14ac:dyDescent="0.2">
      <c r="B224" s="93">
        <f t="shared" si="7"/>
        <v>221</v>
      </c>
      <c r="C224" s="94">
        <v>42422</v>
      </c>
      <c r="D224" s="16">
        <v>0.65625</v>
      </c>
      <c r="E224" s="46">
        <v>14.9</v>
      </c>
      <c r="F224" s="46">
        <v>16.7</v>
      </c>
      <c r="G224" s="46">
        <v>16.899999999999999</v>
      </c>
      <c r="H224" s="103">
        <f t="shared" si="8"/>
        <v>16.166666666666668</v>
      </c>
      <c r="I224" s="46">
        <v>26</v>
      </c>
      <c r="J224" s="46" t="s">
        <v>39</v>
      </c>
      <c r="K224" s="51" t="s">
        <v>61</v>
      </c>
    </row>
    <row r="225" spans="2:11" x14ac:dyDescent="0.2">
      <c r="B225" s="93">
        <f t="shared" si="7"/>
        <v>222</v>
      </c>
      <c r="C225" s="94">
        <v>42423</v>
      </c>
      <c r="D225" s="16">
        <v>1.3888888888888888E-2</v>
      </c>
      <c r="E225" s="46">
        <v>14.2</v>
      </c>
      <c r="F225" s="46">
        <v>14.7</v>
      </c>
      <c r="G225" s="46">
        <v>14.5</v>
      </c>
      <c r="H225" s="103">
        <f t="shared" si="8"/>
        <v>14.466666666666667</v>
      </c>
      <c r="I225" s="46">
        <v>24</v>
      </c>
      <c r="J225" s="46" t="s">
        <v>39</v>
      </c>
      <c r="K225" s="51" t="s">
        <v>50</v>
      </c>
    </row>
    <row r="226" spans="2:11" x14ac:dyDescent="0.2">
      <c r="B226" s="95">
        <f t="shared" si="7"/>
        <v>223</v>
      </c>
      <c r="C226" s="96">
        <v>42423</v>
      </c>
      <c r="D226" s="16">
        <v>0.47916666666666669</v>
      </c>
      <c r="E226" s="46">
        <v>13.9</v>
      </c>
      <c r="F226" s="46">
        <v>15.7</v>
      </c>
      <c r="G226" s="46">
        <v>16.3</v>
      </c>
      <c r="H226" s="103">
        <f t="shared" si="8"/>
        <v>15.300000000000002</v>
      </c>
      <c r="I226" s="46">
        <v>24</v>
      </c>
      <c r="J226" s="46" t="s">
        <v>38</v>
      </c>
      <c r="K226" s="51" t="s">
        <v>62</v>
      </c>
    </row>
    <row r="227" spans="2:11" x14ac:dyDescent="0.2">
      <c r="B227" s="95">
        <f t="shared" si="7"/>
        <v>224</v>
      </c>
      <c r="C227" s="96">
        <v>42423</v>
      </c>
      <c r="D227" s="16">
        <v>0.65625</v>
      </c>
      <c r="E227" s="46">
        <v>9.3000000000000007</v>
      </c>
      <c r="F227" s="46">
        <v>11.3</v>
      </c>
      <c r="G227" s="46">
        <v>12.8</v>
      </c>
      <c r="H227" s="103">
        <f t="shared" si="8"/>
        <v>11.133333333333335</v>
      </c>
      <c r="I227" s="46">
        <v>22</v>
      </c>
      <c r="J227" s="46" t="s">
        <v>38</v>
      </c>
      <c r="K227" s="51" t="s">
        <v>70</v>
      </c>
    </row>
    <row r="228" spans="2:11" x14ac:dyDescent="0.2">
      <c r="B228" s="95">
        <f t="shared" si="7"/>
        <v>225</v>
      </c>
      <c r="C228" s="96">
        <v>42423</v>
      </c>
      <c r="D228" s="16">
        <v>0.80208333333333337</v>
      </c>
      <c r="E228" s="46">
        <v>13.4</v>
      </c>
      <c r="F228" s="46">
        <v>15.6</v>
      </c>
      <c r="G228" s="46">
        <v>17.5</v>
      </c>
      <c r="H228" s="103">
        <f t="shared" si="8"/>
        <v>15.5</v>
      </c>
      <c r="I228" s="46">
        <v>27</v>
      </c>
      <c r="J228" s="46" t="s">
        <v>38</v>
      </c>
      <c r="K228" s="51" t="s">
        <v>57</v>
      </c>
    </row>
    <row r="229" spans="2:11" x14ac:dyDescent="0.2">
      <c r="B229" s="95">
        <f t="shared" si="7"/>
        <v>226</v>
      </c>
      <c r="C229" s="96">
        <v>42424</v>
      </c>
      <c r="D229" s="16">
        <v>1.3888888888888888E-2</v>
      </c>
      <c r="E229" s="46">
        <v>14.1</v>
      </c>
      <c r="F229" s="46">
        <v>14.5</v>
      </c>
      <c r="G229" s="46">
        <v>17</v>
      </c>
      <c r="H229" s="103">
        <f t="shared" si="8"/>
        <v>15.200000000000001</v>
      </c>
      <c r="I229" s="46">
        <v>22</v>
      </c>
      <c r="J229" s="46" t="s">
        <v>38</v>
      </c>
      <c r="K229" s="51" t="s">
        <v>50</v>
      </c>
    </row>
    <row r="230" spans="2:11" x14ac:dyDescent="0.2">
      <c r="B230" s="95">
        <f t="shared" si="7"/>
        <v>227</v>
      </c>
      <c r="C230" s="96">
        <v>42424</v>
      </c>
      <c r="D230" s="16">
        <v>0.15486111111111112</v>
      </c>
      <c r="E230" s="46">
        <v>15.1</v>
      </c>
      <c r="F230" s="46">
        <v>15</v>
      </c>
      <c r="G230" s="46">
        <v>17.600000000000001</v>
      </c>
      <c r="H230" s="103">
        <f t="shared" si="8"/>
        <v>15.9</v>
      </c>
      <c r="I230" s="46">
        <v>33</v>
      </c>
      <c r="J230" s="46" t="s">
        <v>39</v>
      </c>
      <c r="K230" s="51" t="s">
        <v>50</v>
      </c>
    </row>
    <row r="231" spans="2:11" x14ac:dyDescent="0.2">
      <c r="B231" s="99">
        <f t="shared" si="7"/>
        <v>228</v>
      </c>
      <c r="C231" s="100">
        <v>42424</v>
      </c>
      <c r="D231" s="16">
        <v>0.4375</v>
      </c>
      <c r="E231" s="46">
        <v>16.8</v>
      </c>
      <c r="F231" s="46">
        <v>16.5</v>
      </c>
      <c r="G231" s="46">
        <v>17.399999999999999</v>
      </c>
      <c r="H231" s="103">
        <f t="shared" si="8"/>
        <v>16.899999999999999</v>
      </c>
      <c r="I231" s="46">
        <v>30</v>
      </c>
      <c r="J231" s="46" t="s">
        <v>38</v>
      </c>
      <c r="K231" s="51" t="s">
        <v>62</v>
      </c>
    </row>
    <row r="232" spans="2:11" x14ac:dyDescent="0.2">
      <c r="B232" s="99">
        <f t="shared" si="7"/>
        <v>229</v>
      </c>
      <c r="C232" s="100">
        <v>42424</v>
      </c>
      <c r="D232" s="16">
        <v>0.61458333333333337</v>
      </c>
      <c r="E232" s="46">
        <v>13.2</v>
      </c>
      <c r="F232" s="46">
        <v>13.7</v>
      </c>
      <c r="G232" s="46">
        <v>14.5</v>
      </c>
      <c r="H232" s="103">
        <f t="shared" si="8"/>
        <v>13.799999999999999</v>
      </c>
      <c r="I232" s="46">
        <v>30</v>
      </c>
      <c r="J232" s="46" t="s">
        <v>39</v>
      </c>
      <c r="K232" s="51" t="s">
        <v>57</v>
      </c>
    </row>
    <row r="233" spans="2:11" x14ac:dyDescent="0.2">
      <c r="B233" s="99">
        <f t="shared" si="7"/>
        <v>230</v>
      </c>
      <c r="C233" s="100">
        <v>42424</v>
      </c>
      <c r="D233" s="16">
        <v>0.76041666666666663</v>
      </c>
      <c r="E233" s="46">
        <v>10.1</v>
      </c>
      <c r="F233" s="46">
        <v>12.5</v>
      </c>
      <c r="G233" s="46">
        <v>11.4</v>
      </c>
      <c r="H233" s="103">
        <f t="shared" si="8"/>
        <v>11.333333333333334</v>
      </c>
      <c r="I233" s="46">
        <v>26</v>
      </c>
      <c r="J233" s="46" t="s">
        <v>46</v>
      </c>
      <c r="K233" s="51" t="s">
        <v>62</v>
      </c>
    </row>
    <row r="234" spans="2:11" x14ac:dyDescent="0.2">
      <c r="B234" s="99">
        <f t="shared" si="7"/>
        <v>231</v>
      </c>
      <c r="C234" s="100">
        <v>42424</v>
      </c>
      <c r="D234" s="16">
        <v>0.96875</v>
      </c>
      <c r="E234" s="46">
        <v>15.1</v>
      </c>
      <c r="F234" s="46">
        <v>16.100000000000001</v>
      </c>
      <c r="G234" s="46">
        <v>17.100000000000001</v>
      </c>
      <c r="H234" s="103">
        <f t="shared" si="8"/>
        <v>16.100000000000001</v>
      </c>
      <c r="I234" s="46">
        <v>42</v>
      </c>
      <c r="J234" s="46" t="s">
        <v>38</v>
      </c>
      <c r="K234" s="51" t="s">
        <v>50</v>
      </c>
    </row>
    <row r="235" spans="2:11" x14ac:dyDescent="0.2">
      <c r="B235" s="99">
        <f t="shared" si="7"/>
        <v>232</v>
      </c>
      <c r="C235" s="100">
        <v>42425</v>
      </c>
      <c r="D235" s="16">
        <v>0.11319444444444444</v>
      </c>
      <c r="E235" s="46">
        <v>15.9</v>
      </c>
      <c r="F235" s="46">
        <v>17.100000000000001</v>
      </c>
      <c r="G235" s="46">
        <v>17.3</v>
      </c>
      <c r="H235" s="103">
        <f t="shared" si="8"/>
        <v>16.766666666666666</v>
      </c>
      <c r="I235" s="46">
        <v>28</v>
      </c>
      <c r="J235" s="46" t="s">
        <v>39</v>
      </c>
      <c r="K235" s="51" t="s">
        <v>50</v>
      </c>
    </row>
    <row r="236" spans="2:11" x14ac:dyDescent="0.2">
      <c r="B236" s="101">
        <f t="shared" si="7"/>
        <v>233</v>
      </c>
      <c r="C236" s="102">
        <v>42425</v>
      </c>
      <c r="D236" s="16">
        <v>0.44791666666666669</v>
      </c>
      <c r="E236" s="46">
        <v>16</v>
      </c>
      <c r="F236" s="46">
        <v>16.5</v>
      </c>
      <c r="G236" s="46">
        <v>17.600000000000001</v>
      </c>
      <c r="H236" s="103">
        <f t="shared" si="8"/>
        <v>16.7</v>
      </c>
      <c r="I236" s="46">
        <v>32</v>
      </c>
      <c r="J236" s="46" t="s">
        <v>38</v>
      </c>
      <c r="K236" s="51" t="s">
        <v>62</v>
      </c>
    </row>
    <row r="237" spans="2:11" x14ac:dyDescent="0.2">
      <c r="B237" s="101">
        <f t="shared" si="7"/>
        <v>234</v>
      </c>
      <c r="C237" s="102">
        <v>42425</v>
      </c>
      <c r="D237" s="16">
        <v>0.61458333333333337</v>
      </c>
      <c r="E237" s="46">
        <v>11.6</v>
      </c>
      <c r="F237" s="46">
        <v>12.8</v>
      </c>
      <c r="G237" s="46">
        <v>13</v>
      </c>
      <c r="H237" s="103">
        <f t="shared" si="8"/>
        <v>12.466666666666667</v>
      </c>
      <c r="I237" s="46">
        <v>44</v>
      </c>
      <c r="J237" s="46" t="s">
        <v>39</v>
      </c>
      <c r="K237" s="51" t="s">
        <v>57</v>
      </c>
    </row>
    <row r="238" spans="2:11" x14ac:dyDescent="0.2">
      <c r="B238" s="101">
        <f t="shared" si="7"/>
        <v>235</v>
      </c>
      <c r="C238" s="102">
        <v>42425</v>
      </c>
      <c r="D238" s="16">
        <v>0.76041666666666663</v>
      </c>
      <c r="E238" s="46">
        <v>11.6</v>
      </c>
      <c r="F238" s="46">
        <v>12.1</v>
      </c>
      <c r="G238" s="46">
        <v>12.6</v>
      </c>
      <c r="H238" s="103">
        <f t="shared" si="8"/>
        <v>12.1</v>
      </c>
      <c r="I238" s="46">
        <v>37</v>
      </c>
      <c r="J238" s="46" t="s">
        <v>71</v>
      </c>
      <c r="K238" s="51" t="s">
        <v>62</v>
      </c>
    </row>
    <row r="239" spans="2:11" x14ac:dyDescent="0.2">
      <c r="B239" s="101">
        <f t="shared" si="7"/>
        <v>236</v>
      </c>
      <c r="C239" s="102">
        <v>42425</v>
      </c>
      <c r="D239" s="16">
        <v>0.95138888888888884</v>
      </c>
      <c r="E239" s="46">
        <v>10.199999999999999</v>
      </c>
      <c r="F239" s="46">
        <v>11.4</v>
      </c>
      <c r="G239" s="46">
        <v>15.3</v>
      </c>
      <c r="H239" s="103">
        <f t="shared" si="8"/>
        <v>12.300000000000002</v>
      </c>
      <c r="I239" s="46">
        <v>28</v>
      </c>
      <c r="J239" s="46" t="s">
        <v>38</v>
      </c>
      <c r="K239" s="51" t="s">
        <v>50</v>
      </c>
    </row>
    <row r="240" spans="2:11" x14ac:dyDescent="0.2">
      <c r="B240" s="101">
        <f t="shared" si="7"/>
        <v>237</v>
      </c>
      <c r="C240" s="102">
        <v>42426</v>
      </c>
      <c r="D240" s="16">
        <v>0.12152777777777778</v>
      </c>
      <c r="E240" s="46">
        <v>10.4</v>
      </c>
      <c r="F240" s="46">
        <v>12.2</v>
      </c>
      <c r="G240" s="46">
        <v>12.5</v>
      </c>
      <c r="H240" s="103">
        <f t="shared" si="8"/>
        <v>11.700000000000001</v>
      </c>
      <c r="I240" s="46">
        <v>34</v>
      </c>
      <c r="J240" s="46" t="s">
        <v>39</v>
      </c>
      <c r="K240" s="51" t="s">
        <v>50</v>
      </c>
    </row>
    <row r="241" spans="2:11" x14ac:dyDescent="0.2">
      <c r="B241" s="104">
        <f t="shared" si="7"/>
        <v>238</v>
      </c>
      <c r="C241" s="105">
        <v>42426</v>
      </c>
      <c r="D241" s="16">
        <v>0.4375</v>
      </c>
      <c r="E241" s="46">
        <v>12.9</v>
      </c>
      <c r="F241" s="46">
        <v>11.6</v>
      </c>
      <c r="G241" s="46">
        <v>12.9</v>
      </c>
      <c r="H241" s="103">
        <f t="shared" si="8"/>
        <v>12.466666666666667</v>
      </c>
      <c r="I241" s="46">
        <v>31</v>
      </c>
      <c r="J241" s="46" t="s">
        <v>38</v>
      </c>
      <c r="K241" s="51" t="s">
        <v>62</v>
      </c>
    </row>
    <row r="242" spans="2:11" x14ac:dyDescent="0.2">
      <c r="B242" s="104">
        <f t="shared" si="7"/>
        <v>239</v>
      </c>
      <c r="C242" s="105">
        <v>42426</v>
      </c>
      <c r="D242" s="16">
        <v>0.61111111111111105</v>
      </c>
      <c r="E242" s="46">
        <v>13.7</v>
      </c>
      <c r="F242" s="46">
        <v>15.9</v>
      </c>
      <c r="G242" s="46">
        <v>17.600000000000001</v>
      </c>
      <c r="H242" s="103">
        <f t="shared" si="8"/>
        <v>15.733333333333334</v>
      </c>
      <c r="I242" s="46">
        <v>38</v>
      </c>
      <c r="J242" s="46" t="s">
        <v>39</v>
      </c>
      <c r="K242" s="51" t="s">
        <v>57</v>
      </c>
    </row>
    <row r="243" spans="2:11" x14ac:dyDescent="0.2">
      <c r="B243" s="104">
        <f t="shared" si="7"/>
        <v>240</v>
      </c>
      <c r="C243" s="105">
        <v>42426</v>
      </c>
      <c r="D243" s="16">
        <v>0.76041666666666663</v>
      </c>
      <c r="E243" s="46">
        <v>12.8</v>
      </c>
      <c r="F243" s="46">
        <v>13.9</v>
      </c>
      <c r="G243" s="46">
        <v>15.6</v>
      </c>
      <c r="H243" s="103">
        <f t="shared" si="8"/>
        <v>14.100000000000001</v>
      </c>
      <c r="I243" s="46">
        <v>35</v>
      </c>
      <c r="J243" s="46" t="s">
        <v>39</v>
      </c>
      <c r="K243" s="51" t="s">
        <v>57</v>
      </c>
    </row>
    <row r="244" spans="2:11" x14ac:dyDescent="0.2">
      <c r="B244" s="104">
        <f t="shared" si="7"/>
        <v>241</v>
      </c>
      <c r="C244" s="105">
        <v>42426</v>
      </c>
      <c r="D244" s="16">
        <v>0.97222222222222221</v>
      </c>
      <c r="E244" s="46">
        <v>12.1</v>
      </c>
      <c r="F244" s="46">
        <v>12.4</v>
      </c>
      <c r="G244" s="46">
        <v>13.1</v>
      </c>
      <c r="H244" s="103">
        <f t="shared" si="8"/>
        <v>12.533333333333333</v>
      </c>
      <c r="I244" s="46">
        <v>23</v>
      </c>
      <c r="J244" s="46" t="s">
        <v>38</v>
      </c>
      <c r="K244" s="51" t="s">
        <v>50</v>
      </c>
    </row>
    <row r="245" spans="2:11" x14ac:dyDescent="0.2">
      <c r="B245" s="104">
        <f t="shared" si="7"/>
        <v>242</v>
      </c>
      <c r="C245" s="105">
        <v>42427</v>
      </c>
      <c r="D245" s="16">
        <v>0.11805555555555557</v>
      </c>
      <c r="E245" s="46">
        <v>7.4</v>
      </c>
      <c r="F245" s="46">
        <v>9.1</v>
      </c>
      <c r="G245" s="46">
        <v>9.4</v>
      </c>
      <c r="H245" s="103">
        <f t="shared" si="8"/>
        <v>8.6333333333333329</v>
      </c>
      <c r="I245" s="46">
        <v>30</v>
      </c>
      <c r="J245" s="46" t="s">
        <v>39</v>
      </c>
      <c r="K245" s="51" t="s">
        <v>50</v>
      </c>
    </row>
    <row r="246" spans="2:11" x14ac:dyDescent="0.2">
      <c r="B246" s="104">
        <f t="shared" si="7"/>
        <v>243</v>
      </c>
      <c r="C246" s="105">
        <v>42427</v>
      </c>
      <c r="D246" s="16">
        <v>0.40277777777777773</v>
      </c>
      <c r="E246" s="46">
        <v>11.1</v>
      </c>
      <c r="F246" s="46">
        <v>13.2</v>
      </c>
      <c r="G246" s="46">
        <v>15</v>
      </c>
      <c r="H246" s="103">
        <f t="shared" si="8"/>
        <v>13.1</v>
      </c>
      <c r="I246" s="46">
        <v>37</v>
      </c>
      <c r="J246" s="46" t="s">
        <v>38</v>
      </c>
      <c r="K246" s="51" t="s">
        <v>57</v>
      </c>
    </row>
    <row r="247" spans="2:11" x14ac:dyDescent="0.2">
      <c r="B247" s="104">
        <f t="shared" si="7"/>
        <v>244</v>
      </c>
      <c r="C247" s="105">
        <v>42427</v>
      </c>
      <c r="D247" s="16">
        <v>0.67013888888888884</v>
      </c>
      <c r="E247" s="46">
        <v>8.9</v>
      </c>
      <c r="F247" s="46">
        <v>9.3000000000000007</v>
      </c>
      <c r="G247" s="46">
        <v>12.1</v>
      </c>
      <c r="H247" s="103">
        <f t="shared" si="8"/>
        <v>10.100000000000001</v>
      </c>
      <c r="I247" s="46">
        <v>26</v>
      </c>
      <c r="J247" s="46" t="s">
        <v>39</v>
      </c>
      <c r="K247" s="51" t="s">
        <v>62</v>
      </c>
    </row>
    <row r="248" spans="2:11" x14ac:dyDescent="0.2">
      <c r="B248" s="104">
        <f t="shared" si="7"/>
        <v>245</v>
      </c>
      <c r="C248" s="105">
        <v>42427</v>
      </c>
      <c r="D248" s="16">
        <v>0.76041666666666663</v>
      </c>
      <c r="E248" s="46">
        <v>11.6</v>
      </c>
      <c r="F248" s="46">
        <v>12.9</v>
      </c>
      <c r="G248" s="46">
        <v>13.5</v>
      </c>
      <c r="H248" s="103">
        <f t="shared" si="8"/>
        <v>12.666666666666666</v>
      </c>
      <c r="I248" s="46">
        <v>29</v>
      </c>
      <c r="J248" s="46" t="s">
        <v>39</v>
      </c>
      <c r="K248" s="51" t="s">
        <v>62</v>
      </c>
    </row>
    <row r="249" spans="2:11" x14ac:dyDescent="0.2">
      <c r="B249" s="104">
        <f t="shared" si="7"/>
        <v>246</v>
      </c>
      <c r="C249" s="105">
        <v>42427</v>
      </c>
      <c r="D249" s="16">
        <v>0.97222222222222221</v>
      </c>
      <c r="E249" s="46">
        <v>12</v>
      </c>
      <c r="F249" s="46">
        <v>12.5</v>
      </c>
      <c r="G249" s="46">
        <v>13.3</v>
      </c>
      <c r="H249" s="103">
        <f t="shared" si="8"/>
        <v>12.6</v>
      </c>
      <c r="I249" s="46">
        <v>45</v>
      </c>
      <c r="J249" s="46" t="s">
        <v>38</v>
      </c>
      <c r="K249" s="51" t="s">
        <v>50</v>
      </c>
    </row>
    <row r="250" spans="2:11" x14ac:dyDescent="0.2">
      <c r="B250" s="104">
        <f t="shared" si="7"/>
        <v>247</v>
      </c>
      <c r="C250" s="105">
        <v>42428</v>
      </c>
      <c r="D250" s="16">
        <v>0.11805555555555557</v>
      </c>
      <c r="E250" s="46">
        <v>11.9</v>
      </c>
      <c r="F250" s="46">
        <v>12.1</v>
      </c>
      <c r="G250" s="46">
        <v>12.9</v>
      </c>
      <c r="H250" s="103">
        <f t="shared" si="8"/>
        <v>12.299999999999999</v>
      </c>
      <c r="I250" s="46">
        <v>35</v>
      </c>
      <c r="J250" s="46" t="s">
        <v>39</v>
      </c>
      <c r="K250" s="51" t="s">
        <v>50</v>
      </c>
    </row>
    <row r="251" spans="2:11" x14ac:dyDescent="0.2">
      <c r="B251" s="104">
        <f t="shared" si="7"/>
        <v>248</v>
      </c>
      <c r="C251" s="105">
        <v>42428</v>
      </c>
      <c r="D251" s="16">
        <v>0.38194444444444442</v>
      </c>
      <c r="E251" s="46">
        <v>10.199999999999999</v>
      </c>
      <c r="F251" s="46">
        <v>13.1</v>
      </c>
      <c r="G251" s="46">
        <v>14</v>
      </c>
      <c r="H251" s="103">
        <f t="shared" si="8"/>
        <v>12.433333333333332</v>
      </c>
      <c r="I251" s="46">
        <v>32</v>
      </c>
      <c r="J251" s="46" t="s">
        <v>39</v>
      </c>
      <c r="K251" s="51" t="s">
        <v>72</v>
      </c>
    </row>
    <row r="252" spans="2:11" x14ac:dyDescent="0.2">
      <c r="B252" s="104">
        <f t="shared" si="7"/>
        <v>249</v>
      </c>
      <c r="C252" s="105">
        <v>42428</v>
      </c>
      <c r="D252" s="16">
        <v>0.57291666666666663</v>
      </c>
      <c r="E252" s="46">
        <v>11.2</v>
      </c>
      <c r="F252" s="46">
        <v>16</v>
      </c>
      <c r="G252" s="46">
        <v>18.100000000000001</v>
      </c>
      <c r="H252" s="103">
        <f t="shared" si="8"/>
        <v>15.1</v>
      </c>
      <c r="I252" s="46">
        <v>29</v>
      </c>
      <c r="J252" s="46" t="s">
        <v>39</v>
      </c>
      <c r="K252" s="51" t="s">
        <v>57</v>
      </c>
    </row>
    <row r="253" spans="2:11" x14ac:dyDescent="0.2">
      <c r="B253" s="104">
        <f t="shared" si="7"/>
        <v>250</v>
      </c>
      <c r="C253" s="105">
        <v>42428</v>
      </c>
      <c r="D253" s="16">
        <v>0.73958333333333337</v>
      </c>
      <c r="E253" s="46">
        <v>15.7</v>
      </c>
      <c r="F253" s="46">
        <v>16.5</v>
      </c>
      <c r="G253" s="46">
        <v>17.2</v>
      </c>
      <c r="H253" s="103">
        <f t="shared" si="8"/>
        <v>16.466666666666669</v>
      </c>
      <c r="I253" s="46">
        <v>23</v>
      </c>
      <c r="J253" s="46" t="s">
        <v>39</v>
      </c>
      <c r="K253" s="51" t="s">
        <v>69</v>
      </c>
    </row>
    <row r="254" spans="2:11" x14ac:dyDescent="0.2">
      <c r="B254" s="104">
        <f t="shared" si="7"/>
        <v>251</v>
      </c>
      <c r="C254" s="105">
        <v>42428</v>
      </c>
      <c r="D254" s="16">
        <v>0.9784722222222223</v>
      </c>
      <c r="E254" s="46">
        <v>11.8</v>
      </c>
      <c r="F254" s="46">
        <v>12.3</v>
      </c>
      <c r="G254" s="46">
        <v>13.1</v>
      </c>
      <c r="H254" s="103">
        <f t="shared" si="8"/>
        <v>12.4</v>
      </c>
      <c r="I254" s="46">
        <v>37</v>
      </c>
      <c r="J254" s="46" t="s">
        <v>38</v>
      </c>
      <c r="K254" s="51" t="s">
        <v>50</v>
      </c>
    </row>
    <row r="255" spans="2:11" x14ac:dyDescent="0.2">
      <c r="B255" s="104">
        <f t="shared" si="7"/>
        <v>252</v>
      </c>
      <c r="C255" s="105">
        <v>42429</v>
      </c>
      <c r="D255" s="16">
        <v>0.11458333333333333</v>
      </c>
      <c r="E255" s="46">
        <v>9.6</v>
      </c>
      <c r="F255" s="46">
        <v>10.3</v>
      </c>
      <c r="G255" s="46">
        <v>10.7</v>
      </c>
      <c r="H255" s="103">
        <f t="shared" si="8"/>
        <v>10.199999999999999</v>
      </c>
      <c r="I255" s="46">
        <v>29</v>
      </c>
      <c r="J255" s="46" t="s">
        <v>38</v>
      </c>
      <c r="K255" s="51" t="s">
        <v>61</v>
      </c>
    </row>
    <row r="256" spans="2:11" x14ac:dyDescent="0.2">
      <c r="B256" s="106">
        <f t="shared" si="7"/>
        <v>253</v>
      </c>
      <c r="C256" s="107">
        <v>42429</v>
      </c>
      <c r="D256" s="16">
        <v>0.48958333333333331</v>
      </c>
      <c r="E256" s="46">
        <v>15.8</v>
      </c>
      <c r="F256" s="46">
        <v>16.2</v>
      </c>
      <c r="G256" s="46">
        <v>17.5</v>
      </c>
      <c r="H256" s="103">
        <f>AVERAGE(E256:G256)</f>
        <v>16.5</v>
      </c>
      <c r="I256" s="46">
        <v>36</v>
      </c>
      <c r="J256" s="46" t="s">
        <v>38</v>
      </c>
      <c r="K256" s="51" t="s">
        <v>57</v>
      </c>
    </row>
    <row r="257" spans="2:11" x14ac:dyDescent="0.2">
      <c r="B257" s="106">
        <f t="shared" si="7"/>
        <v>254</v>
      </c>
      <c r="C257" s="107">
        <v>42429</v>
      </c>
      <c r="D257" s="16">
        <v>0.61458333333333337</v>
      </c>
      <c r="E257" s="46">
        <v>14.8</v>
      </c>
      <c r="F257" s="46">
        <v>15.9</v>
      </c>
      <c r="G257" s="46">
        <v>18.5</v>
      </c>
      <c r="H257" s="103">
        <f>AVERAGE(E257:G257)</f>
        <v>16.400000000000002</v>
      </c>
      <c r="I257" s="46">
        <v>39</v>
      </c>
      <c r="J257" s="46" t="s">
        <v>39</v>
      </c>
      <c r="K257" s="51" t="s">
        <v>62</v>
      </c>
    </row>
    <row r="258" spans="2:11" x14ac:dyDescent="0.2">
      <c r="B258" s="106">
        <f t="shared" si="7"/>
        <v>255</v>
      </c>
      <c r="C258" s="107">
        <v>42429</v>
      </c>
      <c r="D258" s="16">
        <v>0.76041666666666663</v>
      </c>
      <c r="E258" s="46">
        <v>15.8</v>
      </c>
      <c r="F258" s="46">
        <v>16.7</v>
      </c>
      <c r="G258" s="46">
        <v>17.600000000000001</v>
      </c>
      <c r="H258" s="103">
        <f>AVERAGE(E258:G258)</f>
        <v>16.7</v>
      </c>
      <c r="I258" s="46">
        <v>33</v>
      </c>
      <c r="J258" s="46" t="s">
        <v>39</v>
      </c>
      <c r="K258" s="51" t="s">
        <v>62</v>
      </c>
    </row>
    <row r="259" spans="2:11" x14ac:dyDescent="0.2">
      <c r="B259" s="106">
        <f t="shared" si="7"/>
        <v>256</v>
      </c>
      <c r="C259" s="107">
        <v>42429</v>
      </c>
      <c r="D259" s="16">
        <v>0.97777777777777775</v>
      </c>
      <c r="E259" s="46">
        <v>13.6</v>
      </c>
      <c r="F259" s="46">
        <v>14.4</v>
      </c>
      <c r="G259" s="46">
        <v>15.1</v>
      </c>
      <c r="H259" s="103">
        <f>AVERAGE(E259:G259)</f>
        <v>14.366666666666667</v>
      </c>
      <c r="I259" s="46">
        <v>25</v>
      </c>
      <c r="J259" s="46" t="s">
        <v>38</v>
      </c>
      <c r="K259" s="51" t="s">
        <v>50</v>
      </c>
    </row>
    <row r="260" spans="2:11" x14ac:dyDescent="0.2">
      <c r="B260" s="106">
        <f t="shared" si="7"/>
        <v>257</v>
      </c>
      <c r="C260" s="107">
        <v>42430</v>
      </c>
      <c r="D260" s="16">
        <v>0.11458333333333333</v>
      </c>
      <c r="E260" s="46">
        <v>12.7</v>
      </c>
      <c r="F260" s="46">
        <v>13.2</v>
      </c>
      <c r="G260" s="46">
        <v>15.8</v>
      </c>
      <c r="H260" s="103">
        <f>AVERAGE(E260:G260)</f>
        <v>13.9</v>
      </c>
      <c r="I260" s="46">
        <v>22</v>
      </c>
      <c r="J260" s="46" t="s">
        <v>39</v>
      </c>
      <c r="K260" s="51" t="s">
        <v>50</v>
      </c>
    </row>
    <row r="261" spans="2:11" x14ac:dyDescent="0.2">
      <c r="B261" s="106">
        <f t="shared" si="7"/>
        <v>258</v>
      </c>
      <c r="C261" s="107">
        <v>42430</v>
      </c>
      <c r="D261" s="16">
        <v>0.48958333333333331</v>
      </c>
      <c r="E261" s="46">
        <v>15.4</v>
      </c>
      <c r="F261" s="46">
        <v>16.399999999999999</v>
      </c>
      <c r="G261" s="46">
        <v>17.2</v>
      </c>
      <c r="H261" s="103">
        <f t="shared" ref="H261:H269" si="9">AVERAGE(E261:G261)</f>
        <v>16.333333333333332</v>
      </c>
      <c r="I261" s="46">
        <v>34</v>
      </c>
      <c r="J261" s="46" t="s">
        <v>39</v>
      </c>
      <c r="K261" s="51" t="s">
        <v>57</v>
      </c>
    </row>
    <row r="262" spans="2:11" x14ac:dyDescent="0.2">
      <c r="B262" s="106">
        <f t="shared" si="7"/>
        <v>259</v>
      </c>
      <c r="C262" s="107">
        <v>42430</v>
      </c>
      <c r="D262" s="16">
        <v>0.61458333333333337</v>
      </c>
      <c r="E262" s="46">
        <v>13.5</v>
      </c>
      <c r="F262" s="46">
        <v>16.8</v>
      </c>
      <c r="G262" s="46">
        <v>17.899999999999999</v>
      </c>
      <c r="H262" s="103">
        <f t="shared" si="9"/>
        <v>16.066666666666666</v>
      </c>
      <c r="I262" s="46">
        <v>35</v>
      </c>
      <c r="J262" s="46" t="s">
        <v>39</v>
      </c>
      <c r="K262" s="51" t="s">
        <v>62</v>
      </c>
    </row>
    <row r="263" spans="2:11" x14ac:dyDescent="0.2">
      <c r="B263" s="106">
        <f t="shared" ref="B263:B326" si="10">B262+1</f>
        <v>260</v>
      </c>
      <c r="C263" s="107">
        <v>42430</v>
      </c>
      <c r="D263" s="16">
        <v>0.76041666666666663</v>
      </c>
      <c r="E263" s="46">
        <v>15.6</v>
      </c>
      <c r="F263" s="46">
        <v>16.399999999999999</v>
      </c>
      <c r="G263" s="46">
        <v>17.8</v>
      </c>
      <c r="H263" s="103">
        <f t="shared" si="9"/>
        <v>16.599999999999998</v>
      </c>
      <c r="I263" s="46">
        <v>34</v>
      </c>
      <c r="J263" s="46" t="s">
        <v>39</v>
      </c>
      <c r="K263" s="51" t="s">
        <v>62</v>
      </c>
    </row>
    <row r="264" spans="2:11" x14ac:dyDescent="0.2">
      <c r="B264" s="106">
        <f t="shared" si="10"/>
        <v>261</v>
      </c>
      <c r="C264" s="107">
        <v>42430</v>
      </c>
      <c r="D264" s="16">
        <v>0.97777777777777775</v>
      </c>
      <c r="E264" s="46">
        <v>16.7</v>
      </c>
      <c r="F264" s="46">
        <v>18.5</v>
      </c>
      <c r="G264" s="46">
        <v>18.8</v>
      </c>
      <c r="H264" s="103">
        <f t="shared" si="9"/>
        <v>18</v>
      </c>
      <c r="I264" s="46">
        <v>20</v>
      </c>
      <c r="J264" s="46" t="s">
        <v>38</v>
      </c>
      <c r="K264" s="51" t="s">
        <v>50</v>
      </c>
    </row>
    <row r="265" spans="2:11" x14ac:dyDescent="0.2">
      <c r="B265" s="110">
        <f t="shared" si="10"/>
        <v>262</v>
      </c>
      <c r="C265" s="111">
        <v>42431</v>
      </c>
      <c r="D265" s="16">
        <v>0.11666666666666665</v>
      </c>
      <c r="E265" s="46">
        <v>17.7</v>
      </c>
      <c r="F265" s="46">
        <v>18.2</v>
      </c>
      <c r="G265" s="46">
        <v>19.5</v>
      </c>
      <c r="H265" s="103">
        <f t="shared" si="9"/>
        <v>18.466666666666665</v>
      </c>
      <c r="I265" s="46">
        <v>27</v>
      </c>
      <c r="J265" s="46" t="s">
        <v>38</v>
      </c>
      <c r="K265" s="51" t="s">
        <v>75</v>
      </c>
    </row>
    <row r="266" spans="2:11" x14ac:dyDescent="0.2">
      <c r="B266" s="122">
        <f t="shared" si="10"/>
        <v>263</v>
      </c>
      <c r="C266" s="123">
        <v>42431</v>
      </c>
      <c r="D266" s="16">
        <v>0.60416666666666663</v>
      </c>
      <c r="E266" s="122">
        <v>12.7</v>
      </c>
      <c r="F266" s="122">
        <v>16.3</v>
      </c>
      <c r="G266" s="122">
        <v>17.3</v>
      </c>
      <c r="H266" s="103">
        <f t="shared" si="9"/>
        <v>15.433333333333332</v>
      </c>
      <c r="I266" s="122">
        <v>26</v>
      </c>
      <c r="J266" s="122" t="s">
        <v>38</v>
      </c>
      <c r="K266" s="122" t="s">
        <v>57</v>
      </c>
    </row>
    <row r="267" spans="2:11" x14ac:dyDescent="0.2">
      <c r="B267" s="122">
        <f t="shared" si="10"/>
        <v>264</v>
      </c>
      <c r="C267" s="123">
        <v>42431</v>
      </c>
      <c r="D267" s="16">
        <v>0.76041666666666663</v>
      </c>
      <c r="E267" s="122">
        <v>15.3</v>
      </c>
      <c r="F267" s="122">
        <v>16.399999999999999</v>
      </c>
      <c r="G267" s="122">
        <v>17.100000000000001</v>
      </c>
      <c r="H267" s="103">
        <f t="shared" si="9"/>
        <v>16.266666666666666</v>
      </c>
      <c r="I267" s="122">
        <v>31</v>
      </c>
      <c r="J267" s="122" t="s">
        <v>39</v>
      </c>
      <c r="K267" s="122" t="s">
        <v>50</v>
      </c>
    </row>
    <row r="268" spans="2:11" x14ac:dyDescent="0.2">
      <c r="B268" s="122">
        <f t="shared" si="10"/>
        <v>265</v>
      </c>
      <c r="C268" s="123">
        <v>42432</v>
      </c>
      <c r="D268" s="16">
        <v>0.1076388888888889</v>
      </c>
      <c r="E268" s="122">
        <v>14.4</v>
      </c>
      <c r="F268" s="122">
        <v>15.4</v>
      </c>
      <c r="G268" s="122">
        <v>15.8</v>
      </c>
      <c r="H268" s="103">
        <f t="shared" si="9"/>
        <v>15.200000000000001</v>
      </c>
      <c r="I268" s="122">
        <v>26</v>
      </c>
      <c r="J268" s="122" t="s">
        <v>38</v>
      </c>
      <c r="K268" s="122" t="s">
        <v>50</v>
      </c>
    </row>
    <row r="269" spans="2:11" x14ac:dyDescent="0.2">
      <c r="B269" s="122">
        <f t="shared" si="10"/>
        <v>266</v>
      </c>
      <c r="C269" s="123">
        <v>42432</v>
      </c>
      <c r="D269" s="16">
        <v>0.64583333333333337</v>
      </c>
      <c r="E269" s="122">
        <v>12.8</v>
      </c>
      <c r="F269" s="122">
        <v>13.6</v>
      </c>
      <c r="G269" s="122">
        <v>15.9</v>
      </c>
      <c r="H269" s="103">
        <f t="shared" si="9"/>
        <v>14.1</v>
      </c>
      <c r="I269" s="122">
        <v>44</v>
      </c>
      <c r="J269" s="122" t="s">
        <v>38</v>
      </c>
      <c r="K269" s="122" t="s">
        <v>50</v>
      </c>
    </row>
    <row r="270" spans="2:11" x14ac:dyDescent="0.2">
      <c r="B270" s="122">
        <f t="shared" si="10"/>
        <v>267</v>
      </c>
      <c r="C270" s="123">
        <v>42433</v>
      </c>
      <c r="D270" s="16">
        <v>0.52083333333333337</v>
      </c>
      <c r="E270" s="122">
        <v>16.899999999999999</v>
      </c>
      <c r="F270" s="122">
        <v>18.8</v>
      </c>
      <c r="G270" s="122">
        <v>22.2</v>
      </c>
      <c r="H270" s="103">
        <f>AVERAGE(E270:G270)</f>
        <v>19.3</v>
      </c>
      <c r="I270" s="122">
        <v>31</v>
      </c>
      <c r="J270" s="122" t="s">
        <v>38</v>
      </c>
      <c r="K270" s="122" t="s">
        <v>50</v>
      </c>
    </row>
    <row r="271" spans="2:11" x14ac:dyDescent="0.2">
      <c r="B271" s="122">
        <f t="shared" si="10"/>
        <v>268</v>
      </c>
      <c r="C271" s="123">
        <v>42433</v>
      </c>
      <c r="D271" s="16">
        <v>0.68055555555555547</v>
      </c>
      <c r="E271" s="122">
        <v>10.5</v>
      </c>
      <c r="F271" s="122">
        <v>12.8</v>
      </c>
      <c r="G271" s="122">
        <v>13.4</v>
      </c>
      <c r="H271" s="103">
        <f t="shared" ref="H271:H296" si="11">AVERAGE(E271:G271)</f>
        <v>12.233333333333334</v>
      </c>
      <c r="I271" s="122">
        <v>26</v>
      </c>
      <c r="J271" s="122" t="s">
        <v>39</v>
      </c>
      <c r="K271" s="122" t="s">
        <v>50</v>
      </c>
    </row>
    <row r="272" spans="2:11" x14ac:dyDescent="0.2">
      <c r="B272" s="122">
        <f t="shared" si="10"/>
        <v>269</v>
      </c>
      <c r="C272" s="123">
        <v>42433</v>
      </c>
      <c r="D272" s="16">
        <v>0.82291666666666663</v>
      </c>
      <c r="E272" s="122">
        <v>10.5</v>
      </c>
      <c r="F272" s="122">
        <v>11</v>
      </c>
      <c r="G272" s="122">
        <v>11.5</v>
      </c>
      <c r="H272" s="103">
        <f t="shared" si="11"/>
        <v>11</v>
      </c>
      <c r="I272" s="122">
        <v>26</v>
      </c>
      <c r="J272" s="122" t="s">
        <v>38</v>
      </c>
      <c r="K272" s="122" t="s">
        <v>50</v>
      </c>
    </row>
    <row r="273" spans="2:11" x14ac:dyDescent="0.2">
      <c r="B273" s="122">
        <f t="shared" si="10"/>
        <v>270</v>
      </c>
      <c r="C273" s="123">
        <v>42433</v>
      </c>
      <c r="D273" s="16">
        <v>0.98958333333333337</v>
      </c>
      <c r="E273" s="122">
        <v>13.3</v>
      </c>
      <c r="F273" s="122">
        <v>14</v>
      </c>
      <c r="G273" s="122">
        <v>14.7</v>
      </c>
      <c r="H273" s="103">
        <f t="shared" si="11"/>
        <v>14</v>
      </c>
      <c r="I273" s="122">
        <v>28</v>
      </c>
      <c r="J273" s="122" t="s">
        <v>39</v>
      </c>
      <c r="K273" s="122" t="s">
        <v>62</v>
      </c>
    </row>
    <row r="274" spans="2:11" x14ac:dyDescent="0.2">
      <c r="B274" s="122">
        <f t="shared" si="10"/>
        <v>271</v>
      </c>
      <c r="C274" s="123">
        <v>42434</v>
      </c>
      <c r="D274" s="16">
        <v>0.1388888888888889</v>
      </c>
      <c r="E274" s="122">
        <v>14.2</v>
      </c>
      <c r="F274" s="122">
        <v>14.5</v>
      </c>
      <c r="G274" s="122">
        <v>14.9</v>
      </c>
      <c r="H274" s="103">
        <f t="shared" si="11"/>
        <v>14.533333333333333</v>
      </c>
      <c r="I274" s="122">
        <v>26</v>
      </c>
      <c r="J274" s="122" t="s">
        <v>38</v>
      </c>
      <c r="K274" s="122" t="s">
        <v>62</v>
      </c>
    </row>
    <row r="275" spans="2:11" x14ac:dyDescent="0.2">
      <c r="B275" s="122">
        <f t="shared" si="10"/>
        <v>272</v>
      </c>
      <c r="C275" s="123">
        <v>42434</v>
      </c>
      <c r="D275" s="16">
        <v>0.4861111111111111</v>
      </c>
      <c r="E275" s="46">
        <v>15.3</v>
      </c>
      <c r="F275" s="46">
        <v>15.6</v>
      </c>
      <c r="G275" s="46">
        <v>18.899999999999999</v>
      </c>
      <c r="H275" s="103">
        <f t="shared" si="11"/>
        <v>16.599999999999998</v>
      </c>
      <c r="I275" s="46">
        <v>34</v>
      </c>
      <c r="J275" s="46" t="s">
        <v>38</v>
      </c>
      <c r="K275" s="46" t="s">
        <v>50</v>
      </c>
    </row>
    <row r="276" spans="2:11" x14ac:dyDescent="0.2">
      <c r="B276" s="122">
        <f t="shared" si="10"/>
        <v>273</v>
      </c>
      <c r="C276" s="123">
        <v>42434</v>
      </c>
      <c r="D276" s="16">
        <v>0.64236111111111105</v>
      </c>
      <c r="E276" s="46">
        <v>13.5</v>
      </c>
      <c r="F276" s="46">
        <v>15.1</v>
      </c>
      <c r="G276" s="46">
        <v>17</v>
      </c>
      <c r="H276" s="103">
        <f t="shared" si="11"/>
        <v>15.200000000000001</v>
      </c>
      <c r="I276" s="46">
        <v>26</v>
      </c>
      <c r="J276" s="46" t="s">
        <v>46</v>
      </c>
      <c r="K276" s="46" t="s">
        <v>50</v>
      </c>
    </row>
    <row r="277" spans="2:11" x14ac:dyDescent="0.2">
      <c r="B277" s="122">
        <f t="shared" si="10"/>
        <v>274</v>
      </c>
      <c r="C277" s="123">
        <v>42434</v>
      </c>
      <c r="D277" s="16">
        <v>0.86458333333333337</v>
      </c>
      <c r="E277" s="46">
        <v>10.4</v>
      </c>
      <c r="F277" s="46">
        <v>10.9</v>
      </c>
      <c r="G277" s="46">
        <v>11.1</v>
      </c>
      <c r="H277" s="103">
        <f t="shared" si="11"/>
        <v>10.799999999999999</v>
      </c>
      <c r="I277" s="46">
        <v>28</v>
      </c>
      <c r="J277" s="46" t="s">
        <v>38</v>
      </c>
      <c r="K277" s="46" t="s">
        <v>57</v>
      </c>
    </row>
    <row r="278" spans="2:11" x14ac:dyDescent="0.2">
      <c r="B278" s="122">
        <f t="shared" si="10"/>
        <v>275</v>
      </c>
      <c r="C278" s="123">
        <v>42435</v>
      </c>
      <c r="D278" s="16">
        <v>6.9444444444444441E-3</v>
      </c>
      <c r="E278" s="46">
        <v>12.4</v>
      </c>
      <c r="F278" s="46">
        <v>13.5</v>
      </c>
      <c r="G278" s="46">
        <v>14.7</v>
      </c>
      <c r="H278" s="103">
        <f t="shared" si="11"/>
        <v>13.533333333333331</v>
      </c>
      <c r="I278" s="46">
        <v>25</v>
      </c>
      <c r="J278" s="46" t="s">
        <v>39</v>
      </c>
      <c r="K278" s="46" t="s">
        <v>57</v>
      </c>
    </row>
    <row r="279" spans="2:11" x14ac:dyDescent="0.2">
      <c r="B279" s="122">
        <f t="shared" si="10"/>
        <v>276</v>
      </c>
      <c r="C279" s="123">
        <v>42435</v>
      </c>
      <c r="D279" s="16">
        <v>0.20833333333333334</v>
      </c>
      <c r="E279" s="46">
        <v>13.7</v>
      </c>
      <c r="F279" s="46">
        <v>13.9</v>
      </c>
      <c r="G279" s="46">
        <v>14.3</v>
      </c>
      <c r="H279" s="103">
        <f t="shared" si="11"/>
        <v>13.966666666666669</v>
      </c>
      <c r="I279" s="46">
        <v>38</v>
      </c>
      <c r="J279" s="46" t="s">
        <v>38</v>
      </c>
      <c r="K279" s="46" t="s">
        <v>50</v>
      </c>
    </row>
    <row r="280" spans="2:11" x14ac:dyDescent="0.2">
      <c r="B280" s="122">
        <f t="shared" si="10"/>
        <v>277</v>
      </c>
      <c r="C280" s="123">
        <v>42435</v>
      </c>
      <c r="D280" s="16">
        <v>0.625</v>
      </c>
      <c r="E280" s="46">
        <v>13</v>
      </c>
      <c r="F280" s="46">
        <v>15.8</v>
      </c>
      <c r="G280" s="46">
        <v>16.5</v>
      </c>
      <c r="H280" s="103">
        <f t="shared" si="11"/>
        <v>15.1</v>
      </c>
      <c r="I280" s="46">
        <v>26</v>
      </c>
      <c r="J280" s="122" t="s">
        <v>38</v>
      </c>
      <c r="K280" s="122" t="s">
        <v>57</v>
      </c>
    </row>
    <row r="281" spans="2:11" x14ac:dyDescent="0.2">
      <c r="B281" s="122">
        <f t="shared" si="10"/>
        <v>278</v>
      </c>
      <c r="C281" s="123">
        <v>42435</v>
      </c>
      <c r="D281" s="16">
        <v>0.76388888888888884</v>
      </c>
      <c r="E281" s="46">
        <v>14.3</v>
      </c>
      <c r="F281" s="46">
        <v>16.5</v>
      </c>
      <c r="G281" s="46">
        <v>21</v>
      </c>
      <c r="H281" s="103">
        <f t="shared" si="11"/>
        <v>17.266666666666666</v>
      </c>
      <c r="I281" s="46">
        <v>24</v>
      </c>
      <c r="J281" s="122" t="s">
        <v>46</v>
      </c>
      <c r="K281" s="122" t="s">
        <v>57</v>
      </c>
    </row>
    <row r="282" spans="2:11" x14ac:dyDescent="0.2">
      <c r="B282" s="122">
        <f t="shared" si="10"/>
        <v>279</v>
      </c>
      <c r="C282" s="123">
        <v>42435</v>
      </c>
      <c r="D282" s="16">
        <v>0.96875</v>
      </c>
      <c r="E282" s="46">
        <v>17.100000000000001</v>
      </c>
      <c r="F282" s="46">
        <v>18</v>
      </c>
      <c r="G282" s="46">
        <v>21</v>
      </c>
      <c r="H282" s="103">
        <f t="shared" si="11"/>
        <v>18.7</v>
      </c>
      <c r="I282" s="46">
        <v>22</v>
      </c>
      <c r="J282" s="122" t="s">
        <v>38</v>
      </c>
      <c r="K282" s="122" t="s">
        <v>61</v>
      </c>
    </row>
    <row r="283" spans="2:11" x14ac:dyDescent="0.2">
      <c r="B283" s="122">
        <f t="shared" si="10"/>
        <v>280</v>
      </c>
      <c r="C283" s="123">
        <v>42436</v>
      </c>
      <c r="D283" s="16">
        <v>0.11805555555555557</v>
      </c>
      <c r="E283" s="46">
        <v>17.2</v>
      </c>
      <c r="F283" s="46">
        <v>18.5</v>
      </c>
      <c r="G283" s="46">
        <v>19.7</v>
      </c>
      <c r="H283" s="103">
        <f t="shared" si="11"/>
        <v>18.466666666666669</v>
      </c>
      <c r="I283" s="46">
        <v>23</v>
      </c>
      <c r="J283" s="122" t="s">
        <v>39</v>
      </c>
      <c r="K283" s="122" t="s">
        <v>61</v>
      </c>
    </row>
    <row r="284" spans="2:11" x14ac:dyDescent="0.2">
      <c r="B284" s="122">
        <f t="shared" si="10"/>
        <v>281</v>
      </c>
      <c r="C284" s="123">
        <v>42436</v>
      </c>
      <c r="D284" s="16">
        <v>0.61111111111111105</v>
      </c>
      <c r="E284" s="46">
        <v>16.600000000000001</v>
      </c>
      <c r="F284" s="46">
        <v>18.100000000000001</v>
      </c>
      <c r="G284" s="46">
        <v>18.899999999999999</v>
      </c>
      <c r="H284" s="103">
        <f t="shared" si="11"/>
        <v>17.866666666666667</v>
      </c>
      <c r="I284" s="46">
        <v>28</v>
      </c>
      <c r="J284" s="46" t="s">
        <v>38</v>
      </c>
      <c r="K284" s="46" t="s">
        <v>62</v>
      </c>
    </row>
    <row r="285" spans="2:11" x14ac:dyDescent="0.2">
      <c r="B285" s="122">
        <f t="shared" si="10"/>
        <v>282</v>
      </c>
      <c r="C285" s="123">
        <v>42436</v>
      </c>
      <c r="D285" s="16">
        <v>0.77083333333333337</v>
      </c>
      <c r="E285" s="46">
        <v>12.7</v>
      </c>
      <c r="F285" s="46">
        <v>14.5</v>
      </c>
      <c r="G285" s="46">
        <v>16.2</v>
      </c>
      <c r="H285" s="103">
        <f t="shared" si="11"/>
        <v>14.466666666666667</v>
      </c>
      <c r="I285" s="46">
        <v>36</v>
      </c>
      <c r="J285" s="46" t="s">
        <v>38</v>
      </c>
      <c r="K285" s="46" t="s">
        <v>57</v>
      </c>
    </row>
    <row r="286" spans="2:11" x14ac:dyDescent="0.2">
      <c r="B286" s="122">
        <f t="shared" si="10"/>
        <v>283</v>
      </c>
      <c r="C286" s="123">
        <v>42436</v>
      </c>
      <c r="D286" s="16">
        <v>0.99305555555555547</v>
      </c>
      <c r="E286" s="46">
        <v>16.5</v>
      </c>
      <c r="F286" s="46">
        <v>17.7</v>
      </c>
      <c r="G286" s="46">
        <v>18</v>
      </c>
      <c r="H286" s="103">
        <f t="shared" si="11"/>
        <v>17.400000000000002</v>
      </c>
      <c r="I286" s="46">
        <v>24</v>
      </c>
      <c r="J286" s="46" t="s">
        <v>38</v>
      </c>
      <c r="K286" s="46" t="s">
        <v>61</v>
      </c>
    </row>
    <row r="287" spans="2:11" x14ac:dyDescent="0.2">
      <c r="B287" s="122">
        <f t="shared" si="10"/>
        <v>284</v>
      </c>
      <c r="C287" s="123">
        <v>42437</v>
      </c>
      <c r="D287" s="16">
        <v>0.11458333333333333</v>
      </c>
      <c r="E287" s="46">
        <v>15.6</v>
      </c>
      <c r="F287" s="46">
        <v>15.8</v>
      </c>
      <c r="G287" s="46">
        <v>17.2</v>
      </c>
      <c r="H287" s="103">
        <f t="shared" si="11"/>
        <v>16.2</v>
      </c>
      <c r="I287" s="46">
        <v>25</v>
      </c>
      <c r="J287" s="46" t="s">
        <v>39</v>
      </c>
      <c r="K287" s="46" t="s">
        <v>61</v>
      </c>
    </row>
    <row r="288" spans="2:11" x14ac:dyDescent="0.2">
      <c r="B288" s="122">
        <f t="shared" si="10"/>
        <v>285</v>
      </c>
      <c r="C288" s="123">
        <v>42437</v>
      </c>
      <c r="D288" s="16">
        <v>0.61111111111111105</v>
      </c>
      <c r="E288" s="46">
        <v>10.7</v>
      </c>
      <c r="F288" s="46">
        <v>11.5</v>
      </c>
      <c r="G288" s="46">
        <v>12.4</v>
      </c>
      <c r="H288" s="103">
        <f t="shared" si="11"/>
        <v>11.533333333333333</v>
      </c>
      <c r="I288" s="46">
        <v>30</v>
      </c>
      <c r="J288" s="46" t="s">
        <v>38</v>
      </c>
      <c r="K288" s="46" t="s">
        <v>57</v>
      </c>
    </row>
    <row r="289" spans="2:11" x14ac:dyDescent="0.2">
      <c r="B289" s="122">
        <f t="shared" si="10"/>
        <v>286</v>
      </c>
      <c r="C289" s="123">
        <v>42437</v>
      </c>
      <c r="D289" s="16">
        <v>0.77083333333333337</v>
      </c>
      <c r="E289" s="46">
        <v>12.4</v>
      </c>
      <c r="F289" s="46">
        <v>14.2</v>
      </c>
      <c r="G289" s="46">
        <v>14.8</v>
      </c>
      <c r="H289" s="103">
        <f t="shared" si="11"/>
        <v>13.800000000000002</v>
      </c>
      <c r="I289" s="46">
        <v>26</v>
      </c>
      <c r="J289" s="46" t="s">
        <v>46</v>
      </c>
      <c r="K289" s="46" t="s">
        <v>57</v>
      </c>
    </row>
    <row r="290" spans="2:11" x14ac:dyDescent="0.2">
      <c r="B290" s="122">
        <f t="shared" si="10"/>
        <v>287</v>
      </c>
      <c r="C290" s="123">
        <v>42437</v>
      </c>
      <c r="D290" s="16">
        <v>0.97222222222222221</v>
      </c>
      <c r="E290" s="46">
        <v>9.5</v>
      </c>
      <c r="F290" s="46">
        <v>11.8</v>
      </c>
      <c r="G290" s="46">
        <v>12.3</v>
      </c>
      <c r="H290" s="103">
        <f t="shared" si="11"/>
        <v>11.200000000000001</v>
      </c>
      <c r="I290" s="46">
        <v>34</v>
      </c>
      <c r="J290" s="46" t="s">
        <v>38</v>
      </c>
      <c r="K290" s="46" t="s">
        <v>50</v>
      </c>
    </row>
    <row r="291" spans="2:11" x14ac:dyDescent="0.2">
      <c r="B291" s="122">
        <f t="shared" si="10"/>
        <v>288</v>
      </c>
      <c r="C291" s="123">
        <v>42438</v>
      </c>
      <c r="D291" s="16">
        <v>0.11458333333333333</v>
      </c>
      <c r="E291" s="46">
        <v>13</v>
      </c>
      <c r="F291" s="46">
        <v>15.7</v>
      </c>
      <c r="G291" s="46">
        <v>17.5</v>
      </c>
      <c r="H291" s="103">
        <f t="shared" si="11"/>
        <v>15.4</v>
      </c>
      <c r="I291" s="46">
        <v>31</v>
      </c>
      <c r="J291" s="46" t="s">
        <v>39</v>
      </c>
      <c r="K291" s="46" t="s">
        <v>50</v>
      </c>
    </row>
    <row r="292" spans="2:11" x14ac:dyDescent="0.2">
      <c r="B292" s="122">
        <f t="shared" si="10"/>
        <v>289</v>
      </c>
      <c r="C292" s="123">
        <v>42438</v>
      </c>
      <c r="D292" s="16">
        <v>0.625</v>
      </c>
      <c r="E292" s="46">
        <v>12.8</v>
      </c>
      <c r="F292" s="46">
        <v>15.6</v>
      </c>
      <c r="G292" s="46">
        <v>17.5</v>
      </c>
      <c r="H292" s="103">
        <f t="shared" si="11"/>
        <v>15.299999999999999</v>
      </c>
      <c r="I292" s="46">
        <v>28</v>
      </c>
      <c r="J292" s="46" t="s">
        <v>46</v>
      </c>
      <c r="K292" s="46" t="s">
        <v>50</v>
      </c>
    </row>
    <row r="293" spans="2:11" x14ac:dyDescent="0.2">
      <c r="B293" s="122">
        <f t="shared" si="10"/>
        <v>290</v>
      </c>
      <c r="C293" s="123">
        <v>42438</v>
      </c>
      <c r="D293" s="16">
        <v>0.77083333333333337</v>
      </c>
      <c r="E293" s="46">
        <v>12.9</v>
      </c>
      <c r="F293" s="46">
        <v>14</v>
      </c>
      <c r="G293" s="46">
        <v>14.1</v>
      </c>
      <c r="H293" s="103">
        <f t="shared" si="11"/>
        <v>13.666666666666666</v>
      </c>
      <c r="I293" s="46">
        <v>30</v>
      </c>
      <c r="J293" s="46" t="s">
        <v>46</v>
      </c>
      <c r="K293" s="46" t="s">
        <v>50</v>
      </c>
    </row>
    <row r="294" spans="2:11" x14ac:dyDescent="0.2">
      <c r="B294" s="122">
        <f t="shared" si="10"/>
        <v>291</v>
      </c>
      <c r="C294" s="123">
        <v>42438</v>
      </c>
      <c r="D294" s="16">
        <v>0.90625</v>
      </c>
      <c r="E294" s="46">
        <v>11.9</v>
      </c>
      <c r="F294" s="46">
        <v>12.2</v>
      </c>
      <c r="G294" s="46">
        <v>13.9</v>
      </c>
      <c r="H294" s="103">
        <f t="shared" si="11"/>
        <v>12.666666666666666</v>
      </c>
      <c r="I294" s="46">
        <v>26</v>
      </c>
      <c r="J294" s="46" t="s">
        <v>38</v>
      </c>
      <c r="K294" s="46" t="s">
        <v>57</v>
      </c>
    </row>
    <row r="295" spans="2:11" x14ac:dyDescent="0.2">
      <c r="B295" s="122">
        <f t="shared" si="10"/>
        <v>292</v>
      </c>
      <c r="C295" s="123">
        <v>42439</v>
      </c>
      <c r="D295" s="16">
        <v>5.5555555555555552E-2</v>
      </c>
      <c r="E295" s="46">
        <v>18.399999999999999</v>
      </c>
      <c r="F295" s="46">
        <v>19.100000000000001</v>
      </c>
      <c r="G295" s="46">
        <v>19.7</v>
      </c>
      <c r="H295" s="103">
        <f t="shared" si="11"/>
        <v>19.066666666666666</v>
      </c>
      <c r="I295" s="46">
        <v>25</v>
      </c>
      <c r="J295" s="46" t="s">
        <v>39</v>
      </c>
      <c r="K295" s="46" t="s">
        <v>57</v>
      </c>
    </row>
    <row r="296" spans="2:11" x14ac:dyDescent="0.2">
      <c r="B296" s="122">
        <f t="shared" si="10"/>
        <v>293</v>
      </c>
      <c r="C296" s="123">
        <v>42439</v>
      </c>
      <c r="D296" s="16">
        <v>0.15625</v>
      </c>
      <c r="E296" s="46">
        <v>14.9</v>
      </c>
      <c r="F296" s="46">
        <v>15.7</v>
      </c>
      <c r="G296" s="46">
        <v>16.3</v>
      </c>
      <c r="H296" s="103">
        <f t="shared" si="11"/>
        <v>15.633333333333335</v>
      </c>
      <c r="I296" s="46">
        <v>27</v>
      </c>
      <c r="J296" s="46" t="s">
        <v>39</v>
      </c>
      <c r="K296" s="46" t="s">
        <v>57</v>
      </c>
    </row>
    <row r="297" spans="2:11" x14ac:dyDescent="0.2">
      <c r="B297" s="122">
        <f t="shared" si="10"/>
        <v>294</v>
      </c>
      <c r="C297" s="123">
        <v>42439</v>
      </c>
      <c r="D297" s="16">
        <v>0.6875</v>
      </c>
      <c r="E297" s="46">
        <v>13.2</v>
      </c>
      <c r="F297" s="46">
        <v>14.3</v>
      </c>
      <c r="G297" s="46">
        <v>18.3</v>
      </c>
      <c r="H297" s="103">
        <f t="shared" ref="H297:H322" si="12">AVERAGE(E297:G297)</f>
        <v>15.266666666666666</v>
      </c>
      <c r="I297" s="46">
        <v>29</v>
      </c>
      <c r="J297" s="46" t="s">
        <v>38</v>
      </c>
      <c r="K297" s="46" t="s">
        <v>50</v>
      </c>
    </row>
    <row r="298" spans="2:11" x14ac:dyDescent="0.2">
      <c r="B298" s="122">
        <f t="shared" si="10"/>
        <v>295</v>
      </c>
      <c r="C298" s="123">
        <v>42439</v>
      </c>
      <c r="D298" s="16">
        <v>0.84375</v>
      </c>
      <c r="E298" s="46">
        <v>12.2</v>
      </c>
      <c r="F298" s="46">
        <v>12.6</v>
      </c>
      <c r="G298" s="46">
        <v>14.1</v>
      </c>
      <c r="H298" s="103">
        <f t="shared" si="12"/>
        <v>12.966666666666667</v>
      </c>
      <c r="I298" s="46">
        <v>32</v>
      </c>
      <c r="J298" s="46" t="s">
        <v>39</v>
      </c>
      <c r="K298" s="46" t="s">
        <v>50</v>
      </c>
    </row>
    <row r="299" spans="2:11" x14ac:dyDescent="0.2">
      <c r="B299" s="122">
        <f t="shared" si="10"/>
        <v>296</v>
      </c>
      <c r="C299" s="123">
        <v>42439</v>
      </c>
      <c r="D299" s="16">
        <v>0.97569444444444453</v>
      </c>
      <c r="E299" s="46">
        <v>9.8000000000000007</v>
      </c>
      <c r="F299" s="46">
        <v>10.3</v>
      </c>
      <c r="G299" s="46">
        <v>11.5</v>
      </c>
      <c r="H299" s="103">
        <f t="shared" si="12"/>
        <v>10.533333333333333</v>
      </c>
      <c r="I299" s="46">
        <v>30</v>
      </c>
      <c r="J299" s="46" t="s">
        <v>39</v>
      </c>
      <c r="K299" s="46" t="s">
        <v>62</v>
      </c>
    </row>
    <row r="300" spans="2:11" x14ac:dyDescent="0.2">
      <c r="B300" s="122">
        <f t="shared" si="10"/>
        <v>297</v>
      </c>
      <c r="C300" s="123">
        <v>42440</v>
      </c>
      <c r="D300" s="16">
        <v>0.1111111111111111</v>
      </c>
      <c r="E300" s="46">
        <v>12.7</v>
      </c>
      <c r="F300" s="46">
        <v>13.6</v>
      </c>
      <c r="G300" s="46">
        <v>14.8</v>
      </c>
      <c r="H300" s="103">
        <f t="shared" si="12"/>
        <v>13.699999999999998</v>
      </c>
      <c r="I300" s="46">
        <v>24</v>
      </c>
      <c r="J300" s="46" t="s">
        <v>39</v>
      </c>
      <c r="K300" s="46" t="s">
        <v>57</v>
      </c>
    </row>
    <row r="301" spans="2:11" x14ac:dyDescent="0.2">
      <c r="B301" s="122">
        <f t="shared" si="10"/>
        <v>298</v>
      </c>
      <c r="C301" s="123">
        <v>42440</v>
      </c>
      <c r="D301" s="16">
        <v>0.6875</v>
      </c>
      <c r="E301" s="46">
        <v>11.5</v>
      </c>
      <c r="F301" s="46">
        <v>11.8</v>
      </c>
      <c r="G301" s="46">
        <v>13.3</v>
      </c>
      <c r="H301" s="103">
        <f t="shared" si="12"/>
        <v>12.200000000000001</v>
      </c>
      <c r="I301" s="46">
        <v>29</v>
      </c>
      <c r="J301" s="46" t="s">
        <v>38</v>
      </c>
      <c r="K301" s="46" t="s">
        <v>50</v>
      </c>
    </row>
    <row r="302" spans="2:11" x14ac:dyDescent="0.2">
      <c r="B302" s="122">
        <f t="shared" si="10"/>
        <v>299</v>
      </c>
      <c r="C302" s="123">
        <v>42440</v>
      </c>
      <c r="D302" s="16">
        <v>0.84375</v>
      </c>
      <c r="E302" s="46">
        <v>11.2</v>
      </c>
      <c r="F302" s="46">
        <v>14.6</v>
      </c>
      <c r="G302" s="46">
        <v>17.5</v>
      </c>
      <c r="H302" s="103">
        <f t="shared" si="12"/>
        <v>14.433333333333332</v>
      </c>
      <c r="I302" s="46">
        <v>28</v>
      </c>
      <c r="J302" s="46" t="s">
        <v>39</v>
      </c>
      <c r="K302" s="46" t="s">
        <v>50</v>
      </c>
    </row>
    <row r="303" spans="2:11" x14ac:dyDescent="0.2">
      <c r="B303" s="122">
        <f t="shared" si="10"/>
        <v>300</v>
      </c>
      <c r="C303" s="123">
        <v>42441</v>
      </c>
      <c r="D303" s="16">
        <v>5.5555555555555552E-2</v>
      </c>
      <c r="E303" s="46">
        <v>15.7</v>
      </c>
      <c r="F303" s="46">
        <v>16.8</v>
      </c>
      <c r="G303" s="46">
        <v>22.5</v>
      </c>
      <c r="H303" s="103">
        <f t="shared" si="12"/>
        <v>18.333333333333332</v>
      </c>
      <c r="I303" s="46">
        <v>31</v>
      </c>
      <c r="J303" s="46" t="s">
        <v>38</v>
      </c>
      <c r="K303" s="46" t="s">
        <v>57</v>
      </c>
    </row>
    <row r="304" spans="2:11" x14ac:dyDescent="0.2">
      <c r="B304" s="122">
        <f t="shared" si="10"/>
        <v>301</v>
      </c>
      <c r="C304" s="123">
        <v>42441</v>
      </c>
      <c r="D304" s="16">
        <v>0.20138888888888887</v>
      </c>
      <c r="E304" s="46">
        <v>12.4</v>
      </c>
      <c r="F304" s="46">
        <v>13.2</v>
      </c>
      <c r="G304" s="46">
        <v>14.6</v>
      </c>
      <c r="H304" s="103">
        <f t="shared" si="12"/>
        <v>13.4</v>
      </c>
      <c r="I304" s="46">
        <v>29</v>
      </c>
      <c r="J304" s="46" t="s">
        <v>39</v>
      </c>
      <c r="K304" s="46" t="s">
        <v>57</v>
      </c>
    </row>
    <row r="305" spans="2:11" x14ac:dyDescent="0.2">
      <c r="B305" s="122">
        <f t="shared" si="10"/>
        <v>302</v>
      </c>
      <c r="C305" s="123">
        <v>42441</v>
      </c>
      <c r="D305" s="16">
        <v>0.70138888888888884</v>
      </c>
      <c r="E305" s="46">
        <v>12.4</v>
      </c>
      <c r="F305" s="46">
        <v>13.2</v>
      </c>
      <c r="G305" s="46">
        <v>15.5</v>
      </c>
      <c r="H305" s="103">
        <f t="shared" si="12"/>
        <v>13.700000000000001</v>
      </c>
      <c r="I305" s="46">
        <v>32</v>
      </c>
      <c r="J305" s="46" t="s">
        <v>38</v>
      </c>
      <c r="K305" s="46" t="s">
        <v>50</v>
      </c>
    </row>
    <row r="306" spans="2:11" x14ac:dyDescent="0.2">
      <c r="B306" s="122">
        <f t="shared" si="10"/>
        <v>303</v>
      </c>
      <c r="C306" s="123">
        <v>42441</v>
      </c>
      <c r="D306" s="16">
        <v>0.84027777777777779</v>
      </c>
      <c r="E306" s="46">
        <v>12.6</v>
      </c>
      <c r="F306" s="46">
        <v>13.5</v>
      </c>
      <c r="G306" s="46">
        <v>16.899999999999999</v>
      </c>
      <c r="H306" s="103">
        <f t="shared" si="12"/>
        <v>14.333333333333334</v>
      </c>
      <c r="I306" s="46">
        <v>41</v>
      </c>
      <c r="J306" s="46" t="s">
        <v>39</v>
      </c>
      <c r="K306" s="46" t="s">
        <v>50</v>
      </c>
    </row>
    <row r="307" spans="2:11" x14ac:dyDescent="0.2">
      <c r="B307" s="122">
        <f t="shared" si="10"/>
        <v>304</v>
      </c>
      <c r="C307" s="123">
        <v>42442</v>
      </c>
      <c r="D307" s="16">
        <v>5.9027777777777783E-2</v>
      </c>
      <c r="E307" s="46">
        <v>11</v>
      </c>
      <c r="F307" s="46">
        <v>11.4</v>
      </c>
      <c r="G307" s="46">
        <v>13.5</v>
      </c>
      <c r="H307" s="103">
        <f t="shared" si="12"/>
        <v>11.966666666666667</v>
      </c>
      <c r="I307" s="46">
        <v>32</v>
      </c>
      <c r="J307" s="46" t="s">
        <v>38</v>
      </c>
      <c r="K307" s="46" t="s">
        <v>57</v>
      </c>
    </row>
    <row r="308" spans="2:11" x14ac:dyDescent="0.2">
      <c r="B308" s="122">
        <f t="shared" si="10"/>
        <v>305</v>
      </c>
      <c r="C308" s="123">
        <v>42442</v>
      </c>
      <c r="D308" s="16">
        <v>0.20138888888888887</v>
      </c>
      <c r="E308" s="46">
        <v>11.7</v>
      </c>
      <c r="F308" s="46">
        <v>12.7</v>
      </c>
      <c r="G308" s="46">
        <v>14.5</v>
      </c>
      <c r="H308" s="103">
        <f t="shared" si="12"/>
        <v>12.966666666666667</v>
      </c>
      <c r="I308" s="46">
        <v>36</v>
      </c>
      <c r="J308" s="46" t="s">
        <v>39</v>
      </c>
      <c r="K308" s="46" t="s">
        <v>57</v>
      </c>
    </row>
    <row r="309" spans="2:11" x14ac:dyDescent="0.2">
      <c r="B309" s="122">
        <f t="shared" si="10"/>
        <v>306</v>
      </c>
      <c r="C309" s="123">
        <v>42442</v>
      </c>
      <c r="D309" s="16">
        <v>0.53125</v>
      </c>
      <c r="E309" s="46">
        <v>10</v>
      </c>
      <c r="F309" s="46">
        <v>10.6</v>
      </c>
      <c r="G309" s="46">
        <v>10.5</v>
      </c>
      <c r="H309" s="103">
        <f t="shared" si="12"/>
        <v>10.366666666666667</v>
      </c>
      <c r="I309" s="46">
        <v>34</v>
      </c>
      <c r="J309" s="46" t="s">
        <v>38</v>
      </c>
      <c r="K309" s="46" t="s">
        <v>50</v>
      </c>
    </row>
    <row r="310" spans="2:11" x14ac:dyDescent="0.2">
      <c r="B310" s="122">
        <f t="shared" si="10"/>
        <v>307</v>
      </c>
      <c r="C310" s="123">
        <v>42442</v>
      </c>
      <c r="D310" s="16">
        <v>0.66875000000000007</v>
      </c>
      <c r="E310" s="46">
        <v>17.7</v>
      </c>
      <c r="F310" s="46">
        <v>18.5</v>
      </c>
      <c r="G310" s="46">
        <v>18.899999999999999</v>
      </c>
      <c r="H310" s="103">
        <f t="shared" si="12"/>
        <v>18.366666666666667</v>
      </c>
      <c r="I310" s="46">
        <v>33</v>
      </c>
      <c r="J310" s="46" t="s">
        <v>38</v>
      </c>
      <c r="K310" s="46" t="s">
        <v>78</v>
      </c>
    </row>
    <row r="311" spans="2:11" x14ac:dyDescent="0.2">
      <c r="B311" s="122">
        <f t="shared" si="10"/>
        <v>308</v>
      </c>
      <c r="C311" s="123">
        <v>42442</v>
      </c>
      <c r="D311" s="16">
        <v>0.88194444444444453</v>
      </c>
      <c r="E311" s="46">
        <v>8.4</v>
      </c>
      <c r="F311" s="46">
        <v>9.1</v>
      </c>
      <c r="G311" s="46">
        <v>9.5</v>
      </c>
      <c r="H311" s="103">
        <f t="shared" si="12"/>
        <v>9</v>
      </c>
      <c r="I311" s="46">
        <v>34</v>
      </c>
      <c r="J311" s="46" t="s">
        <v>38</v>
      </c>
      <c r="K311" s="46" t="s">
        <v>57</v>
      </c>
    </row>
    <row r="312" spans="2:11" x14ac:dyDescent="0.2">
      <c r="B312" s="122">
        <f t="shared" si="10"/>
        <v>309</v>
      </c>
      <c r="C312" s="123">
        <v>42443</v>
      </c>
      <c r="D312" s="16">
        <v>3.125E-2</v>
      </c>
      <c r="E312" s="46">
        <v>13.8</v>
      </c>
      <c r="F312" s="46">
        <v>16.2</v>
      </c>
      <c r="G312" s="46">
        <v>17.100000000000001</v>
      </c>
      <c r="H312" s="103">
        <f t="shared" si="12"/>
        <v>15.700000000000001</v>
      </c>
      <c r="I312" s="46">
        <v>27</v>
      </c>
      <c r="J312" s="46" t="s">
        <v>39</v>
      </c>
      <c r="K312" s="46" t="s">
        <v>57</v>
      </c>
    </row>
    <row r="313" spans="2:11" x14ac:dyDescent="0.2">
      <c r="B313" s="122">
        <f t="shared" si="10"/>
        <v>310</v>
      </c>
      <c r="C313" s="123">
        <v>42443</v>
      </c>
      <c r="D313" s="16">
        <v>0.20138888888888887</v>
      </c>
      <c r="E313" s="46">
        <v>12.8</v>
      </c>
      <c r="F313" s="46">
        <v>14.6</v>
      </c>
      <c r="G313" s="46">
        <v>16.7</v>
      </c>
      <c r="H313" s="103">
        <f t="shared" si="12"/>
        <v>14.699999999999998</v>
      </c>
      <c r="I313" s="46">
        <v>32</v>
      </c>
      <c r="J313" s="46" t="s">
        <v>39</v>
      </c>
      <c r="K313" s="46" t="s">
        <v>57</v>
      </c>
    </row>
    <row r="314" spans="2:11" x14ac:dyDescent="0.2">
      <c r="B314" s="122">
        <f t="shared" si="10"/>
        <v>311</v>
      </c>
      <c r="C314" s="123">
        <v>42443</v>
      </c>
      <c r="D314" s="16">
        <v>0.98263888888888884</v>
      </c>
      <c r="E314" s="46">
        <v>16.5</v>
      </c>
      <c r="F314" s="46">
        <v>17.600000000000001</v>
      </c>
      <c r="G314" s="46">
        <v>18.3</v>
      </c>
      <c r="H314" s="103">
        <f t="shared" si="12"/>
        <v>17.466666666666669</v>
      </c>
      <c r="I314" s="46">
        <v>23</v>
      </c>
      <c r="J314" s="46" t="s">
        <v>39</v>
      </c>
      <c r="K314" s="46" t="s">
        <v>50</v>
      </c>
    </row>
    <row r="315" spans="2:11" x14ac:dyDescent="0.2">
      <c r="B315" s="122">
        <f t="shared" si="10"/>
        <v>312</v>
      </c>
      <c r="C315" s="123">
        <v>42443</v>
      </c>
      <c r="D315" s="16">
        <v>0.63194444444444442</v>
      </c>
      <c r="E315" s="46">
        <v>13.8</v>
      </c>
      <c r="F315" s="46">
        <v>14.7</v>
      </c>
      <c r="G315" s="46">
        <v>15.2</v>
      </c>
      <c r="H315" s="103">
        <f t="shared" si="12"/>
        <v>14.566666666666668</v>
      </c>
      <c r="I315" s="46">
        <v>39</v>
      </c>
      <c r="J315" s="46" t="s">
        <v>39</v>
      </c>
      <c r="K315" s="46" t="s">
        <v>61</v>
      </c>
    </row>
    <row r="316" spans="2:11" x14ac:dyDescent="0.2">
      <c r="B316" s="122">
        <f t="shared" si="10"/>
        <v>313</v>
      </c>
      <c r="C316" s="123">
        <v>42443</v>
      </c>
      <c r="D316" s="16">
        <v>0.78125</v>
      </c>
      <c r="E316" s="46">
        <v>13.8</v>
      </c>
      <c r="F316" s="46">
        <v>16.2</v>
      </c>
      <c r="G316" s="46">
        <v>17.3</v>
      </c>
      <c r="H316" s="103">
        <f t="shared" si="12"/>
        <v>15.766666666666666</v>
      </c>
      <c r="I316" s="46">
        <v>28</v>
      </c>
      <c r="J316" s="46" t="s">
        <v>39</v>
      </c>
      <c r="K316" s="46" t="s">
        <v>50</v>
      </c>
    </row>
    <row r="317" spans="2:11" x14ac:dyDescent="0.2">
      <c r="B317" s="122">
        <f t="shared" si="10"/>
        <v>314</v>
      </c>
      <c r="C317" s="123">
        <v>42444</v>
      </c>
      <c r="D317" s="16">
        <v>3.4722222222222224E-2</v>
      </c>
      <c r="E317" s="46">
        <v>13.9</v>
      </c>
      <c r="F317" s="46">
        <v>14.7</v>
      </c>
      <c r="G317" s="46">
        <v>15.3</v>
      </c>
      <c r="H317" s="103">
        <f t="shared" si="12"/>
        <v>14.633333333333335</v>
      </c>
      <c r="I317" s="46">
        <v>32</v>
      </c>
      <c r="J317" s="46" t="s">
        <v>38</v>
      </c>
      <c r="K317" s="46" t="s">
        <v>57</v>
      </c>
    </row>
    <row r="318" spans="2:11" x14ac:dyDescent="0.2">
      <c r="B318" s="122">
        <f t="shared" si="10"/>
        <v>315</v>
      </c>
      <c r="C318" s="123">
        <v>42444</v>
      </c>
      <c r="D318" s="16">
        <v>0.1423611111111111</v>
      </c>
      <c r="E318" s="46">
        <v>16.899999999999999</v>
      </c>
      <c r="F318" s="46">
        <v>17.5</v>
      </c>
      <c r="G318" s="46">
        <v>18.399999999999999</v>
      </c>
      <c r="H318" s="103">
        <f t="shared" si="12"/>
        <v>17.599999999999998</v>
      </c>
      <c r="I318" s="46">
        <v>37</v>
      </c>
      <c r="J318" s="46" t="s">
        <v>39</v>
      </c>
      <c r="K318" s="46" t="s">
        <v>57</v>
      </c>
    </row>
    <row r="319" spans="2:11" x14ac:dyDescent="0.2">
      <c r="B319" s="122">
        <f t="shared" si="10"/>
        <v>316</v>
      </c>
      <c r="C319" s="123">
        <v>42444</v>
      </c>
      <c r="D319" s="16">
        <v>0.52430555555555558</v>
      </c>
      <c r="E319" s="46">
        <v>16.899999999999999</v>
      </c>
      <c r="F319" s="46">
        <v>17.600000000000001</v>
      </c>
      <c r="G319" s="46">
        <v>18.399999999999999</v>
      </c>
      <c r="H319" s="103">
        <f t="shared" si="12"/>
        <v>17.633333333333333</v>
      </c>
      <c r="I319" s="46">
        <v>31</v>
      </c>
      <c r="J319" s="46" t="s">
        <v>38</v>
      </c>
      <c r="K319" s="46" t="s">
        <v>50</v>
      </c>
    </row>
    <row r="320" spans="2:11" x14ac:dyDescent="0.2">
      <c r="B320" s="122">
        <f t="shared" si="10"/>
        <v>317</v>
      </c>
      <c r="C320" s="123">
        <v>42444</v>
      </c>
      <c r="D320" s="16">
        <v>0.64583333333333337</v>
      </c>
      <c r="E320" s="46">
        <v>14.6</v>
      </c>
      <c r="F320" s="46">
        <v>16.3</v>
      </c>
      <c r="G320" s="46">
        <v>16.5</v>
      </c>
      <c r="H320" s="103">
        <f t="shared" si="12"/>
        <v>15.799999999999999</v>
      </c>
      <c r="I320" s="46">
        <v>24</v>
      </c>
      <c r="J320" s="46" t="s">
        <v>39</v>
      </c>
      <c r="K320" s="46" t="s">
        <v>61</v>
      </c>
    </row>
    <row r="321" spans="2:11" x14ac:dyDescent="0.2">
      <c r="B321" s="122">
        <f t="shared" si="10"/>
        <v>318</v>
      </c>
      <c r="C321" s="123">
        <v>42444</v>
      </c>
      <c r="D321" s="16">
        <v>0.78819444444444453</v>
      </c>
      <c r="E321" s="46">
        <v>13.1</v>
      </c>
      <c r="F321" s="46">
        <v>13.6</v>
      </c>
      <c r="G321" s="46">
        <v>15.7</v>
      </c>
      <c r="H321" s="103">
        <f t="shared" si="12"/>
        <v>14.133333333333333</v>
      </c>
      <c r="I321" s="46">
        <v>36</v>
      </c>
      <c r="J321" s="46" t="s">
        <v>39</v>
      </c>
      <c r="K321" s="46" t="s">
        <v>50</v>
      </c>
    </row>
    <row r="322" spans="2:11" x14ac:dyDescent="0.2">
      <c r="B322" s="122">
        <f t="shared" si="10"/>
        <v>319</v>
      </c>
      <c r="C322" s="123">
        <v>42444</v>
      </c>
      <c r="D322" s="16">
        <v>0.98958333333333337</v>
      </c>
      <c r="E322" s="46">
        <v>14</v>
      </c>
      <c r="F322" s="46">
        <v>15.9</v>
      </c>
      <c r="G322" s="46">
        <v>17</v>
      </c>
      <c r="H322" s="103">
        <f t="shared" si="12"/>
        <v>15.633333333333333</v>
      </c>
      <c r="I322" s="46">
        <v>22</v>
      </c>
      <c r="J322" s="46" t="s">
        <v>38</v>
      </c>
      <c r="K322" s="46" t="s">
        <v>57</v>
      </c>
    </row>
    <row r="323" spans="2:11" x14ac:dyDescent="0.2">
      <c r="B323" s="122">
        <f t="shared" si="10"/>
        <v>320</v>
      </c>
      <c r="C323" s="123">
        <v>42445</v>
      </c>
      <c r="D323" s="16">
        <v>0.125</v>
      </c>
      <c r="E323" s="46">
        <v>14.7</v>
      </c>
      <c r="F323" s="46">
        <v>15</v>
      </c>
      <c r="G323" s="46">
        <v>15.8</v>
      </c>
      <c r="H323" s="103">
        <f t="shared" ref="H323:H328" si="13">AVERAGE(E323:G323)</f>
        <v>15.166666666666666</v>
      </c>
      <c r="I323" s="46">
        <v>22</v>
      </c>
      <c r="J323" s="46" t="s">
        <v>39</v>
      </c>
      <c r="K323" s="46" t="s">
        <v>57</v>
      </c>
    </row>
    <row r="324" spans="2:11" x14ac:dyDescent="0.2">
      <c r="B324" s="122">
        <f t="shared" si="10"/>
        <v>321</v>
      </c>
      <c r="C324" s="62">
        <v>42445</v>
      </c>
      <c r="D324" s="124">
        <v>0.48958333333333331</v>
      </c>
      <c r="E324" s="59">
        <v>13.8</v>
      </c>
      <c r="F324" s="59">
        <v>15.4</v>
      </c>
      <c r="G324" s="59">
        <v>16.899999999999999</v>
      </c>
      <c r="H324" s="117">
        <f t="shared" si="13"/>
        <v>15.366666666666667</v>
      </c>
      <c r="I324" s="59">
        <v>26</v>
      </c>
      <c r="J324" s="59" t="s">
        <v>38</v>
      </c>
      <c r="K324" s="59" t="s">
        <v>61</v>
      </c>
    </row>
    <row r="325" spans="2:11" x14ac:dyDescent="0.2">
      <c r="B325" s="122">
        <f t="shared" si="10"/>
        <v>322</v>
      </c>
      <c r="C325" s="123">
        <v>42445</v>
      </c>
      <c r="D325" s="16">
        <v>0.67013888888888884</v>
      </c>
      <c r="E325" s="46">
        <v>10.1</v>
      </c>
      <c r="F325" s="46">
        <v>10.5</v>
      </c>
      <c r="G325" s="46">
        <v>12.4</v>
      </c>
      <c r="H325" s="103">
        <f t="shared" si="13"/>
        <v>11</v>
      </c>
      <c r="I325" s="46">
        <v>22</v>
      </c>
      <c r="J325" s="46" t="s">
        <v>39</v>
      </c>
      <c r="K325" s="46" t="s">
        <v>50</v>
      </c>
    </row>
    <row r="326" spans="2:11" x14ac:dyDescent="0.2">
      <c r="B326" s="122">
        <f t="shared" si="10"/>
        <v>323</v>
      </c>
      <c r="C326" s="123">
        <v>42445</v>
      </c>
      <c r="D326" s="16">
        <v>0.78472222222222221</v>
      </c>
      <c r="E326" s="46">
        <v>17.100000000000001</v>
      </c>
      <c r="F326" s="46">
        <v>17.5</v>
      </c>
      <c r="G326" s="46">
        <v>18.3</v>
      </c>
      <c r="H326" s="103">
        <f t="shared" si="13"/>
        <v>17.633333333333336</v>
      </c>
      <c r="I326" s="46">
        <v>19</v>
      </c>
      <c r="J326" s="46" t="s">
        <v>46</v>
      </c>
      <c r="K326" s="46" t="s">
        <v>50</v>
      </c>
    </row>
    <row r="327" spans="2:11" x14ac:dyDescent="0.2">
      <c r="B327" s="122">
        <f t="shared" ref="B327:B390" si="14">B326+1</f>
        <v>324</v>
      </c>
      <c r="C327" s="123">
        <v>42445</v>
      </c>
      <c r="D327" s="16">
        <v>0.99305555555555547</v>
      </c>
      <c r="E327" s="46">
        <v>10.7</v>
      </c>
      <c r="F327" s="46">
        <v>11.1</v>
      </c>
      <c r="G327" s="46">
        <v>15.3</v>
      </c>
      <c r="H327" s="103">
        <f t="shared" si="13"/>
        <v>12.366666666666665</v>
      </c>
      <c r="I327" s="46">
        <v>31</v>
      </c>
      <c r="J327" s="46" t="s">
        <v>38</v>
      </c>
      <c r="K327" s="46" t="s">
        <v>57</v>
      </c>
    </row>
    <row r="328" spans="2:11" x14ac:dyDescent="0.2">
      <c r="B328" s="122">
        <f t="shared" si="14"/>
        <v>325</v>
      </c>
      <c r="C328" s="123">
        <v>42446</v>
      </c>
      <c r="D328" s="16">
        <v>0.13541666666666666</v>
      </c>
      <c r="E328" s="46">
        <v>13.4</v>
      </c>
      <c r="F328" s="46">
        <v>14.5</v>
      </c>
      <c r="G328" s="46">
        <v>16.5</v>
      </c>
      <c r="H328" s="103">
        <f t="shared" si="13"/>
        <v>14.799999999999999</v>
      </c>
      <c r="I328" s="46">
        <v>25</v>
      </c>
      <c r="J328" s="46" t="s">
        <v>39</v>
      </c>
      <c r="K328" s="46" t="s">
        <v>57</v>
      </c>
    </row>
    <row r="329" spans="2:11" x14ac:dyDescent="0.2">
      <c r="B329" s="122">
        <f t="shared" si="14"/>
        <v>326</v>
      </c>
      <c r="C329" s="123">
        <v>42446</v>
      </c>
      <c r="D329" s="124">
        <v>0.48958333333333331</v>
      </c>
      <c r="E329" s="46">
        <v>11.8</v>
      </c>
      <c r="F329" s="46">
        <v>13.9</v>
      </c>
      <c r="G329" s="46">
        <v>14.5</v>
      </c>
      <c r="H329" s="103">
        <f>AVERAGE(E329:G329)</f>
        <v>13.4</v>
      </c>
      <c r="I329" s="46">
        <v>30</v>
      </c>
      <c r="J329" s="46" t="s">
        <v>38</v>
      </c>
      <c r="K329" s="59" t="s">
        <v>61</v>
      </c>
    </row>
    <row r="330" spans="2:11" x14ac:dyDescent="0.2">
      <c r="B330" s="122">
        <f t="shared" si="14"/>
        <v>327</v>
      </c>
      <c r="C330" s="123">
        <v>42446</v>
      </c>
      <c r="D330" s="16">
        <v>0.67013888888888884</v>
      </c>
      <c r="E330" s="46">
        <v>12.3</v>
      </c>
      <c r="F330" s="46">
        <v>13.7</v>
      </c>
      <c r="G330" s="46">
        <v>14.4</v>
      </c>
      <c r="H330" s="103">
        <f>AVERAGE(E330:G330)</f>
        <v>13.466666666666667</v>
      </c>
      <c r="I330" s="46">
        <v>30</v>
      </c>
      <c r="J330" s="46" t="s">
        <v>39</v>
      </c>
      <c r="K330" s="46" t="s">
        <v>50</v>
      </c>
    </row>
    <row r="331" spans="2:11" x14ac:dyDescent="0.2">
      <c r="B331" s="122">
        <f t="shared" si="14"/>
        <v>328</v>
      </c>
      <c r="C331" s="123">
        <v>42446</v>
      </c>
      <c r="D331" s="16">
        <v>0.78472222222222221</v>
      </c>
      <c r="E331" s="46">
        <v>13.1</v>
      </c>
      <c r="F331" s="46">
        <v>13.6</v>
      </c>
      <c r="G331" s="46">
        <v>14.2</v>
      </c>
      <c r="H331" s="103">
        <f>AVERAGE(E331:G331)</f>
        <v>13.633333333333333</v>
      </c>
      <c r="I331" s="46">
        <v>21</v>
      </c>
      <c r="J331" s="46" t="s">
        <v>38</v>
      </c>
      <c r="K331" s="46" t="s">
        <v>50</v>
      </c>
    </row>
    <row r="332" spans="2:11" x14ac:dyDescent="0.2">
      <c r="B332" s="122">
        <f t="shared" si="14"/>
        <v>329</v>
      </c>
      <c r="C332" s="123">
        <v>42446</v>
      </c>
      <c r="D332" s="16">
        <v>0.98611111111111116</v>
      </c>
      <c r="E332" s="46">
        <v>11.8</v>
      </c>
      <c r="F332" s="46">
        <v>13</v>
      </c>
      <c r="G332" s="46">
        <v>14.6</v>
      </c>
      <c r="H332" s="103">
        <f>AVERAGE(E332:G332)</f>
        <v>13.133333333333333</v>
      </c>
      <c r="I332" s="46">
        <v>26</v>
      </c>
      <c r="J332" s="46" t="s">
        <v>38</v>
      </c>
      <c r="K332" s="46" t="s">
        <v>57</v>
      </c>
    </row>
    <row r="333" spans="2:11" x14ac:dyDescent="0.2">
      <c r="B333" s="122">
        <f t="shared" si="14"/>
        <v>330</v>
      </c>
      <c r="C333" s="123">
        <v>42447</v>
      </c>
      <c r="D333" s="16">
        <v>0.13541666666666666</v>
      </c>
      <c r="E333" s="46">
        <v>10.7</v>
      </c>
      <c r="F333" s="46">
        <v>12.3</v>
      </c>
      <c r="G333" s="46">
        <v>13.9</v>
      </c>
      <c r="H333" s="103">
        <f>AVERAGE(E333:G333)</f>
        <v>12.299999999999999</v>
      </c>
      <c r="I333" s="46">
        <v>28</v>
      </c>
      <c r="J333" s="46" t="s">
        <v>39</v>
      </c>
      <c r="K333" s="46" t="s">
        <v>57</v>
      </c>
    </row>
    <row r="334" spans="2:11" x14ac:dyDescent="0.2">
      <c r="B334" s="122">
        <f t="shared" si="14"/>
        <v>331</v>
      </c>
      <c r="C334" s="123">
        <v>42447</v>
      </c>
      <c r="D334" s="124">
        <v>0.48958333333333331</v>
      </c>
      <c r="E334" s="46">
        <v>12.9</v>
      </c>
      <c r="F334" s="46">
        <v>13.8</v>
      </c>
      <c r="G334" s="46">
        <v>16.2</v>
      </c>
      <c r="H334" s="103">
        <f t="shared" ref="H334:H347" si="15">AVERAGE(E334:G334)</f>
        <v>14.300000000000002</v>
      </c>
      <c r="I334" s="46">
        <v>39</v>
      </c>
      <c r="J334" s="46" t="s">
        <v>38</v>
      </c>
      <c r="K334" s="59" t="s">
        <v>61</v>
      </c>
    </row>
    <row r="335" spans="2:11" x14ac:dyDescent="0.2">
      <c r="B335" s="122">
        <f t="shared" si="14"/>
        <v>332</v>
      </c>
      <c r="C335" s="123">
        <v>42447</v>
      </c>
      <c r="D335" s="16">
        <v>0.79027777777777775</v>
      </c>
      <c r="E335" s="46">
        <v>14.4</v>
      </c>
      <c r="F335" s="46">
        <v>16.899999999999999</v>
      </c>
      <c r="G335" s="46">
        <v>17.899999999999999</v>
      </c>
      <c r="H335" s="103">
        <f t="shared" si="15"/>
        <v>16.399999999999999</v>
      </c>
      <c r="I335" s="46">
        <v>19</v>
      </c>
      <c r="J335" s="46" t="s">
        <v>38</v>
      </c>
      <c r="K335" s="46" t="s">
        <v>50</v>
      </c>
    </row>
    <row r="336" spans="2:11" x14ac:dyDescent="0.2">
      <c r="B336" s="122">
        <f t="shared" si="14"/>
        <v>333</v>
      </c>
      <c r="C336" s="123">
        <v>42447</v>
      </c>
      <c r="D336" s="16">
        <v>0.99305555555555547</v>
      </c>
      <c r="E336" s="46">
        <v>12.6</v>
      </c>
      <c r="F336" s="46">
        <v>15</v>
      </c>
      <c r="G336" s="46">
        <v>15.4</v>
      </c>
      <c r="H336" s="103">
        <f t="shared" si="15"/>
        <v>14.333333333333334</v>
      </c>
      <c r="I336" s="46">
        <v>28</v>
      </c>
      <c r="J336" s="46" t="s">
        <v>38</v>
      </c>
      <c r="K336" s="46" t="s">
        <v>62</v>
      </c>
    </row>
    <row r="337" spans="2:11" x14ac:dyDescent="0.2">
      <c r="B337" s="122">
        <f t="shared" si="14"/>
        <v>334</v>
      </c>
      <c r="C337" s="123">
        <v>42448</v>
      </c>
      <c r="D337" s="16">
        <v>0.13541666666666666</v>
      </c>
      <c r="E337" s="46">
        <v>10.4</v>
      </c>
      <c r="F337" s="46">
        <v>11.6</v>
      </c>
      <c r="G337" s="46">
        <v>12.3</v>
      </c>
      <c r="H337" s="103">
        <f t="shared" si="15"/>
        <v>11.433333333333332</v>
      </c>
      <c r="I337" s="46">
        <v>27</v>
      </c>
      <c r="J337" s="46" t="s">
        <v>39</v>
      </c>
      <c r="K337" s="46" t="s">
        <v>62</v>
      </c>
    </row>
    <row r="338" spans="2:11" x14ac:dyDescent="0.2">
      <c r="B338" s="122">
        <f t="shared" si="14"/>
        <v>335</v>
      </c>
      <c r="C338" s="123">
        <v>42448</v>
      </c>
      <c r="D338" s="16">
        <v>0.44444444444444442</v>
      </c>
      <c r="E338" s="46">
        <v>17.2</v>
      </c>
      <c r="F338" s="46">
        <v>17.8</v>
      </c>
      <c r="G338" s="46">
        <v>20.3</v>
      </c>
      <c r="H338" s="103">
        <f t="shared" si="15"/>
        <v>18.433333333333334</v>
      </c>
      <c r="I338" s="46">
        <v>22</v>
      </c>
      <c r="J338" s="46" t="s">
        <v>38</v>
      </c>
      <c r="K338" s="46" t="s">
        <v>50</v>
      </c>
    </row>
    <row r="339" spans="2:11" x14ac:dyDescent="0.2">
      <c r="B339" s="122">
        <f t="shared" si="14"/>
        <v>336</v>
      </c>
      <c r="C339" s="123">
        <v>42448</v>
      </c>
      <c r="D339" s="16">
        <v>0.63541666666666663</v>
      </c>
      <c r="E339" s="46">
        <v>13.6</v>
      </c>
      <c r="F339" s="46">
        <v>13.8</v>
      </c>
      <c r="G339" s="46">
        <v>16.2</v>
      </c>
      <c r="H339" s="103">
        <f t="shared" si="15"/>
        <v>14.533333333333331</v>
      </c>
      <c r="I339" s="46">
        <v>32</v>
      </c>
      <c r="J339" s="46" t="s">
        <v>38</v>
      </c>
      <c r="K339" s="46" t="s">
        <v>61</v>
      </c>
    </row>
    <row r="340" spans="2:11" x14ac:dyDescent="0.2">
      <c r="B340" s="122">
        <f t="shared" si="14"/>
        <v>337</v>
      </c>
      <c r="C340" s="123">
        <v>42448</v>
      </c>
      <c r="D340" s="16">
        <v>0.77430555555555547</v>
      </c>
      <c r="E340" s="46">
        <v>16.399999999999999</v>
      </c>
      <c r="F340" s="46">
        <v>17.5</v>
      </c>
      <c r="G340" s="46">
        <v>18.2</v>
      </c>
      <c r="H340" s="103">
        <f t="shared" si="15"/>
        <v>17.366666666666664</v>
      </c>
      <c r="I340" s="46">
        <v>24</v>
      </c>
      <c r="J340" s="46" t="s">
        <v>39</v>
      </c>
      <c r="K340" s="46" t="s">
        <v>61</v>
      </c>
    </row>
    <row r="341" spans="2:11" x14ac:dyDescent="0.2">
      <c r="B341" s="122">
        <f t="shared" si="14"/>
        <v>338</v>
      </c>
      <c r="C341" s="123">
        <v>42448</v>
      </c>
      <c r="D341" s="16">
        <v>0.99652777777777779</v>
      </c>
      <c r="E341" s="46">
        <v>16.899999999999999</v>
      </c>
      <c r="F341" s="46">
        <v>17.5</v>
      </c>
      <c r="G341" s="46">
        <v>18.5</v>
      </c>
      <c r="H341" s="103">
        <f t="shared" si="15"/>
        <v>17.633333333333333</v>
      </c>
      <c r="I341" s="46">
        <v>28</v>
      </c>
      <c r="J341" s="46" t="s">
        <v>38</v>
      </c>
      <c r="K341" s="46" t="s">
        <v>57</v>
      </c>
    </row>
    <row r="342" spans="2:11" x14ac:dyDescent="0.2">
      <c r="B342" s="122">
        <f t="shared" si="14"/>
        <v>339</v>
      </c>
      <c r="C342" s="123">
        <v>42449</v>
      </c>
      <c r="D342" s="16">
        <v>0.13194444444444445</v>
      </c>
      <c r="E342" s="46">
        <v>10.9</v>
      </c>
      <c r="F342" s="46">
        <v>12.9</v>
      </c>
      <c r="G342" s="46">
        <v>13.8</v>
      </c>
      <c r="H342" s="103">
        <f t="shared" si="15"/>
        <v>12.533333333333333</v>
      </c>
      <c r="I342" s="46">
        <v>38</v>
      </c>
      <c r="J342" s="46" t="s">
        <v>39</v>
      </c>
      <c r="K342" s="46" t="s">
        <v>57</v>
      </c>
    </row>
    <row r="343" spans="2:11" x14ac:dyDescent="0.2">
      <c r="B343" s="122">
        <f t="shared" si="14"/>
        <v>340</v>
      </c>
      <c r="C343" s="123">
        <v>42449</v>
      </c>
      <c r="D343" s="16">
        <v>0.48958333333333331</v>
      </c>
      <c r="E343" s="46">
        <v>10.9</v>
      </c>
      <c r="F343" s="46">
        <v>11.9</v>
      </c>
      <c r="G343" s="46">
        <v>12</v>
      </c>
      <c r="H343" s="103">
        <f t="shared" si="15"/>
        <v>11.6</v>
      </c>
      <c r="I343" s="46">
        <v>30</v>
      </c>
      <c r="J343" s="46" t="s">
        <v>38</v>
      </c>
      <c r="K343" s="46" t="s">
        <v>50</v>
      </c>
    </row>
    <row r="344" spans="2:11" x14ac:dyDescent="0.2">
      <c r="B344" s="122">
        <f t="shared" si="14"/>
        <v>341</v>
      </c>
      <c r="C344" s="123">
        <v>42449</v>
      </c>
      <c r="D344" s="16">
        <v>0.63541666666666663</v>
      </c>
      <c r="E344" s="46">
        <v>10.3</v>
      </c>
      <c r="F344" s="46">
        <v>11.5</v>
      </c>
      <c r="G344" s="46">
        <v>12.5</v>
      </c>
      <c r="H344" s="103">
        <f t="shared" si="15"/>
        <v>11.433333333333332</v>
      </c>
      <c r="I344" s="46">
        <v>24</v>
      </c>
      <c r="J344" s="46" t="s">
        <v>38</v>
      </c>
      <c r="K344" s="46" t="s">
        <v>61</v>
      </c>
    </row>
    <row r="345" spans="2:11" x14ac:dyDescent="0.2">
      <c r="B345" s="122">
        <f t="shared" si="14"/>
        <v>342</v>
      </c>
      <c r="C345" s="123">
        <v>42449</v>
      </c>
      <c r="D345" s="16">
        <v>0.77430555555555547</v>
      </c>
      <c r="E345" s="46">
        <v>15.2</v>
      </c>
      <c r="F345" s="46">
        <v>16.7</v>
      </c>
      <c r="G345" s="46">
        <v>17.600000000000001</v>
      </c>
      <c r="H345" s="103">
        <f t="shared" si="15"/>
        <v>16.5</v>
      </c>
      <c r="I345" s="46">
        <v>24</v>
      </c>
      <c r="J345" s="46" t="s">
        <v>39</v>
      </c>
      <c r="K345" s="46" t="s">
        <v>61</v>
      </c>
    </row>
    <row r="346" spans="2:11" x14ac:dyDescent="0.2">
      <c r="B346" s="122">
        <f t="shared" si="14"/>
        <v>343</v>
      </c>
      <c r="C346" s="123">
        <v>42449</v>
      </c>
      <c r="D346" s="16">
        <v>0.99861111111111101</v>
      </c>
      <c r="E346" s="46">
        <v>14.7</v>
      </c>
      <c r="F346" s="46">
        <v>15.7</v>
      </c>
      <c r="G346" s="46">
        <v>16.399999999999999</v>
      </c>
      <c r="H346" s="103">
        <f t="shared" si="15"/>
        <v>15.6</v>
      </c>
      <c r="I346" s="46">
        <v>36</v>
      </c>
      <c r="J346" s="46" t="s">
        <v>38</v>
      </c>
      <c r="K346" s="46" t="s">
        <v>62</v>
      </c>
    </row>
    <row r="347" spans="2:11" x14ac:dyDescent="0.2">
      <c r="B347" s="122">
        <f t="shared" si="14"/>
        <v>344</v>
      </c>
      <c r="C347" s="123">
        <v>42450</v>
      </c>
      <c r="D347" s="16">
        <v>0.13194444444444445</v>
      </c>
      <c r="E347" s="46">
        <v>10.199999999999999</v>
      </c>
      <c r="F347" s="46">
        <v>10.7</v>
      </c>
      <c r="G347" s="46">
        <v>11.3</v>
      </c>
      <c r="H347" s="103">
        <f t="shared" si="15"/>
        <v>10.733333333333334</v>
      </c>
      <c r="I347" s="46">
        <v>30</v>
      </c>
      <c r="J347" s="46" t="s">
        <v>39</v>
      </c>
      <c r="K347" s="46" t="s">
        <v>57</v>
      </c>
    </row>
    <row r="348" spans="2:11" x14ac:dyDescent="0.2">
      <c r="B348" s="122">
        <f t="shared" si="14"/>
        <v>345</v>
      </c>
      <c r="C348" s="123">
        <v>42450</v>
      </c>
      <c r="D348" s="16">
        <v>0.48958333333333331</v>
      </c>
      <c r="E348" s="46">
        <v>11.5</v>
      </c>
      <c r="F348" s="46">
        <v>13</v>
      </c>
      <c r="G348" s="46">
        <v>13.7</v>
      </c>
      <c r="H348" s="103">
        <f t="shared" ref="H348:H362" si="16">AVERAGE(E348:G348)</f>
        <v>12.733333333333334</v>
      </c>
      <c r="I348" s="46">
        <v>26</v>
      </c>
      <c r="J348" s="46" t="s">
        <v>38</v>
      </c>
      <c r="K348" s="46" t="s">
        <v>50</v>
      </c>
    </row>
    <row r="349" spans="2:11" x14ac:dyDescent="0.2">
      <c r="B349" s="122">
        <f t="shared" si="14"/>
        <v>346</v>
      </c>
      <c r="C349" s="123">
        <v>42450</v>
      </c>
      <c r="D349" s="16">
        <v>0.64930555555555558</v>
      </c>
      <c r="E349" s="46">
        <v>16.399999999999999</v>
      </c>
      <c r="F349" s="46">
        <v>17.5</v>
      </c>
      <c r="G349" s="46">
        <v>18.2</v>
      </c>
      <c r="H349" s="103">
        <f t="shared" si="16"/>
        <v>17.366666666666664</v>
      </c>
      <c r="I349" s="46">
        <v>24</v>
      </c>
      <c r="J349" s="46" t="s">
        <v>39</v>
      </c>
      <c r="K349" s="46" t="s">
        <v>50</v>
      </c>
    </row>
    <row r="350" spans="2:11" x14ac:dyDescent="0.2">
      <c r="B350" s="122">
        <f t="shared" si="14"/>
        <v>347</v>
      </c>
      <c r="C350" s="123">
        <v>42450</v>
      </c>
      <c r="D350" s="16">
        <v>0.84027777777777779</v>
      </c>
      <c r="E350" s="46">
        <v>17.600000000000001</v>
      </c>
      <c r="F350" s="46">
        <v>18.5</v>
      </c>
      <c r="G350" s="46">
        <v>19.3</v>
      </c>
      <c r="H350" s="103">
        <f t="shared" si="16"/>
        <v>18.466666666666669</v>
      </c>
      <c r="I350" s="46">
        <v>24</v>
      </c>
      <c r="J350" s="46" t="s">
        <v>39</v>
      </c>
      <c r="K350" s="46" t="s">
        <v>61</v>
      </c>
    </row>
    <row r="351" spans="2:11" x14ac:dyDescent="0.2">
      <c r="B351" s="122">
        <f t="shared" si="14"/>
        <v>348</v>
      </c>
      <c r="C351" s="123">
        <v>42451</v>
      </c>
      <c r="D351" s="16">
        <v>5.2083333333333336E-2</v>
      </c>
      <c r="E351" s="46">
        <v>14.4</v>
      </c>
      <c r="F351" s="46">
        <v>15.1</v>
      </c>
      <c r="G351" s="46">
        <v>17.100000000000001</v>
      </c>
      <c r="H351" s="103">
        <f t="shared" si="16"/>
        <v>15.533333333333333</v>
      </c>
      <c r="I351" s="46">
        <v>33</v>
      </c>
      <c r="J351" s="46" t="s">
        <v>38</v>
      </c>
      <c r="K351" s="46" t="s">
        <v>57</v>
      </c>
    </row>
    <row r="352" spans="2:11" x14ac:dyDescent="0.2">
      <c r="B352" s="122">
        <f t="shared" si="14"/>
        <v>349</v>
      </c>
      <c r="C352" s="123">
        <v>42451</v>
      </c>
      <c r="D352" s="16">
        <v>0.19444444444444445</v>
      </c>
      <c r="E352" s="46">
        <v>11.8</v>
      </c>
      <c r="F352" s="46">
        <v>12.1</v>
      </c>
      <c r="G352" s="46">
        <v>12.6</v>
      </c>
      <c r="H352" s="103">
        <f t="shared" si="16"/>
        <v>12.166666666666666</v>
      </c>
      <c r="I352" s="46">
        <v>42</v>
      </c>
      <c r="J352" s="46" t="s">
        <v>39</v>
      </c>
      <c r="K352" s="46" t="s">
        <v>62</v>
      </c>
    </row>
    <row r="353" spans="2:11" x14ac:dyDescent="0.2">
      <c r="B353" s="122">
        <f t="shared" si="14"/>
        <v>350</v>
      </c>
      <c r="C353" s="123">
        <v>42451</v>
      </c>
      <c r="D353" s="16">
        <v>0.48958333333333331</v>
      </c>
      <c r="E353" s="46">
        <v>12</v>
      </c>
      <c r="F353" s="46">
        <v>12.9</v>
      </c>
      <c r="G353" s="46">
        <v>13.8</v>
      </c>
      <c r="H353" s="103">
        <f t="shared" si="16"/>
        <v>12.9</v>
      </c>
      <c r="I353" s="46">
        <v>28</v>
      </c>
      <c r="J353" s="46" t="s">
        <v>38</v>
      </c>
      <c r="K353" s="46" t="s">
        <v>57</v>
      </c>
    </row>
    <row r="354" spans="2:11" x14ac:dyDescent="0.2">
      <c r="B354" s="122">
        <f t="shared" si="14"/>
        <v>351</v>
      </c>
      <c r="C354" s="123">
        <v>42451</v>
      </c>
      <c r="D354" s="16">
        <v>0.63194444444444442</v>
      </c>
      <c r="E354" s="46">
        <v>17.2</v>
      </c>
      <c r="F354" s="46">
        <v>20.8</v>
      </c>
      <c r="G354" s="46">
        <v>23.9</v>
      </c>
      <c r="H354" s="103">
        <f t="shared" si="16"/>
        <v>20.633333333333333</v>
      </c>
      <c r="I354" s="46">
        <v>25</v>
      </c>
      <c r="J354" s="46" t="s">
        <v>39</v>
      </c>
      <c r="K354" s="46" t="s">
        <v>57</v>
      </c>
    </row>
    <row r="355" spans="2:11" x14ac:dyDescent="0.2">
      <c r="B355" s="122">
        <f t="shared" si="14"/>
        <v>352</v>
      </c>
      <c r="C355" s="123">
        <v>42451</v>
      </c>
      <c r="D355" s="16">
        <v>0.77430555555555547</v>
      </c>
      <c r="E355" s="46">
        <v>16.5</v>
      </c>
      <c r="F355" s="46">
        <v>17.3</v>
      </c>
      <c r="G355" s="46">
        <v>18.600000000000001</v>
      </c>
      <c r="H355" s="103">
        <f t="shared" si="16"/>
        <v>17.466666666666665</v>
      </c>
      <c r="I355" s="46">
        <v>26</v>
      </c>
      <c r="J355" s="46" t="s">
        <v>39</v>
      </c>
      <c r="K355" s="46" t="s">
        <v>61</v>
      </c>
    </row>
    <row r="356" spans="2:11" x14ac:dyDescent="0.2">
      <c r="B356" s="122">
        <f t="shared" si="14"/>
        <v>353</v>
      </c>
      <c r="C356" s="123">
        <v>42451</v>
      </c>
      <c r="D356" s="16">
        <v>0.99861111111111101</v>
      </c>
      <c r="E356" s="46">
        <v>18.7</v>
      </c>
      <c r="F356" s="46">
        <v>19.3</v>
      </c>
      <c r="G356" s="46">
        <v>19.8</v>
      </c>
      <c r="H356" s="103">
        <f t="shared" si="16"/>
        <v>19.266666666666666</v>
      </c>
      <c r="I356" s="46">
        <v>25</v>
      </c>
      <c r="J356" s="46" t="s">
        <v>38</v>
      </c>
      <c r="K356" s="46" t="s">
        <v>62</v>
      </c>
    </row>
    <row r="357" spans="2:11" x14ac:dyDescent="0.2">
      <c r="B357" s="122">
        <f t="shared" si="14"/>
        <v>354</v>
      </c>
      <c r="C357" s="123">
        <v>42452</v>
      </c>
      <c r="D357" s="16">
        <v>0.13194444444444445</v>
      </c>
      <c r="E357" s="46">
        <v>14.3</v>
      </c>
      <c r="F357" s="46">
        <v>15.3</v>
      </c>
      <c r="G357" s="46">
        <v>15.7</v>
      </c>
      <c r="H357" s="103">
        <f t="shared" si="16"/>
        <v>15.1</v>
      </c>
      <c r="I357" s="46">
        <v>29</v>
      </c>
      <c r="J357" s="46" t="s">
        <v>39</v>
      </c>
      <c r="K357" s="46" t="s">
        <v>57</v>
      </c>
    </row>
    <row r="358" spans="2:11" x14ac:dyDescent="0.2">
      <c r="B358" s="122">
        <f t="shared" si="14"/>
        <v>355</v>
      </c>
      <c r="C358" s="123">
        <v>42452</v>
      </c>
      <c r="D358" s="16">
        <v>0.42708333333333331</v>
      </c>
      <c r="E358" s="46">
        <v>18.899999999999999</v>
      </c>
      <c r="F358" s="46">
        <v>19.5</v>
      </c>
      <c r="G358" s="46">
        <v>20.6</v>
      </c>
      <c r="H358" s="103">
        <f t="shared" si="16"/>
        <v>19.666666666666668</v>
      </c>
      <c r="I358" s="46">
        <v>43</v>
      </c>
      <c r="J358" s="46" t="s">
        <v>38</v>
      </c>
      <c r="K358" s="46" t="s">
        <v>50</v>
      </c>
    </row>
    <row r="359" spans="2:11" x14ac:dyDescent="0.2">
      <c r="B359" s="122">
        <f t="shared" si="14"/>
        <v>356</v>
      </c>
      <c r="C359" s="123">
        <v>42452</v>
      </c>
      <c r="D359" s="16">
        <v>0.61458333333333337</v>
      </c>
      <c r="E359" s="46">
        <v>18.7</v>
      </c>
      <c r="F359" s="46">
        <v>19.8</v>
      </c>
      <c r="G359" s="46">
        <v>20.100000000000001</v>
      </c>
      <c r="H359" s="103">
        <f t="shared" si="16"/>
        <v>19.533333333333335</v>
      </c>
      <c r="I359" s="46">
        <v>35</v>
      </c>
      <c r="J359" s="46" t="s">
        <v>39</v>
      </c>
      <c r="K359" s="46" t="s">
        <v>50</v>
      </c>
    </row>
    <row r="360" spans="2:11" x14ac:dyDescent="0.2">
      <c r="B360" s="122">
        <f t="shared" si="14"/>
        <v>357</v>
      </c>
      <c r="C360" s="123">
        <v>42452</v>
      </c>
      <c r="D360" s="16">
        <v>0.84027777777777779</v>
      </c>
      <c r="E360" s="46">
        <v>16.100000000000001</v>
      </c>
      <c r="F360" s="46">
        <v>18.600000000000001</v>
      </c>
      <c r="G360" s="46">
        <v>20.5</v>
      </c>
      <c r="H360" s="103">
        <f t="shared" si="16"/>
        <v>18.400000000000002</v>
      </c>
      <c r="I360" s="46">
        <v>27</v>
      </c>
      <c r="J360" s="46" t="s">
        <v>38</v>
      </c>
      <c r="K360" s="46" t="s">
        <v>57</v>
      </c>
    </row>
    <row r="361" spans="2:11" x14ac:dyDescent="0.2">
      <c r="B361" s="122">
        <f t="shared" si="14"/>
        <v>358</v>
      </c>
      <c r="C361" s="123">
        <v>42452</v>
      </c>
      <c r="D361" s="16">
        <v>0.98611111111111116</v>
      </c>
      <c r="E361" s="46">
        <v>12.9</v>
      </c>
      <c r="F361" s="46">
        <v>13.4</v>
      </c>
      <c r="G361" s="46">
        <v>15.4</v>
      </c>
      <c r="H361" s="103">
        <f t="shared" si="16"/>
        <v>13.9</v>
      </c>
      <c r="I361" s="46">
        <v>44</v>
      </c>
      <c r="J361" s="46" t="s">
        <v>39</v>
      </c>
      <c r="K361" s="46" t="s">
        <v>57</v>
      </c>
    </row>
    <row r="362" spans="2:11" x14ac:dyDescent="0.2">
      <c r="B362" s="122">
        <f t="shared" si="14"/>
        <v>359</v>
      </c>
      <c r="C362" s="123">
        <v>42453</v>
      </c>
      <c r="D362" s="16">
        <v>0.1388888888888889</v>
      </c>
      <c r="E362" s="46">
        <v>11.3</v>
      </c>
      <c r="F362" s="46">
        <v>13.5</v>
      </c>
      <c r="G362" s="46">
        <v>15.2</v>
      </c>
      <c r="H362" s="103">
        <f t="shared" si="16"/>
        <v>13.333333333333334</v>
      </c>
      <c r="I362" s="46">
        <v>27</v>
      </c>
      <c r="J362" s="46" t="s">
        <v>46</v>
      </c>
      <c r="K362" s="46" t="s">
        <v>57</v>
      </c>
    </row>
    <row r="363" spans="2:11" x14ac:dyDescent="0.2">
      <c r="B363" s="122">
        <f t="shared" si="14"/>
        <v>360</v>
      </c>
      <c r="C363" s="123">
        <v>42453</v>
      </c>
      <c r="D363" s="16">
        <v>0.42708333333333331</v>
      </c>
      <c r="E363" s="46">
        <v>13.9</v>
      </c>
      <c r="F363" s="46">
        <v>17.600000000000001</v>
      </c>
      <c r="G363" s="46">
        <v>18.8</v>
      </c>
      <c r="H363" s="103">
        <f t="shared" ref="H363:H371" si="17">AVERAGE(E363:G363)</f>
        <v>16.766666666666666</v>
      </c>
      <c r="I363" s="46">
        <v>38</v>
      </c>
      <c r="J363" s="46" t="s">
        <v>38</v>
      </c>
      <c r="K363" s="46" t="s">
        <v>61</v>
      </c>
    </row>
    <row r="364" spans="2:11" x14ac:dyDescent="0.2">
      <c r="B364" s="122">
        <f t="shared" si="14"/>
        <v>361</v>
      </c>
      <c r="C364" s="123">
        <v>42453</v>
      </c>
      <c r="D364" s="16">
        <v>0.61458333333333337</v>
      </c>
      <c r="E364" s="46">
        <v>15.5</v>
      </c>
      <c r="F364" s="46">
        <v>18.899999999999999</v>
      </c>
      <c r="G364" s="46">
        <v>19.600000000000001</v>
      </c>
      <c r="H364" s="103">
        <f t="shared" si="17"/>
        <v>18</v>
      </c>
      <c r="I364" s="46">
        <v>30</v>
      </c>
      <c r="J364" s="46" t="s">
        <v>39</v>
      </c>
      <c r="K364" s="46" t="s">
        <v>61</v>
      </c>
    </row>
    <row r="365" spans="2:11" x14ac:dyDescent="0.2">
      <c r="B365" s="122">
        <f t="shared" si="14"/>
        <v>362</v>
      </c>
      <c r="C365" s="123">
        <v>42453</v>
      </c>
      <c r="D365" s="16">
        <v>0.84027777777777779</v>
      </c>
      <c r="E365" s="46">
        <v>17.399999999999999</v>
      </c>
      <c r="F365" s="46">
        <v>18.5</v>
      </c>
      <c r="G365" s="46">
        <v>19.100000000000001</v>
      </c>
      <c r="H365" s="103">
        <f t="shared" si="17"/>
        <v>18.333333333333332</v>
      </c>
      <c r="I365" s="46">
        <v>27</v>
      </c>
      <c r="J365" s="46" t="s">
        <v>39</v>
      </c>
      <c r="K365" s="46" t="s">
        <v>61</v>
      </c>
    </row>
    <row r="366" spans="2:11" x14ac:dyDescent="0.2">
      <c r="B366" s="122">
        <f t="shared" si="14"/>
        <v>363</v>
      </c>
      <c r="C366" s="123">
        <v>42453</v>
      </c>
      <c r="D366" s="16">
        <v>0.98611111111111116</v>
      </c>
      <c r="E366" s="46">
        <v>13.3</v>
      </c>
      <c r="F366" s="46">
        <v>14.4</v>
      </c>
      <c r="G366" s="46">
        <v>14.8</v>
      </c>
      <c r="H366" s="103">
        <f t="shared" si="17"/>
        <v>14.166666666666666</v>
      </c>
      <c r="I366" s="46">
        <v>27</v>
      </c>
      <c r="J366" s="46" t="s">
        <v>38</v>
      </c>
      <c r="K366" s="46" t="s">
        <v>62</v>
      </c>
    </row>
    <row r="367" spans="2:11" x14ac:dyDescent="0.2">
      <c r="B367" s="122">
        <f t="shared" si="14"/>
        <v>364</v>
      </c>
      <c r="C367" s="123">
        <v>42454</v>
      </c>
      <c r="D367" s="16">
        <v>0.1111111111111111</v>
      </c>
      <c r="E367" s="46">
        <v>9.9</v>
      </c>
      <c r="F367" s="46">
        <v>11.9</v>
      </c>
      <c r="G367" s="46">
        <v>12.3</v>
      </c>
      <c r="H367" s="103">
        <f t="shared" si="17"/>
        <v>11.366666666666667</v>
      </c>
      <c r="I367" s="46">
        <v>42</v>
      </c>
      <c r="J367" s="46" t="s">
        <v>39</v>
      </c>
      <c r="K367" s="46" t="s">
        <v>57</v>
      </c>
    </row>
    <row r="368" spans="2:11" x14ac:dyDescent="0.2">
      <c r="B368" s="122">
        <f t="shared" si="14"/>
        <v>365</v>
      </c>
      <c r="C368" s="123">
        <v>42454</v>
      </c>
      <c r="D368" s="16">
        <v>0.42708333333333331</v>
      </c>
      <c r="E368" s="46">
        <v>16.2</v>
      </c>
      <c r="F368" s="46">
        <v>16.5</v>
      </c>
      <c r="G368" s="46">
        <v>19.5</v>
      </c>
      <c r="H368" s="103">
        <f t="shared" si="17"/>
        <v>17.400000000000002</v>
      </c>
      <c r="I368" s="46">
        <v>37</v>
      </c>
      <c r="J368" s="46" t="s">
        <v>38</v>
      </c>
      <c r="K368" s="46" t="s">
        <v>50</v>
      </c>
    </row>
    <row r="369" spans="2:11" x14ac:dyDescent="0.2">
      <c r="B369" s="122">
        <f t="shared" si="14"/>
        <v>366</v>
      </c>
      <c r="C369" s="123">
        <v>42454</v>
      </c>
      <c r="D369" s="16">
        <v>0.61458333333333337</v>
      </c>
      <c r="E369" s="46">
        <v>15</v>
      </c>
      <c r="F369" s="46">
        <v>15.4</v>
      </c>
      <c r="G369" s="46">
        <v>17</v>
      </c>
      <c r="H369" s="103">
        <f t="shared" si="17"/>
        <v>15.799999999999999</v>
      </c>
      <c r="I369" s="46">
        <v>28</v>
      </c>
      <c r="J369" s="46" t="s">
        <v>39</v>
      </c>
      <c r="K369" s="46" t="s">
        <v>50</v>
      </c>
    </row>
    <row r="370" spans="2:11" x14ac:dyDescent="0.2">
      <c r="B370" s="122">
        <f t="shared" si="14"/>
        <v>367</v>
      </c>
      <c r="C370" s="123">
        <v>42454</v>
      </c>
      <c r="D370" s="16">
        <v>0.75694444444444453</v>
      </c>
      <c r="E370" s="46">
        <v>15.5</v>
      </c>
      <c r="F370" s="46">
        <v>16.7</v>
      </c>
      <c r="G370" s="46">
        <v>18.100000000000001</v>
      </c>
      <c r="H370" s="103">
        <f t="shared" si="17"/>
        <v>16.766666666666669</v>
      </c>
      <c r="I370" s="46">
        <v>37</v>
      </c>
      <c r="J370" s="46" t="s">
        <v>39</v>
      </c>
      <c r="K370" s="46" t="s">
        <v>50</v>
      </c>
    </row>
    <row r="371" spans="2:11" x14ac:dyDescent="0.2">
      <c r="B371" s="122">
        <f t="shared" si="14"/>
        <v>368</v>
      </c>
      <c r="C371" s="123">
        <v>42454</v>
      </c>
      <c r="D371" s="16">
        <v>0.95833333333333337</v>
      </c>
      <c r="E371" s="46">
        <v>15.2</v>
      </c>
      <c r="F371" s="46">
        <v>16.7</v>
      </c>
      <c r="G371" s="46">
        <v>17.5</v>
      </c>
      <c r="H371" s="103">
        <f t="shared" si="17"/>
        <v>16.466666666666665</v>
      </c>
      <c r="I371" s="46">
        <v>29</v>
      </c>
      <c r="J371" s="46" t="s">
        <v>39</v>
      </c>
      <c r="K371" s="46" t="s">
        <v>57</v>
      </c>
    </row>
    <row r="372" spans="2:11" x14ac:dyDescent="0.2">
      <c r="B372" s="122">
        <f t="shared" si="14"/>
        <v>369</v>
      </c>
      <c r="C372" s="123">
        <v>42455</v>
      </c>
      <c r="D372" s="16">
        <v>0.11458333333333333</v>
      </c>
      <c r="E372" s="46">
        <v>13.2</v>
      </c>
      <c r="F372" s="46">
        <v>13.8</v>
      </c>
      <c r="G372" s="46">
        <v>16.600000000000001</v>
      </c>
      <c r="H372" s="103">
        <f t="shared" ref="H372:H377" si="18">AVERAGE(E372:G372)</f>
        <v>14.533333333333333</v>
      </c>
      <c r="I372" s="46">
        <v>35</v>
      </c>
      <c r="J372" s="46" t="s">
        <v>39</v>
      </c>
      <c r="K372" s="46" t="s">
        <v>62</v>
      </c>
    </row>
    <row r="373" spans="2:11" x14ac:dyDescent="0.2">
      <c r="B373" s="122">
        <f t="shared" si="14"/>
        <v>370</v>
      </c>
      <c r="C373" s="123">
        <v>42455</v>
      </c>
      <c r="D373" s="16">
        <v>0.44791666666666669</v>
      </c>
      <c r="E373" s="46">
        <v>12.5</v>
      </c>
      <c r="F373" s="46">
        <v>14</v>
      </c>
      <c r="G373" s="46">
        <v>14.7</v>
      </c>
      <c r="H373" s="103">
        <f t="shared" si="18"/>
        <v>13.733333333333334</v>
      </c>
      <c r="I373" s="46">
        <v>37</v>
      </c>
      <c r="J373" s="46" t="s">
        <v>38</v>
      </c>
      <c r="K373" s="46" t="s">
        <v>50</v>
      </c>
    </row>
    <row r="374" spans="2:11" x14ac:dyDescent="0.2">
      <c r="B374" s="122">
        <f t="shared" si="14"/>
        <v>371</v>
      </c>
      <c r="C374" s="123">
        <v>42455</v>
      </c>
      <c r="D374" s="16">
        <v>0.61458333333333337</v>
      </c>
      <c r="E374" s="46">
        <v>14.6</v>
      </c>
      <c r="F374" s="46">
        <v>16</v>
      </c>
      <c r="G374" s="46">
        <v>18.100000000000001</v>
      </c>
      <c r="H374" s="103">
        <f t="shared" si="18"/>
        <v>16.233333333333334</v>
      </c>
      <c r="I374" s="46">
        <v>34</v>
      </c>
      <c r="J374" s="46" t="s">
        <v>39</v>
      </c>
      <c r="K374" s="46" t="s">
        <v>50</v>
      </c>
    </row>
    <row r="375" spans="2:11" x14ac:dyDescent="0.2">
      <c r="B375" s="122">
        <f t="shared" si="14"/>
        <v>372</v>
      </c>
      <c r="C375" s="123">
        <v>42455</v>
      </c>
      <c r="D375" s="16">
        <v>0.76736111111111116</v>
      </c>
      <c r="E375" s="46">
        <v>11.2</v>
      </c>
      <c r="F375" s="46">
        <v>11.7</v>
      </c>
      <c r="G375" s="46">
        <v>12</v>
      </c>
      <c r="H375" s="103">
        <f t="shared" si="18"/>
        <v>11.633333333333333</v>
      </c>
      <c r="I375" s="46">
        <v>28</v>
      </c>
      <c r="J375" s="46" t="s">
        <v>39</v>
      </c>
      <c r="K375" s="46" t="s">
        <v>50</v>
      </c>
    </row>
    <row r="376" spans="2:11" x14ac:dyDescent="0.2">
      <c r="B376" s="122">
        <f t="shared" si="14"/>
        <v>373</v>
      </c>
      <c r="C376" s="123">
        <v>42455</v>
      </c>
      <c r="D376" s="16">
        <v>0.95833333333333337</v>
      </c>
      <c r="E376" s="46">
        <v>14.1</v>
      </c>
      <c r="F376" s="46">
        <v>15.4</v>
      </c>
      <c r="G376" s="46">
        <v>16.7</v>
      </c>
      <c r="H376" s="103">
        <f t="shared" si="18"/>
        <v>15.4</v>
      </c>
      <c r="I376" s="46">
        <v>27</v>
      </c>
      <c r="J376" s="46" t="s">
        <v>39</v>
      </c>
      <c r="K376" s="46" t="s">
        <v>57</v>
      </c>
    </row>
    <row r="377" spans="2:11" x14ac:dyDescent="0.2">
      <c r="B377" s="122">
        <f t="shared" si="14"/>
        <v>374</v>
      </c>
      <c r="C377" s="123">
        <v>42456</v>
      </c>
      <c r="D377" s="16">
        <v>0.1111111111111111</v>
      </c>
      <c r="E377" s="46">
        <v>13.9</v>
      </c>
      <c r="F377" s="46">
        <v>14.5</v>
      </c>
      <c r="G377" s="46">
        <v>15.7</v>
      </c>
      <c r="H377" s="103">
        <f t="shared" si="18"/>
        <v>14.699999999999998</v>
      </c>
      <c r="I377" s="46">
        <v>39</v>
      </c>
      <c r="J377" s="46" t="s">
        <v>39</v>
      </c>
      <c r="K377" s="46" t="s">
        <v>57</v>
      </c>
    </row>
    <row r="378" spans="2:11" x14ac:dyDescent="0.2">
      <c r="B378" s="122">
        <f t="shared" si="14"/>
        <v>375</v>
      </c>
      <c r="C378" s="123">
        <v>42456</v>
      </c>
      <c r="D378" s="16">
        <v>0.51736111111111105</v>
      </c>
      <c r="E378" s="46">
        <v>12.1</v>
      </c>
      <c r="F378" s="46">
        <v>13.3</v>
      </c>
      <c r="G378" s="46">
        <v>14</v>
      </c>
      <c r="H378" s="103">
        <f>AVERAGE(E378:G378)</f>
        <v>13.133333333333333</v>
      </c>
      <c r="I378" s="46">
        <v>43</v>
      </c>
      <c r="J378" s="46" t="s">
        <v>38</v>
      </c>
      <c r="K378" s="46" t="s">
        <v>50</v>
      </c>
    </row>
    <row r="379" spans="2:11" x14ac:dyDescent="0.2">
      <c r="B379" s="122">
        <f t="shared" si="14"/>
        <v>376</v>
      </c>
      <c r="C379" s="123">
        <v>42456</v>
      </c>
      <c r="D379" s="16">
        <v>0.68402777777777779</v>
      </c>
      <c r="E379" s="46">
        <v>10.6</v>
      </c>
      <c r="F379" s="46">
        <v>13.4</v>
      </c>
      <c r="G379" s="46">
        <v>13.8</v>
      </c>
      <c r="H379" s="103">
        <f t="shared" ref="H379:H387" si="19">AVERAGE(E379:G379)</f>
        <v>12.6</v>
      </c>
      <c r="I379" s="46">
        <v>28</v>
      </c>
      <c r="J379" s="46" t="s">
        <v>39</v>
      </c>
      <c r="K379" s="46" t="s">
        <v>50</v>
      </c>
    </row>
    <row r="380" spans="2:11" x14ac:dyDescent="0.2">
      <c r="B380" s="122">
        <f t="shared" si="14"/>
        <v>377</v>
      </c>
      <c r="C380" s="123">
        <v>42456</v>
      </c>
      <c r="D380" s="16">
        <v>0.84375</v>
      </c>
      <c r="E380" s="46">
        <v>11.3</v>
      </c>
      <c r="F380" s="46">
        <v>14.2</v>
      </c>
      <c r="G380" s="46">
        <v>16</v>
      </c>
      <c r="H380" s="103">
        <f t="shared" si="19"/>
        <v>13.833333333333334</v>
      </c>
      <c r="I380" s="46">
        <v>34</v>
      </c>
      <c r="J380" s="46" t="s">
        <v>39</v>
      </c>
      <c r="K380" s="46" t="s">
        <v>50</v>
      </c>
    </row>
    <row r="381" spans="2:11" x14ac:dyDescent="0.2">
      <c r="B381" s="122">
        <f t="shared" si="14"/>
        <v>378</v>
      </c>
      <c r="C381" s="123">
        <v>42456</v>
      </c>
      <c r="D381" s="16">
        <v>0.96875</v>
      </c>
      <c r="E381" s="46">
        <v>15.9</v>
      </c>
      <c r="F381" s="46">
        <v>16.3</v>
      </c>
      <c r="G381" s="46">
        <v>17.8</v>
      </c>
      <c r="H381" s="103">
        <f t="shared" si="19"/>
        <v>16.666666666666668</v>
      </c>
      <c r="I381" s="46">
        <v>37</v>
      </c>
      <c r="J381" s="46" t="s">
        <v>39</v>
      </c>
      <c r="K381" s="46" t="s">
        <v>57</v>
      </c>
    </row>
    <row r="382" spans="2:11" x14ac:dyDescent="0.2">
      <c r="B382" s="122">
        <f t="shared" si="14"/>
        <v>379</v>
      </c>
      <c r="C382" s="123">
        <v>42457</v>
      </c>
      <c r="D382" s="16">
        <v>0.17361111111111113</v>
      </c>
      <c r="E382" s="46">
        <v>14.1</v>
      </c>
      <c r="F382" s="46">
        <v>15.7</v>
      </c>
      <c r="G382" s="46">
        <v>16.8</v>
      </c>
      <c r="H382" s="103">
        <f t="shared" si="19"/>
        <v>15.533333333333331</v>
      </c>
      <c r="I382" s="46">
        <v>35</v>
      </c>
      <c r="J382" s="46" t="s">
        <v>39</v>
      </c>
      <c r="K382" s="46" t="s">
        <v>62</v>
      </c>
    </row>
    <row r="383" spans="2:11" x14ac:dyDescent="0.2">
      <c r="B383" s="122">
        <f t="shared" si="14"/>
        <v>380</v>
      </c>
      <c r="C383" s="123">
        <v>42457</v>
      </c>
      <c r="D383" s="16">
        <v>0.47222222222222227</v>
      </c>
      <c r="E383" s="46">
        <v>14.1</v>
      </c>
      <c r="F383" s="46">
        <v>14.6</v>
      </c>
      <c r="G383" s="46">
        <v>15.2</v>
      </c>
      <c r="H383" s="103">
        <f t="shared" si="19"/>
        <v>14.633333333333333</v>
      </c>
      <c r="I383" s="46">
        <v>33</v>
      </c>
      <c r="J383" s="46" t="s">
        <v>38</v>
      </c>
      <c r="K383" s="46" t="s">
        <v>50</v>
      </c>
    </row>
    <row r="384" spans="2:11" x14ac:dyDescent="0.2">
      <c r="B384" s="122">
        <f t="shared" si="14"/>
        <v>381</v>
      </c>
      <c r="C384" s="123">
        <v>42457</v>
      </c>
      <c r="D384" s="16">
        <v>0.71875</v>
      </c>
      <c r="E384" s="46">
        <v>12.5</v>
      </c>
      <c r="F384" s="46">
        <v>15.4</v>
      </c>
      <c r="G384" s="46">
        <v>17</v>
      </c>
      <c r="H384" s="103">
        <f t="shared" si="19"/>
        <v>14.966666666666667</v>
      </c>
      <c r="I384" s="46">
        <v>24</v>
      </c>
      <c r="J384" s="46" t="s">
        <v>39</v>
      </c>
      <c r="K384" s="46" t="s">
        <v>50</v>
      </c>
    </row>
    <row r="385" spans="2:11" x14ac:dyDescent="0.2">
      <c r="B385" s="122">
        <f t="shared" si="14"/>
        <v>382</v>
      </c>
      <c r="C385" s="123">
        <v>42457</v>
      </c>
      <c r="D385" s="16">
        <v>0.86458333333333337</v>
      </c>
      <c r="E385" s="46">
        <v>11.2</v>
      </c>
      <c r="F385" s="46">
        <v>11.8</v>
      </c>
      <c r="G385" s="46">
        <v>12.1</v>
      </c>
      <c r="H385" s="103">
        <f t="shared" si="19"/>
        <v>11.700000000000001</v>
      </c>
      <c r="I385" s="46">
        <v>22</v>
      </c>
      <c r="J385" s="46" t="s">
        <v>39</v>
      </c>
      <c r="K385" s="46" t="s">
        <v>50</v>
      </c>
    </row>
    <row r="386" spans="2:11" x14ac:dyDescent="0.2">
      <c r="B386" s="122">
        <f t="shared" si="14"/>
        <v>383</v>
      </c>
      <c r="C386" s="123">
        <v>42458</v>
      </c>
      <c r="D386" s="16">
        <v>6.9444444444444441E-3</v>
      </c>
      <c r="E386" s="46">
        <v>14.9</v>
      </c>
      <c r="F386" s="46">
        <v>15.7</v>
      </c>
      <c r="G386" s="46">
        <v>16.399999999999999</v>
      </c>
      <c r="H386" s="103">
        <f t="shared" si="19"/>
        <v>15.666666666666666</v>
      </c>
      <c r="I386" s="46">
        <v>24</v>
      </c>
      <c r="J386" s="46" t="s">
        <v>38</v>
      </c>
      <c r="K386" s="46" t="s">
        <v>57</v>
      </c>
    </row>
    <row r="387" spans="2:11" x14ac:dyDescent="0.2">
      <c r="B387" s="122">
        <f t="shared" si="14"/>
        <v>384</v>
      </c>
      <c r="C387" s="123">
        <v>42458</v>
      </c>
      <c r="D387" s="16">
        <v>0.21527777777777779</v>
      </c>
      <c r="E387" s="46">
        <v>15.3</v>
      </c>
      <c r="F387" s="46">
        <v>16.100000000000001</v>
      </c>
      <c r="G387" s="46">
        <v>17.399999999999999</v>
      </c>
      <c r="H387" s="103">
        <f t="shared" si="19"/>
        <v>16.266666666666666</v>
      </c>
      <c r="I387" s="46">
        <v>26</v>
      </c>
      <c r="J387" s="46" t="s">
        <v>39</v>
      </c>
      <c r="K387" s="46" t="s">
        <v>62</v>
      </c>
    </row>
    <row r="388" spans="2:11" x14ac:dyDescent="0.2">
      <c r="B388" s="122">
        <f t="shared" si="14"/>
        <v>385</v>
      </c>
      <c r="C388" s="123">
        <v>42458</v>
      </c>
      <c r="D388" s="16">
        <v>0.49305555555555558</v>
      </c>
      <c r="E388" s="46">
        <v>14.8</v>
      </c>
      <c r="F388" s="46">
        <v>17.100000000000001</v>
      </c>
      <c r="G388" s="46">
        <v>18.399999999999999</v>
      </c>
      <c r="H388" s="103">
        <f t="shared" ref="H388:H435" si="20">AVERAGE(E388:G388)</f>
        <v>16.766666666666666</v>
      </c>
      <c r="I388" s="46">
        <v>19</v>
      </c>
      <c r="J388" s="46" t="s">
        <v>38</v>
      </c>
      <c r="K388" s="46" t="s">
        <v>50</v>
      </c>
    </row>
    <row r="389" spans="2:11" x14ac:dyDescent="0.2">
      <c r="B389" s="122">
        <f t="shared" si="14"/>
        <v>386</v>
      </c>
      <c r="C389" s="123">
        <v>42458</v>
      </c>
      <c r="D389" s="16">
        <v>0.63541666666666663</v>
      </c>
      <c r="E389" s="46">
        <v>12.2</v>
      </c>
      <c r="F389" s="46">
        <v>13.7</v>
      </c>
      <c r="G389" s="46">
        <v>14.3</v>
      </c>
      <c r="H389" s="103">
        <f t="shared" si="20"/>
        <v>13.4</v>
      </c>
      <c r="I389" s="46">
        <v>25</v>
      </c>
      <c r="J389" s="46" t="s">
        <v>39</v>
      </c>
      <c r="K389" s="46" t="s">
        <v>50</v>
      </c>
    </row>
    <row r="390" spans="2:11" x14ac:dyDescent="0.2">
      <c r="B390" s="122">
        <f t="shared" si="14"/>
        <v>387</v>
      </c>
      <c r="C390" s="123">
        <v>42458</v>
      </c>
      <c r="D390" s="16">
        <v>0.76041666666666663</v>
      </c>
      <c r="E390" s="46">
        <v>10.1</v>
      </c>
      <c r="F390" s="46">
        <v>12.2</v>
      </c>
      <c r="G390" s="46">
        <v>13.5</v>
      </c>
      <c r="H390" s="103">
        <f t="shared" si="20"/>
        <v>11.933333333333332</v>
      </c>
      <c r="I390" s="46">
        <v>26</v>
      </c>
      <c r="J390" s="46" t="s">
        <v>39</v>
      </c>
      <c r="K390" s="46" t="s">
        <v>50</v>
      </c>
    </row>
    <row r="391" spans="2:11" x14ac:dyDescent="0.2">
      <c r="B391" s="122">
        <f t="shared" ref="B391:B454" si="21">B390+1</f>
        <v>388</v>
      </c>
      <c r="C391" s="123">
        <v>42458</v>
      </c>
      <c r="D391" s="16">
        <v>0.96875</v>
      </c>
      <c r="E391" s="46">
        <v>15.9</v>
      </c>
      <c r="F391" s="46">
        <v>17.3</v>
      </c>
      <c r="G391" s="46">
        <v>18.2</v>
      </c>
      <c r="H391" s="103">
        <f t="shared" si="20"/>
        <v>17.133333333333336</v>
      </c>
      <c r="I391" s="46">
        <v>28</v>
      </c>
      <c r="J391" s="46" t="s">
        <v>38</v>
      </c>
      <c r="K391" s="46" t="s">
        <v>57</v>
      </c>
    </row>
    <row r="392" spans="2:11" x14ac:dyDescent="0.2">
      <c r="B392" s="122">
        <f t="shared" si="21"/>
        <v>389</v>
      </c>
      <c r="C392" s="123">
        <v>42459</v>
      </c>
      <c r="D392" s="16">
        <v>0.11805555555555557</v>
      </c>
      <c r="E392" s="46">
        <v>14.8</v>
      </c>
      <c r="F392" s="46">
        <v>16.100000000000001</v>
      </c>
      <c r="G392" s="46">
        <v>17.600000000000001</v>
      </c>
      <c r="H392" s="103">
        <f t="shared" si="20"/>
        <v>16.166666666666668</v>
      </c>
      <c r="I392" s="46">
        <v>30</v>
      </c>
      <c r="J392" s="46" t="s">
        <v>39</v>
      </c>
      <c r="K392" s="46" t="s">
        <v>57</v>
      </c>
    </row>
    <row r="393" spans="2:11" x14ac:dyDescent="0.2">
      <c r="B393" s="122">
        <f t="shared" si="21"/>
        <v>390</v>
      </c>
      <c r="C393" s="123">
        <v>42459</v>
      </c>
      <c r="D393" s="16">
        <v>0.5625</v>
      </c>
      <c r="E393" s="46">
        <v>14.5</v>
      </c>
      <c r="F393" s="46">
        <v>15</v>
      </c>
      <c r="G393" s="46">
        <v>15.9</v>
      </c>
      <c r="H393" s="103">
        <f t="shared" si="20"/>
        <v>15.133333333333333</v>
      </c>
      <c r="I393" s="46">
        <v>26</v>
      </c>
      <c r="J393" s="46" t="s">
        <v>38</v>
      </c>
      <c r="K393" s="46" t="s">
        <v>50</v>
      </c>
    </row>
    <row r="394" spans="2:11" x14ac:dyDescent="0.2">
      <c r="B394" s="122">
        <f t="shared" si="21"/>
        <v>391</v>
      </c>
      <c r="C394" s="123">
        <v>42459</v>
      </c>
      <c r="D394" s="16">
        <v>0.75694444444444453</v>
      </c>
      <c r="E394" s="46">
        <v>10.199999999999999</v>
      </c>
      <c r="F394" s="46">
        <v>12.6</v>
      </c>
      <c r="G394" s="46">
        <v>13.1</v>
      </c>
      <c r="H394" s="103">
        <f t="shared" si="20"/>
        <v>11.966666666666667</v>
      </c>
      <c r="I394" s="46">
        <v>24</v>
      </c>
      <c r="J394" s="46" t="s">
        <v>39</v>
      </c>
      <c r="K394" s="46" t="s">
        <v>50</v>
      </c>
    </row>
    <row r="395" spans="2:11" x14ac:dyDescent="0.2">
      <c r="B395" s="122">
        <f t="shared" si="21"/>
        <v>392</v>
      </c>
      <c r="C395" s="123">
        <v>42459</v>
      </c>
      <c r="D395" s="16">
        <v>0.85416666666666663</v>
      </c>
      <c r="E395" s="46">
        <v>14.9</v>
      </c>
      <c r="F395" s="46">
        <v>15.6</v>
      </c>
      <c r="G395" s="46">
        <v>19.100000000000001</v>
      </c>
      <c r="H395" s="103">
        <f t="shared" si="20"/>
        <v>16.533333333333335</v>
      </c>
      <c r="I395" s="46">
        <v>33</v>
      </c>
      <c r="J395" s="46" t="s">
        <v>38</v>
      </c>
      <c r="K395" s="46" t="s">
        <v>57</v>
      </c>
    </row>
    <row r="396" spans="2:11" x14ac:dyDescent="0.2">
      <c r="B396" s="122">
        <f t="shared" si="21"/>
        <v>393</v>
      </c>
      <c r="C396" s="123">
        <v>42460</v>
      </c>
      <c r="D396" s="16">
        <v>1.0416666666666666E-2</v>
      </c>
      <c r="E396" s="46">
        <v>10.199999999999999</v>
      </c>
      <c r="F396" s="46">
        <v>12</v>
      </c>
      <c r="G396" s="46">
        <v>13.3</v>
      </c>
      <c r="H396" s="103">
        <f t="shared" si="20"/>
        <v>11.833333333333334</v>
      </c>
      <c r="I396" s="46">
        <v>32</v>
      </c>
      <c r="J396" s="46" t="s">
        <v>39</v>
      </c>
      <c r="K396" s="46" t="s">
        <v>57</v>
      </c>
    </row>
    <row r="397" spans="2:11" x14ac:dyDescent="0.2">
      <c r="B397" s="122">
        <f t="shared" si="21"/>
        <v>394</v>
      </c>
      <c r="C397" s="123">
        <v>42460</v>
      </c>
      <c r="D397" s="16">
        <v>0.15277777777777776</v>
      </c>
      <c r="E397" s="46">
        <v>14.3</v>
      </c>
      <c r="F397" s="46">
        <v>15.5</v>
      </c>
      <c r="G397" s="46">
        <v>16.3</v>
      </c>
      <c r="H397" s="103">
        <f t="shared" si="20"/>
        <v>15.366666666666667</v>
      </c>
      <c r="I397" s="46">
        <v>26</v>
      </c>
      <c r="J397" s="46" t="s">
        <v>39</v>
      </c>
      <c r="K397" s="46" t="s">
        <v>62</v>
      </c>
    </row>
    <row r="398" spans="2:11" x14ac:dyDescent="0.2">
      <c r="B398" s="122">
        <f t="shared" si="21"/>
        <v>395</v>
      </c>
      <c r="C398" s="123">
        <v>42460</v>
      </c>
      <c r="D398" s="16">
        <v>0.47569444444444442</v>
      </c>
      <c r="E398" s="46">
        <v>14.2</v>
      </c>
      <c r="F398" s="46">
        <v>14.7</v>
      </c>
      <c r="G398" s="46">
        <v>15.8</v>
      </c>
      <c r="H398" s="103">
        <f t="shared" si="20"/>
        <v>14.9</v>
      </c>
      <c r="I398" s="46">
        <v>34</v>
      </c>
      <c r="J398" s="46" t="s">
        <v>38</v>
      </c>
      <c r="K398" s="46" t="s">
        <v>57</v>
      </c>
    </row>
    <row r="399" spans="2:11" x14ac:dyDescent="0.2">
      <c r="B399" s="122">
        <f t="shared" si="21"/>
        <v>396</v>
      </c>
      <c r="C399" s="123">
        <v>42460</v>
      </c>
      <c r="D399" s="16">
        <v>0.63541666666666663</v>
      </c>
      <c r="E399" s="46">
        <v>15.2</v>
      </c>
      <c r="F399" s="46">
        <v>16.399999999999999</v>
      </c>
      <c r="G399" s="46">
        <v>17.5</v>
      </c>
      <c r="H399" s="103">
        <f t="shared" si="20"/>
        <v>16.366666666666664</v>
      </c>
      <c r="I399" s="46">
        <v>32</v>
      </c>
      <c r="J399" s="46" t="s">
        <v>39</v>
      </c>
      <c r="K399" s="46" t="s">
        <v>57</v>
      </c>
    </row>
    <row r="400" spans="2:11" x14ac:dyDescent="0.2">
      <c r="B400" s="122">
        <f t="shared" si="21"/>
        <v>397</v>
      </c>
      <c r="C400" s="123">
        <v>42460</v>
      </c>
      <c r="D400" s="16">
        <v>0.86458333333333337</v>
      </c>
      <c r="E400" s="46">
        <v>18.7</v>
      </c>
      <c r="F400" s="46">
        <v>18.2</v>
      </c>
      <c r="G400" s="46">
        <v>19.5</v>
      </c>
      <c r="H400" s="103">
        <f t="shared" si="20"/>
        <v>18.8</v>
      </c>
      <c r="I400" s="46">
        <v>32</v>
      </c>
      <c r="J400" s="46" t="s">
        <v>38</v>
      </c>
      <c r="K400" s="46" t="s">
        <v>57</v>
      </c>
    </row>
    <row r="401" spans="2:11" x14ac:dyDescent="0.2">
      <c r="B401" s="122">
        <f t="shared" si="21"/>
        <v>398</v>
      </c>
      <c r="C401" s="123">
        <v>42461</v>
      </c>
      <c r="D401" s="16">
        <v>6.9444444444444441E-3</v>
      </c>
      <c r="E401" s="46">
        <v>16.2</v>
      </c>
      <c r="F401" s="46">
        <v>17.899999999999999</v>
      </c>
      <c r="G401" s="46">
        <v>18.600000000000001</v>
      </c>
      <c r="H401" s="103">
        <f t="shared" si="20"/>
        <v>17.566666666666666</v>
      </c>
      <c r="I401" s="46">
        <v>38</v>
      </c>
      <c r="J401" s="46" t="s">
        <v>39</v>
      </c>
      <c r="K401" s="46" t="s">
        <v>57</v>
      </c>
    </row>
    <row r="402" spans="2:11" x14ac:dyDescent="0.2">
      <c r="B402" s="122">
        <f t="shared" si="21"/>
        <v>399</v>
      </c>
      <c r="C402" s="123">
        <v>42461</v>
      </c>
      <c r="D402" s="16">
        <v>0.15625</v>
      </c>
      <c r="E402" s="46">
        <v>15.6</v>
      </c>
      <c r="F402" s="46">
        <v>16.600000000000001</v>
      </c>
      <c r="G402" s="46">
        <v>17.3</v>
      </c>
      <c r="H402" s="103">
        <f t="shared" si="20"/>
        <v>16.5</v>
      </c>
      <c r="I402" s="46">
        <v>29</v>
      </c>
      <c r="J402" s="46" t="s">
        <v>39</v>
      </c>
      <c r="K402" s="46" t="s">
        <v>57</v>
      </c>
    </row>
    <row r="403" spans="2:11" x14ac:dyDescent="0.2">
      <c r="B403" s="122">
        <f t="shared" si="21"/>
        <v>400</v>
      </c>
      <c r="C403" s="123">
        <v>42461</v>
      </c>
      <c r="D403" s="16">
        <v>0.47569444444444442</v>
      </c>
      <c r="E403" s="46">
        <v>15.6</v>
      </c>
      <c r="F403" s="46">
        <v>16.3</v>
      </c>
      <c r="G403" s="46">
        <v>17.8</v>
      </c>
      <c r="H403" s="103">
        <f t="shared" si="20"/>
        <v>16.566666666666666</v>
      </c>
      <c r="I403" s="46">
        <v>25</v>
      </c>
      <c r="J403" s="46" t="s">
        <v>38</v>
      </c>
      <c r="K403" s="46" t="s">
        <v>50</v>
      </c>
    </row>
    <row r="404" spans="2:11" x14ac:dyDescent="0.2">
      <c r="B404" s="122">
        <f t="shared" si="21"/>
        <v>401</v>
      </c>
      <c r="C404" s="123">
        <v>42461</v>
      </c>
      <c r="D404" s="16">
        <v>0.63888888888888895</v>
      </c>
      <c r="E404" s="46">
        <v>18.399999999999999</v>
      </c>
      <c r="F404" s="46">
        <v>20.8</v>
      </c>
      <c r="G404" s="46">
        <v>20.8</v>
      </c>
      <c r="H404" s="103">
        <f t="shared" si="20"/>
        <v>20</v>
      </c>
      <c r="I404" s="46">
        <v>32</v>
      </c>
      <c r="J404" s="46" t="s">
        <v>39</v>
      </c>
      <c r="K404" s="46" t="s">
        <v>50</v>
      </c>
    </row>
    <row r="405" spans="2:11" x14ac:dyDescent="0.2">
      <c r="B405" s="122">
        <f t="shared" si="21"/>
        <v>402</v>
      </c>
      <c r="C405" s="123">
        <v>42461</v>
      </c>
      <c r="D405" s="16">
        <v>0.78472222222222221</v>
      </c>
      <c r="E405" s="46">
        <v>15.9</v>
      </c>
      <c r="F405" s="46">
        <v>19.5</v>
      </c>
      <c r="G405" s="46">
        <v>21.5</v>
      </c>
      <c r="H405" s="103">
        <f t="shared" si="20"/>
        <v>18.966666666666665</v>
      </c>
      <c r="I405" s="46">
        <v>28</v>
      </c>
      <c r="J405" s="46" t="s">
        <v>39</v>
      </c>
      <c r="K405" s="46" t="s">
        <v>50</v>
      </c>
    </row>
    <row r="406" spans="2:11" x14ac:dyDescent="0.2">
      <c r="B406" s="122">
        <f t="shared" si="21"/>
        <v>403</v>
      </c>
      <c r="C406" s="123">
        <v>42462</v>
      </c>
      <c r="D406" s="16">
        <v>1.3888888888888888E-2</v>
      </c>
      <c r="E406" s="46">
        <v>19.3</v>
      </c>
      <c r="F406" s="46">
        <v>19.5</v>
      </c>
      <c r="G406" s="46">
        <v>20</v>
      </c>
      <c r="H406" s="103">
        <f t="shared" si="20"/>
        <v>19.599999999999998</v>
      </c>
      <c r="I406" s="46">
        <v>31</v>
      </c>
      <c r="J406" s="46" t="s">
        <v>38</v>
      </c>
      <c r="K406" s="46" t="s">
        <v>62</v>
      </c>
    </row>
    <row r="407" spans="2:11" x14ac:dyDescent="0.2">
      <c r="B407" s="122">
        <f t="shared" si="21"/>
        <v>404</v>
      </c>
      <c r="C407" s="123">
        <v>42462</v>
      </c>
      <c r="D407" s="16">
        <v>0.15972222222222224</v>
      </c>
      <c r="E407" s="46">
        <v>17</v>
      </c>
      <c r="F407" s="46">
        <v>18</v>
      </c>
      <c r="G407" s="46">
        <v>19.100000000000001</v>
      </c>
      <c r="H407" s="103">
        <f t="shared" si="20"/>
        <v>18.033333333333335</v>
      </c>
      <c r="I407" s="46">
        <v>26</v>
      </c>
      <c r="J407" s="46" t="s">
        <v>39</v>
      </c>
      <c r="K407" s="46" t="s">
        <v>57</v>
      </c>
    </row>
    <row r="408" spans="2:11" x14ac:dyDescent="0.2">
      <c r="B408" s="122">
        <f t="shared" si="21"/>
        <v>405</v>
      </c>
      <c r="C408" s="123">
        <v>42462</v>
      </c>
      <c r="D408" s="16">
        <v>0.46875</v>
      </c>
      <c r="E408" s="46">
        <v>11.2</v>
      </c>
      <c r="F408" s="46">
        <v>13.9</v>
      </c>
      <c r="G408" s="46">
        <v>15.6</v>
      </c>
      <c r="H408" s="103">
        <f t="shared" si="20"/>
        <v>13.566666666666668</v>
      </c>
      <c r="I408" s="46">
        <v>26</v>
      </c>
      <c r="J408" s="46" t="s">
        <v>38</v>
      </c>
      <c r="K408" s="46" t="s">
        <v>61</v>
      </c>
    </row>
    <row r="409" spans="2:11" x14ac:dyDescent="0.2">
      <c r="B409" s="122">
        <f t="shared" si="21"/>
        <v>406</v>
      </c>
      <c r="C409" s="123">
        <v>42462</v>
      </c>
      <c r="D409" s="16">
        <v>0.64444444444444449</v>
      </c>
      <c r="E409" s="46">
        <v>15.6</v>
      </c>
      <c r="F409" s="46">
        <v>17.899999999999999</v>
      </c>
      <c r="G409" s="46">
        <v>18.600000000000001</v>
      </c>
      <c r="H409" s="103">
        <f t="shared" si="20"/>
        <v>17.366666666666667</v>
      </c>
      <c r="I409" s="46">
        <v>25</v>
      </c>
      <c r="J409" s="46" t="s">
        <v>38</v>
      </c>
      <c r="K409" s="46" t="s">
        <v>61</v>
      </c>
    </row>
    <row r="410" spans="2:11" x14ac:dyDescent="0.2">
      <c r="B410" s="122">
        <f t="shared" si="21"/>
        <v>407</v>
      </c>
      <c r="C410" s="123">
        <v>42462</v>
      </c>
      <c r="D410" s="16">
        <v>0.86458333333333337</v>
      </c>
      <c r="E410" s="46">
        <v>19.399999999999999</v>
      </c>
      <c r="F410" s="46">
        <v>19.600000000000001</v>
      </c>
      <c r="G410" s="46">
        <v>20.7</v>
      </c>
      <c r="H410" s="103">
        <f t="shared" si="20"/>
        <v>19.900000000000002</v>
      </c>
      <c r="I410" s="46">
        <v>38</v>
      </c>
      <c r="J410" s="46" t="s">
        <v>38</v>
      </c>
      <c r="K410" s="46" t="s">
        <v>57</v>
      </c>
    </row>
    <row r="411" spans="2:11" x14ac:dyDescent="0.2">
      <c r="B411" s="122">
        <f t="shared" si="21"/>
        <v>408</v>
      </c>
      <c r="C411" s="123">
        <v>42463</v>
      </c>
      <c r="D411" s="16">
        <v>1.7361111111111112E-2</v>
      </c>
      <c r="E411" s="46">
        <v>16</v>
      </c>
      <c r="F411" s="46">
        <v>17.899999999999999</v>
      </c>
      <c r="G411" s="46">
        <v>19.2</v>
      </c>
      <c r="H411" s="103">
        <f t="shared" si="20"/>
        <v>17.7</v>
      </c>
      <c r="I411" s="46">
        <v>31</v>
      </c>
      <c r="J411" s="46" t="s">
        <v>38</v>
      </c>
      <c r="K411" s="46" t="s">
        <v>57</v>
      </c>
    </row>
    <row r="412" spans="2:11" x14ac:dyDescent="0.2">
      <c r="B412" s="122">
        <f t="shared" si="21"/>
        <v>409</v>
      </c>
      <c r="C412" s="123">
        <v>42463</v>
      </c>
      <c r="D412" s="16">
        <v>0.15625</v>
      </c>
      <c r="E412" s="46">
        <v>17.5</v>
      </c>
      <c r="F412" s="46">
        <v>18.100000000000001</v>
      </c>
      <c r="G412" s="46">
        <v>19.600000000000001</v>
      </c>
      <c r="H412" s="103">
        <f t="shared" si="20"/>
        <v>18.400000000000002</v>
      </c>
      <c r="I412" s="46">
        <v>29</v>
      </c>
      <c r="J412" s="46" t="s">
        <v>39</v>
      </c>
      <c r="K412" s="46" t="s">
        <v>57</v>
      </c>
    </row>
    <row r="413" spans="2:11" x14ac:dyDescent="0.2">
      <c r="B413" s="122">
        <f t="shared" si="21"/>
        <v>410</v>
      </c>
      <c r="C413" s="123">
        <v>42463</v>
      </c>
      <c r="D413" s="16">
        <v>0.47916666666666669</v>
      </c>
      <c r="E413" s="46">
        <v>16.2</v>
      </c>
      <c r="F413" s="46">
        <v>17.5</v>
      </c>
      <c r="G413" s="46">
        <v>18.600000000000001</v>
      </c>
      <c r="H413" s="103">
        <f t="shared" si="20"/>
        <v>17.433333333333334</v>
      </c>
      <c r="I413" s="46">
        <v>31</v>
      </c>
      <c r="J413" s="46" t="s">
        <v>39</v>
      </c>
      <c r="K413" s="46" t="s">
        <v>61</v>
      </c>
    </row>
    <row r="414" spans="2:11" x14ac:dyDescent="0.2">
      <c r="B414" s="122">
        <f t="shared" si="21"/>
        <v>411</v>
      </c>
      <c r="C414" s="123">
        <v>42463</v>
      </c>
      <c r="D414" s="16">
        <v>0.64444444444444449</v>
      </c>
      <c r="E414" s="46">
        <v>19.3</v>
      </c>
      <c r="F414" s="46">
        <v>19.600000000000001</v>
      </c>
      <c r="G414" s="46">
        <v>18.600000000000001</v>
      </c>
      <c r="H414" s="103">
        <f t="shared" si="20"/>
        <v>19.166666666666668</v>
      </c>
      <c r="I414" s="46">
        <v>33</v>
      </c>
      <c r="J414" s="46" t="s">
        <v>38</v>
      </c>
      <c r="K414" s="46" t="s">
        <v>50</v>
      </c>
    </row>
    <row r="415" spans="2:11" x14ac:dyDescent="0.2">
      <c r="B415" s="122">
        <f t="shared" si="21"/>
        <v>412</v>
      </c>
      <c r="C415" s="123">
        <v>42463</v>
      </c>
      <c r="D415" s="16">
        <v>0.86111111111111116</v>
      </c>
      <c r="E415" s="46">
        <v>15.6</v>
      </c>
      <c r="F415" s="46">
        <v>16.899999999999999</v>
      </c>
      <c r="G415" s="46">
        <v>20.100000000000001</v>
      </c>
      <c r="H415" s="103">
        <f t="shared" si="20"/>
        <v>17.533333333333335</v>
      </c>
      <c r="I415" s="46">
        <v>40</v>
      </c>
      <c r="J415" s="46" t="s">
        <v>38</v>
      </c>
      <c r="K415" s="46" t="s">
        <v>57</v>
      </c>
    </row>
    <row r="416" spans="2:11" x14ac:dyDescent="0.2">
      <c r="B416" s="122">
        <f t="shared" si="21"/>
        <v>413</v>
      </c>
      <c r="C416" s="123">
        <v>42464</v>
      </c>
      <c r="D416" s="16">
        <v>1.0416666666666666E-2</v>
      </c>
      <c r="E416" s="46">
        <v>14</v>
      </c>
      <c r="F416" s="46">
        <v>16.3</v>
      </c>
      <c r="G416" s="46">
        <v>17.3</v>
      </c>
      <c r="H416" s="103">
        <f t="shared" si="20"/>
        <v>15.866666666666667</v>
      </c>
      <c r="I416" s="46">
        <v>33</v>
      </c>
      <c r="J416" s="46" t="s">
        <v>38</v>
      </c>
      <c r="K416" s="46" t="s">
        <v>57</v>
      </c>
    </row>
    <row r="417" spans="2:11" x14ac:dyDescent="0.2">
      <c r="B417" s="122">
        <f t="shared" si="21"/>
        <v>414</v>
      </c>
      <c r="C417" s="123">
        <v>42464</v>
      </c>
      <c r="D417" s="16">
        <v>0.15625</v>
      </c>
      <c r="E417" s="46">
        <v>17.600000000000001</v>
      </c>
      <c r="F417" s="46">
        <v>19.3</v>
      </c>
      <c r="G417" s="46">
        <v>18.600000000000001</v>
      </c>
      <c r="H417" s="103">
        <f t="shared" si="20"/>
        <v>18.500000000000004</v>
      </c>
      <c r="I417" s="46">
        <v>45</v>
      </c>
      <c r="J417" s="46" t="s">
        <v>39</v>
      </c>
      <c r="K417" s="46" t="s">
        <v>57</v>
      </c>
    </row>
    <row r="418" spans="2:11" x14ac:dyDescent="0.2">
      <c r="B418" s="122">
        <f t="shared" si="21"/>
        <v>415</v>
      </c>
      <c r="C418" s="123">
        <v>42464</v>
      </c>
      <c r="D418" s="16">
        <v>0.47222222222222227</v>
      </c>
      <c r="E418" s="46">
        <v>17.8</v>
      </c>
      <c r="F418" s="46">
        <v>19.2</v>
      </c>
      <c r="G418" s="46">
        <v>20.3</v>
      </c>
      <c r="H418" s="103">
        <f t="shared" si="20"/>
        <v>19.099999999999998</v>
      </c>
      <c r="I418" s="46">
        <v>34</v>
      </c>
      <c r="J418" s="46" t="s">
        <v>38</v>
      </c>
      <c r="K418" s="46" t="s">
        <v>61</v>
      </c>
    </row>
    <row r="419" spans="2:11" x14ac:dyDescent="0.2">
      <c r="B419" s="122">
        <f t="shared" si="21"/>
        <v>416</v>
      </c>
      <c r="C419" s="123">
        <v>42464</v>
      </c>
      <c r="D419" s="16">
        <v>0.63194444444444442</v>
      </c>
      <c r="E419" s="46">
        <v>17.399999999999999</v>
      </c>
      <c r="F419" s="46">
        <v>19.8</v>
      </c>
      <c r="G419" s="46">
        <v>20.399999999999999</v>
      </c>
      <c r="H419" s="103">
        <f t="shared" si="20"/>
        <v>19.2</v>
      </c>
      <c r="I419" s="46">
        <v>39</v>
      </c>
      <c r="J419" s="46" t="s">
        <v>38</v>
      </c>
      <c r="K419" s="46" t="s">
        <v>50</v>
      </c>
    </row>
    <row r="420" spans="2:11" x14ac:dyDescent="0.2">
      <c r="B420" s="122">
        <f t="shared" si="21"/>
        <v>417</v>
      </c>
      <c r="C420" s="123">
        <v>42464</v>
      </c>
      <c r="D420" s="16">
        <v>0.81597222222222221</v>
      </c>
      <c r="E420" s="46">
        <v>18.2</v>
      </c>
      <c r="F420" s="46">
        <v>18.7</v>
      </c>
      <c r="G420" s="46">
        <v>19.600000000000001</v>
      </c>
      <c r="H420" s="103">
        <f t="shared" si="20"/>
        <v>18.833333333333332</v>
      </c>
      <c r="I420" s="46">
        <v>35</v>
      </c>
      <c r="J420" s="46" t="s">
        <v>39</v>
      </c>
      <c r="K420" s="46" t="s">
        <v>61</v>
      </c>
    </row>
    <row r="421" spans="2:11" x14ac:dyDescent="0.2">
      <c r="B421" s="122">
        <f t="shared" si="21"/>
        <v>418</v>
      </c>
      <c r="C421" s="123">
        <v>42465</v>
      </c>
      <c r="D421" s="16">
        <v>1.0416666666666666E-2</v>
      </c>
      <c r="E421" s="46">
        <v>17.8</v>
      </c>
      <c r="F421" s="46">
        <v>18.399999999999999</v>
      </c>
      <c r="G421" s="46">
        <v>19.3</v>
      </c>
      <c r="H421" s="103">
        <f t="shared" si="20"/>
        <v>18.5</v>
      </c>
      <c r="I421" s="46">
        <v>35</v>
      </c>
      <c r="J421" s="46" t="s">
        <v>38</v>
      </c>
      <c r="K421" s="46" t="s">
        <v>57</v>
      </c>
    </row>
    <row r="422" spans="2:11" x14ac:dyDescent="0.2">
      <c r="B422" s="122">
        <f t="shared" si="21"/>
        <v>419</v>
      </c>
      <c r="C422" s="123">
        <v>42465</v>
      </c>
      <c r="D422" s="16">
        <v>0.15277777777777776</v>
      </c>
      <c r="E422" s="46">
        <v>18.2</v>
      </c>
      <c r="F422" s="46">
        <v>19.600000000000001</v>
      </c>
      <c r="G422" s="46">
        <v>21.2</v>
      </c>
      <c r="H422" s="103">
        <f t="shared" si="20"/>
        <v>19.666666666666668</v>
      </c>
      <c r="I422" s="46">
        <v>33</v>
      </c>
      <c r="J422" s="46" t="s">
        <v>39</v>
      </c>
      <c r="K422" s="46" t="s">
        <v>57</v>
      </c>
    </row>
    <row r="423" spans="2:11" x14ac:dyDescent="0.2">
      <c r="B423" s="122">
        <f t="shared" si="21"/>
        <v>420</v>
      </c>
      <c r="C423" s="123">
        <v>42465</v>
      </c>
      <c r="D423" s="16">
        <v>0.46875</v>
      </c>
      <c r="E423" s="46">
        <v>17.8</v>
      </c>
      <c r="F423" s="46">
        <v>19.2</v>
      </c>
      <c r="G423" s="46">
        <v>20.6</v>
      </c>
      <c r="H423" s="103">
        <f t="shared" si="20"/>
        <v>19.2</v>
      </c>
      <c r="I423" s="46">
        <v>28</v>
      </c>
      <c r="J423" s="46" t="s">
        <v>38</v>
      </c>
      <c r="K423" s="46" t="s">
        <v>62</v>
      </c>
    </row>
    <row r="424" spans="2:11" x14ac:dyDescent="0.2">
      <c r="B424" s="122">
        <f t="shared" si="21"/>
        <v>421</v>
      </c>
      <c r="C424" s="123">
        <v>42465</v>
      </c>
      <c r="D424" s="16">
        <v>0.65277777777777779</v>
      </c>
      <c r="E424" s="46">
        <v>18.5</v>
      </c>
      <c r="F424" s="46">
        <v>18.7</v>
      </c>
      <c r="G424" s="46">
        <v>19.8</v>
      </c>
      <c r="H424" s="103">
        <f t="shared" si="20"/>
        <v>19</v>
      </c>
      <c r="I424" s="46">
        <v>24</v>
      </c>
      <c r="J424" s="46" t="s">
        <v>39</v>
      </c>
      <c r="K424" s="46" t="s">
        <v>57</v>
      </c>
    </row>
    <row r="425" spans="2:11" x14ac:dyDescent="0.2">
      <c r="B425" s="122">
        <f t="shared" si="21"/>
        <v>422</v>
      </c>
      <c r="C425" s="123">
        <v>42465</v>
      </c>
      <c r="D425" s="16">
        <v>0.80208333333333337</v>
      </c>
      <c r="E425" s="46">
        <v>19.399999999999999</v>
      </c>
      <c r="F425" s="46">
        <v>19.899999999999999</v>
      </c>
      <c r="G425" s="46">
        <v>20.100000000000001</v>
      </c>
      <c r="H425" s="103">
        <f t="shared" si="20"/>
        <v>19.8</v>
      </c>
      <c r="I425" s="46">
        <v>36</v>
      </c>
      <c r="J425" s="46" t="s">
        <v>39</v>
      </c>
      <c r="K425" s="46" t="s">
        <v>62</v>
      </c>
    </row>
    <row r="426" spans="2:11" x14ac:dyDescent="0.2">
      <c r="B426" s="122">
        <f t="shared" si="21"/>
        <v>423</v>
      </c>
      <c r="C426" s="123">
        <v>42465</v>
      </c>
      <c r="D426" s="16">
        <v>0.98958333333333337</v>
      </c>
      <c r="E426" s="46">
        <v>18.600000000000001</v>
      </c>
      <c r="F426" s="46">
        <v>18.7</v>
      </c>
      <c r="G426" s="46">
        <v>20.2</v>
      </c>
      <c r="H426" s="103">
        <f t="shared" si="20"/>
        <v>19.166666666666668</v>
      </c>
      <c r="I426" s="46">
        <v>35</v>
      </c>
      <c r="J426" s="46" t="s">
        <v>38</v>
      </c>
      <c r="K426" s="46" t="s">
        <v>50</v>
      </c>
    </row>
    <row r="427" spans="2:11" x14ac:dyDescent="0.2">
      <c r="B427" s="122">
        <f t="shared" si="21"/>
        <v>424</v>
      </c>
      <c r="C427" s="123">
        <v>42466</v>
      </c>
      <c r="D427" s="16">
        <v>0.13541666666666666</v>
      </c>
      <c r="E427" s="46">
        <v>16.8</v>
      </c>
      <c r="F427" s="46">
        <v>17.2</v>
      </c>
      <c r="G427" s="46">
        <v>19.5</v>
      </c>
      <c r="H427" s="103">
        <f t="shared" si="20"/>
        <v>17.833333333333332</v>
      </c>
      <c r="I427" s="46">
        <v>28</v>
      </c>
      <c r="J427" s="46" t="s">
        <v>39</v>
      </c>
      <c r="K427" s="46" t="s">
        <v>50</v>
      </c>
    </row>
    <row r="428" spans="2:11" x14ac:dyDescent="0.2">
      <c r="B428" s="122">
        <f t="shared" si="21"/>
        <v>425</v>
      </c>
      <c r="C428" s="123">
        <v>42466</v>
      </c>
      <c r="D428" s="16">
        <v>0.46875</v>
      </c>
      <c r="E428" s="46">
        <v>19.100000000000001</v>
      </c>
      <c r="F428" s="46">
        <v>19.5</v>
      </c>
      <c r="G428" s="46">
        <v>21.3</v>
      </c>
      <c r="H428" s="103">
        <f t="shared" si="20"/>
        <v>19.966666666666669</v>
      </c>
      <c r="I428" s="46">
        <v>26</v>
      </c>
      <c r="J428" s="46" t="s">
        <v>38</v>
      </c>
      <c r="K428" s="46" t="s">
        <v>50</v>
      </c>
    </row>
    <row r="429" spans="2:11" x14ac:dyDescent="0.2">
      <c r="B429" s="122">
        <f t="shared" si="21"/>
        <v>426</v>
      </c>
      <c r="C429" s="123">
        <v>42466</v>
      </c>
      <c r="D429" s="16">
        <v>0.65416666666666667</v>
      </c>
      <c r="E429" s="46">
        <v>18.3</v>
      </c>
      <c r="F429" s="46">
        <v>19.5</v>
      </c>
      <c r="G429" s="46">
        <v>20.2</v>
      </c>
      <c r="H429" s="103">
        <f t="shared" si="20"/>
        <v>19.333333333333332</v>
      </c>
      <c r="I429" s="46">
        <v>35</v>
      </c>
      <c r="J429" s="46" t="s">
        <v>39</v>
      </c>
      <c r="K429" s="46" t="s">
        <v>50</v>
      </c>
    </row>
    <row r="430" spans="2:11" x14ac:dyDescent="0.2">
      <c r="B430" s="122">
        <f t="shared" si="21"/>
        <v>427</v>
      </c>
      <c r="C430" s="123">
        <v>42466</v>
      </c>
      <c r="D430" s="16">
        <v>0.89583333333333337</v>
      </c>
      <c r="E430" s="46">
        <v>17.8</v>
      </c>
      <c r="F430" s="46">
        <v>18.2</v>
      </c>
      <c r="G430" s="46">
        <v>19.3</v>
      </c>
      <c r="H430" s="103">
        <f t="shared" si="20"/>
        <v>18.433333333333334</v>
      </c>
      <c r="I430" s="46">
        <v>32</v>
      </c>
      <c r="J430" s="46" t="s">
        <v>38</v>
      </c>
      <c r="K430" s="46" t="s">
        <v>57</v>
      </c>
    </row>
    <row r="431" spans="2:11" x14ac:dyDescent="0.2">
      <c r="B431" s="122">
        <f t="shared" si="21"/>
        <v>428</v>
      </c>
      <c r="C431" s="123">
        <v>42467</v>
      </c>
      <c r="D431" s="16">
        <v>3.4722222222222224E-2</v>
      </c>
      <c r="E431" s="46">
        <v>17</v>
      </c>
      <c r="F431" s="46">
        <v>17.399999999999999</v>
      </c>
      <c r="G431" s="46">
        <v>22.7</v>
      </c>
      <c r="H431" s="103">
        <f t="shared" si="20"/>
        <v>19.033333333333331</v>
      </c>
      <c r="I431" s="46">
        <v>23</v>
      </c>
      <c r="J431" s="46" t="s">
        <v>39</v>
      </c>
      <c r="K431" s="46" t="s">
        <v>57</v>
      </c>
    </row>
    <row r="432" spans="2:11" x14ac:dyDescent="0.2">
      <c r="B432" s="122">
        <f t="shared" si="21"/>
        <v>429</v>
      </c>
      <c r="C432" s="123">
        <v>42467</v>
      </c>
      <c r="D432" s="16">
        <v>0.17708333333333334</v>
      </c>
      <c r="E432" s="46">
        <v>14.8</v>
      </c>
      <c r="F432" s="46">
        <v>16.8</v>
      </c>
      <c r="G432" s="46">
        <v>21.1</v>
      </c>
      <c r="H432" s="103">
        <f t="shared" si="20"/>
        <v>17.566666666666666</v>
      </c>
      <c r="I432" s="46">
        <v>32</v>
      </c>
      <c r="J432" s="46" t="s">
        <v>39</v>
      </c>
      <c r="K432" s="46" t="s">
        <v>57</v>
      </c>
    </row>
    <row r="433" spans="2:11" x14ac:dyDescent="0.2">
      <c r="B433" s="122">
        <f t="shared" si="21"/>
        <v>430</v>
      </c>
      <c r="C433" s="123">
        <v>42467</v>
      </c>
      <c r="D433" s="16">
        <v>0.46875</v>
      </c>
      <c r="E433" s="46">
        <v>18.899999999999999</v>
      </c>
      <c r="F433" s="46">
        <v>19.399999999999999</v>
      </c>
      <c r="G433" s="46">
        <v>21.2</v>
      </c>
      <c r="H433" s="103">
        <f t="shared" si="20"/>
        <v>19.833333333333332</v>
      </c>
      <c r="I433" s="46">
        <v>29</v>
      </c>
      <c r="J433" s="46" t="s">
        <v>38</v>
      </c>
      <c r="K433" s="46" t="s">
        <v>61</v>
      </c>
    </row>
    <row r="434" spans="2:11" x14ac:dyDescent="0.2">
      <c r="B434" s="122">
        <f t="shared" si="21"/>
        <v>431</v>
      </c>
      <c r="C434" s="123">
        <v>42467</v>
      </c>
      <c r="D434" s="16">
        <v>0.64930555555555558</v>
      </c>
      <c r="E434" s="46">
        <v>19.3</v>
      </c>
      <c r="F434" s="46">
        <v>19.8</v>
      </c>
      <c r="G434" s="46">
        <v>20.6</v>
      </c>
      <c r="H434" s="103">
        <f t="shared" si="20"/>
        <v>19.900000000000002</v>
      </c>
      <c r="I434" s="46">
        <v>25</v>
      </c>
      <c r="J434" s="46" t="s">
        <v>39</v>
      </c>
      <c r="K434" s="46" t="s">
        <v>50</v>
      </c>
    </row>
    <row r="435" spans="2:11" x14ac:dyDescent="0.2">
      <c r="B435" s="122">
        <f t="shared" si="21"/>
        <v>432</v>
      </c>
      <c r="C435" s="123">
        <v>42467</v>
      </c>
      <c r="D435" s="16">
        <v>0.90763888888888899</v>
      </c>
      <c r="E435" s="46">
        <v>17.8</v>
      </c>
      <c r="F435" s="46">
        <v>18.5</v>
      </c>
      <c r="G435" s="46">
        <v>18.7</v>
      </c>
      <c r="H435" s="103">
        <f t="shared" si="20"/>
        <v>18.333333333333332</v>
      </c>
      <c r="I435" s="46">
        <v>35</v>
      </c>
      <c r="J435" s="46" t="s">
        <v>39</v>
      </c>
      <c r="K435" s="46" t="s">
        <v>61</v>
      </c>
    </row>
    <row r="436" spans="2:11" x14ac:dyDescent="0.2">
      <c r="B436" s="122">
        <f t="shared" si="21"/>
        <v>433</v>
      </c>
      <c r="C436" s="123">
        <v>42468</v>
      </c>
      <c r="D436" s="16">
        <v>9.375E-2</v>
      </c>
      <c r="E436" s="46">
        <v>17.5</v>
      </c>
      <c r="F436" s="46">
        <v>18.399999999999999</v>
      </c>
      <c r="G436" s="46">
        <v>20.8</v>
      </c>
      <c r="H436" s="103">
        <f t="shared" ref="H436:H442" si="22">AVERAGE(E436:G436)</f>
        <v>18.900000000000002</v>
      </c>
      <c r="I436" s="46">
        <v>37</v>
      </c>
      <c r="J436" s="46" t="s">
        <v>38</v>
      </c>
      <c r="K436" s="46" t="s">
        <v>62</v>
      </c>
    </row>
    <row r="437" spans="2:11" x14ac:dyDescent="0.2">
      <c r="B437" s="122">
        <f t="shared" si="21"/>
        <v>434</v>
      </c>
      <c r="C437" s="123">
        <v>42468</v>
      </c>
      <c r="D437" s="16">
        <v>0.47222222222222227</v>
      </c>
      <c r="E437" s="46">
        <v>16.8</v>
      </c>
      <c r="F437" s="46">
        <v>18.7</v>
      </c>
      <c r="G437" s="46">
        <v>22</v>
      </c>
      <c r="H437" s="103">
        <f t="shared" si="22"/>
        <v>19.166666666666668</v>
      </c>
      <c r="I437" s="46">
        <v>43</v>
      </c>
      <c r="J437" s="46" t="s">
        <v>38</v>
      </c>
      <c r="K437" s="46" t="s">
        <v>50</v>
      </c>
    </row>
    <row r="438" spans="2:11" x14ac:dyDescent="0.2">
      <c r="B438" s="122">
        <f t="shared" si="21"/>
        <v>435</v>
      </c>
      <c r="C438" s="123">
        <v>42468</v>
      </c>
      <c r="D438" s="16">
        <v>0.65625</v>
      </c>
      <c r="E438" s="46">
        <v>16.2</v>
      </c>
      <c r="F438" s="46">
        <v>17.7</v>
      </c>
      <c r="G438" s="46">
        <v>18.5</v>
      </c>
      <c r="H438" s="103">
        <f t="shared" si="22"/>
        <v>17.466666666666665</v>
      </c>
      <c r="I438" s="46">
        <v>32</v>
      </c>
      <c r="J438" s="46" t="s">
        <v>39</v>
      </c>
      <c r="K438" s="46" t="s">
        <v>50</v>
      </c>
    </row>
    <row r="439" spans="2:11" x14ac:dyDescent="0.2">
      <c r="B439" s="122">
        <f t="shared" si="21"/>
        <v>436</v>
      </c>
      <c r="C439" s="123">
        <v>42468</v>
      </c>
      <c r="D439" s="16">
        <v>0.89236111111111116</v>
      </c>
      <c r="E439" s="46">
        <v>14.3</v>
      </c>
      <c r="F439" s="46">
        <v>15.5</v>
      </c>
      <c r="G439" s="46">
        <v>15.9</v>
      </c>
      <c r="H439" s="103">
        <f t="shared" si="22"/>
        <v>15.233333333333334</v>
      </c>
      <c r="I439" s="46">
        <v>31</v>
      </c>
      <c r="J439" s="46" t="s">
        <v>38</v>
      </c>
      <c r="K439" s="46" t="s">
        <v>57</v>
      </c>
    </row>
    <row r="440" spans="2:11" x14ac:dyDescent="0.2">
      <c r="B440" s="122">
        <f t="shared" si="21"/>
        <v>437</v>
      </c>
      <c r="C440" s="123">
        <v>42469</v>
      </c>
      <c r="D440" s="16">
        <v>3.125E-2</v>
      </c>
      <c r="E440" s="46">
        <v>10.3</v>
      </c>
      <c r="F440" s="46">
        <v>13.4</v>
      </c>
      <c r="G440" s="46">
        <v>14.5</v>
      </c>
      <c r="H440" s="103">
        <f t="shared" si="22"/>
        <v>12.733333333333334</v>
      </c>
      <c r="I440" s="46">
        <v>29</v>
      </c>
      <c r="J440" s="46" t="s">
        <v>38</v>
      </c>
      <c r="K440" s="46" t="s">
        <v>62</v>
      </c>
    </row>
    <row r="441" spans="2:11" x14ac:dyDescent="0.2">
      <c r="B441" s="122">
        <f t="shared" si="21"/>
        <v>438</v>
      </c>
      <c r="C441" s="123">
        <v>42469</v>
      </c>
      <c r="D441" s="16">
        <v>0.17708333333333334</v>
      </c>
      <c r="E441" s="46">
        <v>17.600000000000001</v>
      </c>
      <c r="F441" s="46">
        <v>18.399999999999999</v>
      </c>
      <c r="G441" s="46">
        <v>19.399999999999999</v>
      </c>
      <c r="H441" s="103">
        <f t="shared" si="22"/>
        <v>18.466666666666665</v>
      </c>
      <c r="I441" s="46">
        <v>41</v>
      </c>
      <c r="J441" s="46" t="s">
        <v>39</v>
      </c>
      <c r="K441" s="46" t="s">
        <v>62</v>
      </c>
    </row>
    <row r="442" spans="2:11" x14ac:dyDescent="0.2">
      <c r="B442" s="122">
        <f t="shared" si="21"/>
        <v>439</v>
      </c>
      <c r="C442" s="123">
        <v>42469</v>
      </c>
      <c r="D442" s="16">
        <v>0.48958333333333331</v>
      </c>
      <c r="E442" s="46">
        <v>18.2</v>
      </c>
      <c r="F442" s="46">
        <v>19</v>
      </c>
      <c r="G442" s="46">
        <v>20.6</v>
      </c>
      <c r="H442" s="103">
        <f t="shared" si="22"/>
        <v>19.266666666666669</v>
      </c>
      <c r="I442" s="46">
        <v>22</v>
      </c>
      <c r="J442" s="46" t="s">
        <v>38</v>
      </c>
      <c r="K442" s="46" t="s">
        <v>50</v>
      </c>
    </row>
    <row r="443" spans="2:11" x14ac:dyDescent="0.2">
      <c r="B443" s="122">
        <f t="shared" si="21"/>
        <v>440</v>
      </c>
      <c r="C443" s="123">
        <v>42469</v>
      </c>
      <c r="D443" s="16">
        <v>0.65625</v>
      </c>
      <c r="E443" s="46">
        <v>18.3</v>
      </c>
      <c r="F443" s="46">
        <v>19.600000000000001</v>
      </c>
      <c r="G443" s="46">
        <v>21.8</v>
      </c>
      <c r="H443" s="103">
        <f t="shared" ref="H443:H456" si="23">AVERAGE(E443:G443)</f>
        <v>19.900000000000002</v>
      </c>
      <c r="I443" s="46">
        <v>32</v>
      </c>
      <c r="J443" s="46" t="s">
        <v>39</v>
      </c>
      <c r="K443" s="46" t="s">
        <v>50</v>
      </c>
    </row>
    <row r="444" spans="2:11" x14ac:dyDescent="0.2">
      <c r="B444" s="122">
        <f t="shared" si="21"/>
        <v>441</v>
      </c>
      <c r="C444" s="123">
        <v>42469</v>
      </c>
      <c r="D444" s="16">
        <v>0.88194444444444453</v>
      </c>
      <c r="E444" s="46">
        <v>17.8</v>
      </c>
      <c r="F444" s="46">
        <v>20</v>
      </c>
      <c r="G444" s="46">
        <v>21</v>
      </c>
      <c r="H444" s="103">
        <f t="shared" si="23"/>
        <v>19.599999999999998</v>
      </c>
      <c r="I444" s="46">
        <v>35</v>
      </c>
      <c r="J444" s="46" t="s">
        <v>39</v>
      </c>
      <c r="K444" s="46" t="s">
        <v>57</v>
      </c>
    </row>
    <row r="445" spans="2:11" x14ac:dyDescent="0.2">
      <c r="B445" s="122">
        <f t="shared" si="21"/>
        <v>442</v>
      </c>
      <c r="C445" s="123">
        <v>42470</v>
      </c>
      <c r="D445" s="16">
        <v>3.4722222222222224E-2</v>
      </c>
      <c r="E445" s="46">
        <v>16.399999999999999</v>
      </c>
      <c r="F445" s="46">
        <v>17.899999999999999</v>
      </c>
      <c r="G445" s="46">
        <v>18.100000000000001</v>
      </c>
      <c r="H445" s="103">
        <f t="shared" si="23"/>
        <v>17.466666666666665</v>
      </c>
      <c r="I445" s="46">
        <v>39</v>
      </c>
      <c r="J445" s="46" t="s">
        <v>39</v>
      </c>
      <c r="K445" s="46" t="s">
        <v>57</v>
      </c>
    </row>
    <row r="446" spans="2:11" x14ac:dyDescent="0.2">
      <c r="B446" s="122">
        <f t="shared" si="21"/>
        <v>443</v>
      </c>
      <c r="C446" s="123">
        <v>42470</v>
      </c>
      <c r="D446" s="16">
        <v>0.17361111111111113</v>
      </c>
      <c r="E446" s="46">
        <v>14.9</v>
      </c>
      <c r="F446" s="46">
        <v>16.899999999999999</v>
      </c>
      <c r="G446" s="46">
        <v>17.100000000000001</v>
      </c>
      <c r="H446" s="103">
        <f t="shared" si="23"/>
        <v>16.3</v>
      </c>
      <c r="I446" s="46">
        <v>43</v>
      </c>
      <c r="J446" s="46" t="s">
        <v>39</v>
      </c>
      <c r="K446" s="46" t="s">
        <v>62</v>
      </c>
    </row>
    <row r="447" spans="2:11" x14ac:dyDescent="0.2">
      <c r="B447" s="122">
        <f t="shared" si="21"/>
        <v>444</v>
      </c>
      <c r="C447" s="123">
        <v>42470</v>
      </c>
      <c r="D447" s="16">
        <v>0.4861111111111111</v>
      </c>
      <c r="E447" s="46">
        <v>18.3</v>
      </c>
      <c r="F447" s="46">
        <v>18.899999999999999</v>
      </c>
      <c r="G447" s="46">
        <v>20.5</v>
      </c>
      <c r="H447" s="103">
        <f t="shared" si="23"/>
        <v>19.233333333333334</v>
      </c>
      <c r="I447" s="46">
        <v>28</v>
      </c>
      <c r="J447" s="46" t="s">
        <v>38</v>
      </c>
      <c r="K447" s="46" t="s">
        <v>50</v>
      </c>
    </row>
    <row r="448" spans="2:11" x14ac:dyDescent="0.2">
      <c r="B448" s="122">
        <f t="shared" si="21"/>
        <v>445</v>
      </c>
      <c r="C448" s="123">
        <v>42470</v>
      </c>
      <c r="D448" s="16">
        <v>0.67361111111111116</v>
      </c>
      <c r="E448" s="46">
        <v>22.4</v>
      </c>
      <c r="F448" s="46">
        <v>23.5</v>
      </c>
      <c r="G448" s="46">
        <v>25.3</v>
      </c>
      <c r="H448" s="103">
        <f t="shared" si="23"/>
        <v>23.733333333333334</v>
      </c>
      <c r="I448" s="46">
        <v>28</v>
      </c>
      <c r="J448" s="46" t="s">
        <v>39</v>
      </c>
      <c r="K448" s="46" t="s">
        <v>61</v>
      </c>
    </row>
    <row r="449" spans="2:11" x14ac:dyDescent="0.2">
      <c r="B449" s="122">
        <f t="shared" si="21"/>
        <v>446</v>
      </c>
      <c r="C449" s="123">
        <v>42470</v>
      </c>
      <c r="D449" s="16">
        <v>0.88541666666666663</v>
      </c>
      <c r="E449" s="46">
        <v>19.600000000000001</v>
      </c>
      <c r="F449" s="46">
        <v>20.7</v>
      </c>
      <c r="G449" s="46">
        <v>21.4</v>
      </c>
      <c r="H449" s="103">
        <f t="shared" si="23"/>
        <v>20.566666666666666</v>
      </c>
      <c r="I449" s="46">
        <v>36</v>
      </c>
      <c r="J449" s="46" t="s">
        <v>38</v>
      </c>
      <c r="K449" s="46" t="s">
        <v>62</v>
      </c>
    </row>
    <row r="450" spans="2:11" x14ac:dyDescent="0.2">
      <c r="B450" s="122">
        <f t="shared" si="21"/>
        <v>447</v>
      </c>
      <c r="C450" s="123">
        <v>42471</v>
      </c>
      <c r="D450" s="16">
        <v>3.4722222222222224E-2</v>
      </c>
      <c r="E450" s="46">
        <v>17.5</v>
      </c>
      <c r="F450" s="46">
        <v>17.899999999999999</v>
      </c>
      <c r="G450" s="46">
        <v>19.600000000000001</v>
      </c>
      <c r="H450" s="103">
        <f t="shared" si="23"/>
        <v>18.333333333333332</v>
      </c>
      <c r="I450" s="46">
        <v>35</v>
      </c>
      <c r="J450" s="46" t="s">
        <v>39</v>
      </c>
      <c r="K450" s="46" t="s">
        <v>62</v>
      </c>
    </row>
    <row r="451" spans="2:11" x14ac:dyDescent="0.2">
      <c r="B451" s="122">
        <f t="shared" si="21"/>
        <v>448</v>
      </c>
      <c r="C451" s="123">
        <v>42471</v>
      </c>
      <c r="D451" s="16">
        <v>0.18055555555555555</v>
      </c>
      <c r="E451" s="46">
        <v>16.600000000000001</v>
      </c>
      <c r="F451" s="46">
        <v>18.899999999999999</v>
      </c>
      <c r="G451" s="46">
        <v>20.100000000000001</v>
      </c>
      <c r="H451" s="103">
        <f t="shared" si="23"/>
        <v>18.533333333333335</v>
      </c>
      <c r="I451" s="46">
        <v>45</v>
      </c>
      <c r="J451" s="46" t="s">
        <v>39</v>
      </c>
      <c r="K451" s="46" t="s">
        <v>62</v>
      </c>
    </row>
    <row r="452" spans="2:11" x14ac:dyDescent="0.2">
      <c r="B452" s="122">
        <f t="shared" si="21"/>
        <v>449</v>
      </c>
      <c r="C452" s="123">
        <v>42471</v>
      </c>
      <c r="D452" s="16">
        <v>0.42708333333333331</v>
      </c>
      <c r="E452" s="46">
        <v>18.7</v>
      </c>
      <c r="F452" s="46">
        <v>19.5</v>
      </c>
      <c r="G452" s="46">
        <v>20.2</v>
      </c>
      <c r="H452" s="103">
        <f t="shared" si="23"/>
        <v>19.466666666666669</v>
      </c>
      <c r="I452" s="46">
        <v>34</v>
      </c>
      <c r="J452" s="46" t="s">
        <v>38</v>
      </c>
      <c r="K452" s="46" t="s">
        <v>50</v>
      </c>
    </row>
    <row r="453" spans="2:11" x14ac:dyDescent="0.2">
      <c r="B453" s="122">
        <f t="shared" si="21"/>
        <v>450</v>
      </c>
      <c r="C453" s="123">
        <v>42471</v>
      </c>
      <c r="D453" s="16">
        <v>0.61458333333333337</v>
      </c>
      <c r="E453" s="46">
        <v>18.899999999999999</v>
      </c>
      <c r="F453" s="46">
        <v>20.3</v>
      </c>
      <c r="G453" s="46">
        <v>21.1</v>
      </c>
      <c r="H453" s="103">
        <f t="shared" si="23"/>
        <v>20.100000000000001</v>
      </c>
      <c r="I453" s="46">
        <v>29</v>
      </c>
      <c r="J453" s="46" t="s">
        <v>38</v>
      </c>
      <c r="K453" s="46" t="s">
        <v>61</v>
      </c>
    </row>
    <row r="454" spans="2:11" x14ac:dyDescent="0.2">
      <c r="B454" s="122">
        <f t="shared" si="21"/>
        <v>451</v>
      </c>
      <c r="C454" s="123">
        <v>42471</v>
      </c>
      <c r="D454" s="16">
        <v>0.76041666666666663</v>
      </c>
      <c r="E454" s="46">
        <v>20.100000000000001</v>
      </c>
      <c r="F454" s="46">
        <v>21.5</v>
      </c>
      <c r="G454" s="46">
        <v>22.6</v>
      </c>
      <c r="H454" s="103">
        <f t="shared" si="23"/>
        <v>21.400000000000002</v>
      </c>
      <c r="I454" s="46">
        <v>32</v>
      </c>
      <c r="J454" s="46" t="s">
        <v>39</v>
      </c>
      <c r="K454" s="46" t="s">
        <v>50</v>
      </c>
    </row>
    <row r="455" spans="2:11" x14ac:dyDescent="0.2">
      <c r="B455" s="122">
        <f t="shared" ref="B455:B518" si="24">B454+1</f>
        <v>452</v>
      </c>
      <c r="C455" s="123">
        <v>42471</v>
      </c>
      <c r="D455" s="16">
        <v>0.96527777777777779</v>
      </c>
      <c r="E455" s="46">
        <v>15.6</v>
      </c>
      <c r="F455" s="46">
        <v>16.5</v>
      </c>
      <c r="G455" s="46">
        <v>17.600000000000001</v>
      </c>
      <c r="H455" s="103">
        <f t="shared" si="23"/>
        <v>16.566666666666666</v>
      </c>
      <c r="I455" s="46">
        <v>33</v>
      </c>
      <c r="J455" s="46" t="s">
        <v>38</v>
      </c>
      <c r="K455" s="46" t="s">
        <v>57</v>
      </c>
    </row>
    <row r="456" spans="2:11" x14ac:dyDescent="0.2">
      <c r="B456" s="122">
        <f t="shared" si="24"/>
        <v>453</v>
      </c>
      <c r="C456" s="123">
        <v>42472</v>
      </c>
      <c r="D456" s="125">
        <v>0.11805555555555557</v>
      </c>
      <c r="E456" s="97">
        <v>15.6</v>
      </c>
      <c r="F456" s="97">
        <v>18.2</v>
      </c>
      <c r="G456" s="97">
        <v>18.899999999999999</v>
      </c>
      <c r="H456" s="103">
        <f t="shared" si="23"/>
        <v>17.566666666666666</v>
      </c>
      <c r="I456" s="46">
        <v>38</v>
      </c>
      <c r="J456" s="46" t="s">
        <v>39</v>
      </c>
      <c r="K456" s="46" t="s">
        <v>57</v>
      </c>
    </row>
    <row r="457" spans="2:11" x14ac:dyDescent="0.2">
      <c r="B457" s="122">
        <f t="shared" si="24"/>
        <v>454</v>
      </c>
      <c r="C457" s="118">
        <v>42472</v>
      </c>
      <c r="D457" s="16">
        <v>0.44791666666666669</v>
      </c>
      <c r="E457" s="97">
        <v>16.7</v>
      </c>
      <c r="F457" s="97">
        <v>18.100000000000001</v>
      </c>
      <c r="G457" s="97">
        <v>19.8</v>
      </c>
      <c r="H457" s="119">
        <f t="shared" ref="H457:H462" si="25">AVERAGE(E457:G457)</f>
        <v>18.2</v>
      </c>
      <c r="I457" s="46">
        <v>35</v>
      </c>
      <c r="J457" s="46" t="s">
        <v>38</v>
      </c>
      <c r="K457" s="46" t="s">
        <v>50</v>
      </c>
    </row>
    <row r="458" spans="2:11" x14ac:dyDescent="0.2">
      <c r="B458" s="122">
        <f t="shared" si="24"/>
        <v>455</v>
      </c>
      <c r="C458" s="118">
        <v>42472</v>
      </c>
      <c r="D458" s="16">
        <v>0.61458333333333337</v>
      </c>
      <c r="E458" s="97">
        <v>20.100000000000001</v>
      </c>
      <c r="F458" s="97">
        <v>22.3</v>
      </c>
      <c r="G458" s="97">
        <v>23.2</v>
      </c>
      <c r="H458" s="119">
        <f t="shared" si="25"/>
        <v>21.866666666666671</v>
      </c>
      <c r="I458" s="46">
        <v>26</v>
      </c>
      <c r="J458" s="46" t="s">
        <v>39</v>
      </c>
      <c r="K458" s="46" t="s">
        <v>61</v>
      </c>
    </row>
    <row r="459" spans="2:11" x14ac:dyDescent="0.2">
      <c r="B459" s="122">
        <f t="shared" si="24"/>
        <v>456</v>
      </c>
      <c r="C459" s="118">
        <v>42472</v>
      </c>
      <c r="D459" s="16">
        <v>0.76041666666666663</v>
      </c>
      <c r="E459" s="97">
        <v>19.8</v>
      </c>
      <c r="F459" s="97">
        <v>21.5</v>
      </c>
      <c r="G459" s="97">
        <v>22.8</v>
      </c>
      <c r="H459" s="119">
        <f t="shared" si="25"/>
        <v>21.366666666666664</v>
      </c>
      <c r="I459" s="46">
        <v>24</v>
      </c>
      <c r="J459" s="46" t="s">
        <v>39</v>
      </c>
      <c r="K459" s="46" t="s">
        <v>50</v>
      </c>
    </row>
    <row r="460" spans="2:11" x14ac:dyDescent="0.2">
      <c r="B460" s="122">
        <f t="shared" si="24"/>
        <v>457</v>
      </c>
      <c r="C460" s="118">
        <v>42473</v>
      </c>
      <c r="D460" s="16">
        <v>3.4722222222222224E-2</v>
      </c>
      <c r="E460" s="97">
        <v>18.8</v>
      </c>
      <c r="F460" s="97">
        <v>19.2</v>
      </c>
      <c r="G460" s="97">
        <v>20.6</v>
      </c>
      <c r="H460" s="119">
        <f t="shared" si="25"/>
        <v>19.533333333333335</v>
      </c>
      <c r="I460" s="46">
        <v>24</v>
      </c>
      <c r="J460" s="46" t="s">
        <v>38</v>
      </c>
      <c r="K460" s="46" t="s">
        <v>57</v>
      </c>
    </row>
    <row r="461" spans="2:11" x14ac:dyDescent="0.2">
      <c r="B461" s="122">
        <f t="shared" si="24"/>
        <v>458</v>
      </c>
      <c r="C461" s="118">
        <v>42473</v>
      </c>
      <c r="D461" s="16">
        <v>0.11458333333333333</v>
      </c>
      <c r="E461" s="46">
        <v>17.3</v>
      </c>
      <c r="F461" s="46">
        <v>18.2</v>
      </c>
      <c r="G461" s="46">
        <v>19.8</v>
      </c>
      <c r="H461" s="119">
        <f t="shared" si="25"/>
        <v>18.433333333333334</v>
      </c>
      <c r="I461" s="46">
        <v>31</v>
      </c>
      <c r="J461" s="46" t="s">
        <v>38</v>
      </c>
      <c r="K461" s="46" t="s">
        <v>62</v>
      </c>
    </row>
    <row r="462" spans="2:11" x14ac:dyDescent="0.2">
      <c r="B462" s="122">
        <f t="shared" si="24"/>
        <v>459</v>
      </c>
      <c r="C462" s="118">
        <v>42473</v>
      </c>
      <c r="D462" s="126">
        <v>0.44097222222222227</v>
      </c>
      <c r="E462" s="120">
        <v>17.5</v>
      </c>
      <c r="F462" s="120">
        <v>19.100000000000001</v>
      </c>
      <c r="G462" s="120">
        <v>20.9</v>
      </c>
      <c r="H462" s="103">
        <f t="shared" si="25"/>
        <v>19.166666666666668</v>
      </c>
      <c r="I462" s="46">
        <v>26</v>
      </c>
      <c r="J462" s="46" t="s">
        <v>38</v>
      </c>
      <c r="K462" s="46" t="s">
        <v>50</v>
      </c>
    </row>
    <row r="463" spans="2:11" x14ac:dyDescent="0.2">
      <c r="B463" s="122">
        <f t="shared" si="24"/>
        <v>460</v>
      </c>
      <c r="C463" s="118">
        <v>42473</v>
      </c>
      <c r="D463" s="126">
        <v>0.61458333333333337</v>
      </c>
      <c r="E463" s="120">
        <v>20.2</v>
      </c>
      <c r="F463" s="120">
        <v>21.5</v>
      </c>
      <c r="G463" s="120">
        <v>22.3</v>
      </c>
      <c r="H463" s="103">
        <f t="shared" ref="H463:H558" si="26">AVERAGE(E463:G463)</f>
        <v>21.333333333333332</v>
      </c>
      <c r="I463" s="46">
        <v>21</v>
      </c>
      <c r="J463" s="46" t="s">
        <v>39</v>
      </c>
      <c r="K463" s="46" t="s">
        <v>61</v>
      </c>
    </row>
    <row r="464" spans="2:11" x14ac:dyDescent="0.2">
      <c r="B464" s="122">
        <f t="shared" si="24"/>
        <v>461</v>
      </c>
      <c r="C464" s="118">
        <v>42473</v>
      </c>
      <c r="D464" s="126">
        <v>0.76041666666666663</v>
      </c>
      <c r="E464" s="120">
        <v>18.3</v>
      </c>
      <c r="F464" s="120">
        <v>19.899999999999999</v>
      </c>
      <c r="G464" s="120">
        <v>20.7</v>
      </c>
      <c r="H464" s="103">
        <f t="shared" si="26"/>
        <v>19.633333333333336</v>
      </c>
      <c r="I464" s="46">
        <v>23</v>
      </c>
      <c r="J464" s="46" t="s">
        <v>39</v>
      </c>
      <c r="K464" s="46" t="s">
        <v>50</v>
      </c>
    </row>
    <row r="465" spans="2:11" x14ac:dyDescent="0.2">
      <c r="B465" s="122">
        <f t="shared" si="24"/>
        <v>462</v>
      </c>
      <c r="C465" s="118">
        <v>42473</v>
      </c>
      <c r="D465" s="126">
        <v>0.95833333333333337</v>
      </c>
      <c r="E465" s="120">
        <v>17.899999999999999</v>
      </c>
      <c r="F465" s="120">
        <v>18.100000000000001</v>
      </c>
      <c r="G465" s="120">
        <v>20.100000000000001</v>
      </c>
      <c r="H465" s="103">
        <f t="shared" si="26"/>
        <v>18.7</v>
      </c>
      <c r="I465" s="46">
        <v>28</v>
      </c>
      <c r="J465" s="46" t="s">
        <v>38</v>
      </c>
      <c r="K465" s="46" t="s">
        <v>57</v>
      </c>
    </row>
    <row r="466" spans="2:11" x14ac:dyDescent="0.2">
      <c r="B466" s="122">
        <f t="shared" si="24"/>
        <v>463</v>
      </c>
      <c r="C466" s="118">
        <v>42474</v>
      </c>
      <c r="D466" s="126">
        <v>0.1111111111111111</v>
      </c>
      <c r="E466" s="120">
        <v>17.399999999999999</v>
      </c>
      <c r="F466" s="120">
        <v>19.600000000000001</v>
      </c>
      <c r="G466" s="120">
        <v>20.6</v>
      </c>
      <c r="H466" s="103">
        <f t="shared" si="26"/>
        <v>19.2</v>
      </c>
      <c r="I466" s="46">
        <v>22</v>
      </c>
      <c r="J466" s="46" t="s">
        <v>38</v>
      </c>
      <c r="K466" s="46" t="s">
        <v>62</v>
      </c>
    </row>
    <row r="467" spans="2:11" x14ac:dyDescent="0.2">
      <c r="B467" s="122">
        <f t="shared" si="24"/>
        <v>464</v>
      </c>
      <c r="C467" s="123">
        <v>42474</v>
      </c>
      <c r="D467" s="127">
        <v>0.45833333333333331</v>
      </c>
      <c r="E467" s="46">
        <v>18</v>
      </c>
      <c r="F467" s="46">
        <v>19.5</v>
      </c>
      <c r="G467" s="46">
        <v>21.5</v>
      </c>
      <c r="H467" s="103">
        <f t="shared" si="26"/>
        <v>19.666666666666668</v>
      </c>
      <c r="I467" s="46">
        <v>25</v>
      </c>
      <c r="J467" s="46" t="s">
        <v>38</v>
      </c>
      <c r="K467" s="46" t="s">
        <v>50</v>
      </c>
    </row>
    <row r="468" spans="2:11" x14ac:dyDescent="0.2">
      <c r="B468" s="122">
        <f t="shared" si="24"/>
        <v>465</v>
      </c>
      <c r="C468" s="123">
        <v>42474</v>
      </c>
      <c r="D468" s="127">
        <v>0.61458333333333337</v>
      </c>
      <c r="E468" s="46">
        <v>18.8</v>
      </c>
      <c r="F468" s="46">
        <v>19.7</v>
      </c>
      <c r="G468" s="46">
        <v>20.100000000000001</v>
      </c>
      <c r="H468" s="103">
        <f t="shared" si="26"/>
        <v>19.533333333333335</v>
      </c>
      <c r="I468" s="46">
        <v>23</v>
      </c>
      <c r="J468" s="46" t="s">
        <v>39</v>
      </c>
      <c r="K468" s="46" t="s">
        <v>50</v>
      </c>
    </row>
    <row r="469" spans="2:11" x14ac:dyDescent="0.2">
      <c r="B469" s="122">
        <f t="shared" si="24"/>
        <v>466</v>
      </c>
      <c r="C469" s="123">
        <v>42474</v>
      </c>
      <c r="D469" s="127">
        <v>0.76041666666666663</v>
      </c>
      <c r="E469" s="46">
        <v>17.3</v>
      </c>
      <c r="F469" s="46">
        <v>19.899999999999999</v>
      </c>
      <c r="G469" s="46">
        <v>20.7</v>
      </c>
      <c r="H469" s="103">
        <f t="shared" si="26"/>
        <v>19.3</v>
      </c>
      <c r="I469" s="46">
        <v>22</v>
      </c>
      <c r="J469" s="46" t="s">
        <v>46</v>
      </c>
      <c r="K469" s="46" t="s">
        <v>50</v>
      </c>
    </row>
    <row r="470" spans="2:11" x14ac:dyDescent="0.2">
      <c r="B470" s="122">
        <f t="shared" si="24"/>
        <v>467</v>
      </c>
      <c r="C470" s="123">
        <v>42474</v>
      </c>
      <c r="D470" s="127">
        <v>0.96875</v>
      </c>
      <c r="E470" s="46">
        <v>17.899999999999999</v>
      </c>
      <c r="F470" s="46">
        <v>18.5</v>
      </c>
      <c r="G470" s="46">
        <v>19.3</v>
      </c>
      <c r="H470" s="103">
        <f t="shared" si="26"/>
        <v>18.566666666666666</v>
      </c>
      <c r="I470" s="46">
        <v>20</v>
      </c>
      <c r="J470" s="46" t="s">
        <v>38</v>
      </c>
      <c r="K470" s="46" t="s">
        <v>57</v>
      </c>
    </row>
    <row r="471" spans="2:11" x14ac:dyDescent="0.2">
      <c r="B471" s="122">
        <f t="shared" si="24"/>
        <v>468</v>
      </c>
      <c r="C471" s="123">
        <v>42475</v>
      </c>
      <c r="D471" s="127">
        <v>0.11458333333333333</v>
      </c>
      <c r="E471" s="46">
        <v>18.3</v>
      </c>
      <c r="F471" s="46">
        <v>18.600000000000001</v>
      </c>
      <c r="G471" s="46">
        <v>20.399999999999999</v>
      </c>
      <c r="H471" s="103">
        <f t="shared" si="26"/>
        <v>19.100000000000001</v>
      </c>
      <c r="I471" s="46">
        <v>32</v>
      </c>
      <c r="J471" s="46" t="s">
        <v>38</v>
      </c>
      <c r="K471" s="46" t="s">
        <v>62</v>
      </c>
    </row>
    <row r="472" spans="2:11" x14ac:dyDescent="0.2">
      <c r="B472" s="122">
        <f t="shared" si="24"/>
        <v>469</v>
      </c>
      <c r="C472" s="123">
        <v>42475</v>
      </c>
      <c r="D472" s="16">
        <v>0.47222222222222227</v>
      </c>
      <c r="E472" s="46">
        <v>18</v>
      </c>
      <c r="F472" s="46">
        <v>20.2</v>
      </c>
      <c r="G472" s="46">
        <v>21.9</v>
      </c>
      <c r="H472" s="103">
        <f t="shared" si="26"/>
        <v>20.033333333333335</v>
      </c>
      <c r="I472" s="46">
        <v>32</v>
      </c>
      <c r="J472" s="46" t="s">
        <v>38</v>
      </c>
      <c r="K472" s="46" t="s">
        <v>50</v>
      </c>
    </row>
    <row r="473" spans="2:11" x14ac:dyDescent="0.2">
      <c r="B473" s="122">
        <f t="shared" si="24"/>
        <v>470</v>
      </c>
      <c r="C473" s="123">
        <v>42475</v>
      </c>
      <c r="D473" s="16">
        <v>0.60763888888888895</v>
      </c>
      <c r="E473" s="46">
        <v>21.9</v>
      </c>
      <c r="F473" s="46">
        <v>30.9</v>
      </c>
      <c r="G473" s="46">
        <v>31.8</v>
      </c>
      <c r="H473" s="103">
        <f t="shared" si="26"/>
        <v>28.2</v>
      </c>
      <c r="I473" s="46">
        <v>38</v>
      </c>
      <c r="J473" s="46" t="s">
        <v>39</v>
      </c>
      <c r="K473" s="46" t="s">
        <v>50</v>
      </c>
    </row>
    <row r="474" spans="2:11" x14ac:dyDescent="0.2">
      <c r="B474" s="122">
        <f t="shared" si="24"/>
        <v>471</v>
      </c>
      <c r="C474" s="123">
        <v>42475</v>
      </c>
      <c r="D474" s="16">
        <v>0.76041666666666663</v>
      </c>
      <c r="E474" s="46">
        <v>20.100000000000001</v>
      </c>
      <c r="F474" s="46">
        <v>27.3</v>
      </c>
      <c r="G474" s="46">
        <v>30.5</v>
      </c>
      <c r="H474" s="103">
        <f t="shared" si="26"/>
        <v>25.966666666666669</v>
      </c>
      <c r="I474" s="46">
        <v>40</v>
      </c>
      <c r="J474" s="46" t="s">
        <v>39</v>
      </c>
      <c r="K474" s="46" t="s">
        <v>61</v>
      </c>
    </row>
    <row r="475" spans="2:11" x14ac:dyDescent="0.2">
      <c r="B475" s="122">
        <f t="shared" si="24"/>
        <v>472</v>
      </c>
      <c r="C475" s="123">
        <v>42475</v>
      </c>
      <c r="D475" s="16">
        <v>0.96875</v>
      </c>
      <c r="E475" s="46">
        <v>17.8</v>
      </c>
      <c r="F475" s="46">
        <v>21.1</v>
      </c>
      <c r="G475" s="46">
        <v>21.7</v>
      </c>
      <c r="H475" s="103">
        <f t="shared" si="26"/>
        <v>20.200000000000003</v>
      </c>
      <c r="I475" s="46">
        <v>33</v>
      </c>
      <c r="J475" s="46" t="s">
        <v>38</v>
      </c>
      <c r="K475" s="46" t="s">
        <v>57</v>
      </c>
    </row>
    <row r="476" spans="2:11" x14ac:dyDescent="0.2">
      <c r="B476" s="122">
        <f t="shared" si="24"/>
        <v>473</v>
      </c>
      <c r="C476" s="123">
        <v>42476</v>
      </c>
      <c r="D476" s="16">
        <v>0.11458333333333333</v>
      </c>
      <c r="E476" s="46">
        <v>19.2</v>
      </c>
      <c r="F476" s="46">
        <v>19.600000000000001</v>
      </c>
      <c r="G476" s="46">
        <v>20.6</v>
      </c>
      <c r="H476" s="103">
        <f t="shared" si="26"/>
        <v>19.8</v>
      </c>
      <c r="I476" s="46">
        <v>38</v>
      </c>
      <c r="J476" s="46" t="s">
        <v>38</v>
      </c>
      <c r="K476" s="46" t="s">
        <v>62</v>
      </c>
    </row>
    <row r="477" spans="2:11" x14ac:dyDescent="0.2">
      <c r="B477" s="122">
        <f t="shared" si="24"/>
        <v>474</v>
      </c>
      <c r="C477" s="123">
        <v>42476</v>
      </c>
      <c r="D477" s="16">
        <v>0.52430555555555558</v>
      </c>
      <c r="E477" s="122">
        <v>17.100000000000001</v>
      </c>
      <c r="F477" s="122">
        <v>18.600000000000001</v>
      </c>
      <c r="G477" s="122">
        <v>22.3</v>
      </c>
      <c r="H477" s="103">
        <f t="shared" si="26"/>
        <v>19.333333333333332</v>
      </c>
      <c r="I477" s="122">
        <v>31</v>
      </c>
      <c r="J477" s="122" t="s">
        <v>38</v>
      </c>
      <c r="K477" s="122" t="s">
        <v>50</v>
      </c>
    </row>
    <row r="478" spans="2:11" x14ac:dyDescent="0.2">
      <c r="B478" s="122">
        <f t="shared" si="24"/>
        <v>475</v>
      </c>
      <c r="C478" s="123">
        <v>42476</v>
      </c>
      <c r="D478" s="16">
        <v>0.64930555555555558</v>
      </c>
      <c r="E478" s="122">
        <v>17.8</v>
      </c>
      <c r="F478" s="122">
        <v>19.2</v>
      </c>
      <c r="G478" s="122">
        <v>23.3</v>
      </c>
      <c r="H478" s="103">
        <f t="shared" si="26"/>
        <v>20.099999999999998</v>
      </c>
      <c r="I478" s="122">
        <v>24</v>
      </c>
      <c r="J478" s="122" t="s">
        <v>39</v>
      </c>
      <c r="K478" s="122" t="s">
        <v>61</v>
      </c>
    </row>
    <row r="479" spans="2:11" x14ac:dyDescent="0.2">
      <c r="B479" s="122">
        <f t="shared" si="24"/>
        <v>476</v>
      </c>
      <c r="C479" s="123">
        <v>42476</v>
      </c>
      <c r="D479" s="16">
        <v>0.77777777777777779</v>
      </c>
      <c r="E479" s="122">
        <v>18.100000000000001</v>
      </c>
      <c r="F479" s="122">
        <v>19.600000000000001</v>
      </c>
      <c r="G479" s="122">
        <v>21.2</v>
      </c>
      <c r="H479" s="103">
        <f t="shared" si="26"/>
        <v>19.633333333333336</v>
      </c>
      <c r="I479" s="122">
        <v>28</v>
      </c>
      <c r="J479" s="122" t="s">
        <v>39</v>
      </c>
      <c r="K479" s="122" t="s">
        <v>50</v>
      </c>
    </row>
    <row r="480" spans="2:11" x14ac:dyDescent="0.2">
      <c r="B480" s="122">
        <f t="shared" si="24"/>
        <v>477</v>
      </c>
      <c r="C480" s="123">
        <v>42476</v>
      </c>
      <c r="D480" s="16">
        <v>0.96527777777777779</v>
      </c>
      <c r="E480" s="122">
        <v>18.600000000000001</v>
      </c>
      <c r="F480" s="122">
        <v>20.100000000000001</v>
      </c>
      <c r="G480" s="122">
        <v>23.2</v>
      </c>
      <c r="H480" s="103">
        <f t="shared" si="26"/>
        <v>20.633333333333336</v>
      </c>
      <c r="I480" s="122">
        <v>30</v>
      </c>
      <c r="J480" s="122" t="s">
        <v>38</v>
      </c>
      <c r="K480" s="122" t="s">
        <v>57</v>
      </c>
    </row>
    <row r="481" spans="2:11" x14ac:dyDescent="0.2">
      <c r="B481" s="122">
        <f t="shared" si="24"/>
        <v>478</v>
      </c>
      <c r="C481" s="123">
        <v>42477</v>
      </c>
      <c r="D481" s="16">
        <v>0.11458333333333333</v>
      </c>
      <c r="E481" s="122">
        <v>18.5</v>
      </c>
      <c r="F481" s="122">
        <v>20.3</v>
      </c>
      <c r="G481" s="122">
        <v>22.1</v>
      </c>
      <c r="H481" s="103">
        <f t="shared" si="26"/>
        <v>20.3</v>
      </c>
      <c r="I481" s="122">
        <v>30</v>
      </c>
      <c r="J481" s="122" t="s">
        <v>39</v>
      </c>
      <c r="K481" s="122" t="s">
        <v>57</v>
      </c>
    </row>
    <row r="482" spans="2:11" x14ac:dyDescent="0.2">
      <c r="B482" s="129">
        <f t="shared" si="24"/>
        <v>479</v>
      </c>
      <c r="C482" s="130">
        <v>42477</v>
      </c>
      <c r="D482" s="16">
        <v>0.61458333333333337</v>
      </c>
      <c r="E482" s="129">
        <v>18</v>
      </c>
      <c r="F482" s="129">
        <v>20.100000000000001</v>
      </c>
      <c r="G482" s="129">
        <v>23.5</v>
      </c>
      <c r="H482" s="103">
        <f t="shared" si="26"/>
        <v>20.533333333333335</v>
      </c>
      <c r="I482" s="129">
        <v>39</v>
      </c>
      <c r="J482" s="129" t="s">
        <v>38</v>
      </c>
      <c r="K482" s="129" t="s">
        <v>50</v>
      </c>
    </row>
    <row r="483" spans="2:11" x14ac:dyDescent="0.2">
      <c r="B483" s="129">
        <f t="shared" si="24"/>
        <v>480</v>
      </c>
      <c r="C483" s="130">
        <v>42477</v>
      </c>
      <c r="D483" s="16">
        <v>0.77083333333333337</v>
      </c>
      <c r="E483" s="129">
        <v>17.5</v>
      </c>
      <c r="F483" s="129">
        <v>19</v>
      </c>
      <c r="G483" s="129">
        <v>23.1</v>
      </c>
      <c r="H483" s="103">
        <f t="shared" si="26"/>
        <v>19.866666666666667</v>
      </c>
      <c r="I483" s="129">
        <v>25</v>
      </c>
      <c r="J483" s="129" t="s">
        <v>39</v>
      </c>
      <c r="K483" s="129" t="s">
        <v>50</v>
      </c>
    </row>
    <row r="484" spans="2:11" x14ac:dyDescent="0.2">
      <c r="B484" s="129">
        <f t="shared" si="24"/>
        <v>481</v>
      </c>
      <c r="C484" s="130">
        <v>42477</v>
      </c>
      <c r="D484" s="16">
        <v>0.90625</v>
      </c>
      <c r="E484" s="129">
        <v>14</v>
      </c>
      <c r="F484" s="129">
        <v>21.5</v>
      </c>
      <c r="G484" s="129">
        <v>22.8</v>
      </c>
      <c r="H484" s="103">
        <f t="shared" si="26"/>
        <v>19.433333333333334</v>
      </c>
      <c r="I484" s="129">
        <v>28</v>
      </c>
      <c r="J484" s="129" t="s">
        <v>39</v>
      </c>
      <c r="K484" s="129" t="s">
        <v>50</v>
      </c>
    </row>
    <row r="485" spans="2:11" x14ac:dyDescent="0.2">
      <c r="B485" s="129">
        <f t="shared" si="24"/>
        <v>482</v>
      </c>
      <c r="C485" s="130">
        <v>42478</v>
      </c>
      <c r="D485" s="16">
        <v>5.2083333333333336E-2</v>
      </c>
      <c r="E485" s="129">
        <v>19.5</v>
      </c>
      <c r="F485" s="129">
        <v>20.6</v>
      </c>
      <c r="G485" s="129">
        <v>21.3</v>
      </c>
      <c r="H485" s="103">
        <f t="shared" si="26"/>
        <v>20.466666666666669</v>
      </c>
      <c r="I485" s="129">
        <v>38</v>
      </c>
      <c r="J485" s="129" t="s">
        <v>39</v>
      </c>
      <c r="K485" s="129" t="s">
        <v>57</v>
      </c>
    </row>
    <row r="486" spans="2:11" x14ac:dyDescent="0.2">
      <c r="B486" s="129">
        <f t="shared" si="24"/>
        <v>483</v>
      </c>
      <c r="C486" s="130">
        <v>42478</v>
      </c>
      <c r="D486" s="16">
        <v>0.20486111111111113</v>
      </c>
      <c r="E486" s="129">
        <v>20.100000000000001</v>
      </c>
      <c r="F486" s="129">
        <v>24.3</v>
      </c>
      <c r="G486" s="129">
        <v>26.2</v>
      </c>
      <c r="H486" s="103">
        <f t="shared" si="26"/>
        <v>23.533333333333335</v>
      </c>
      <c r="I486" s="129">
        <v>37</v>
      </c>
      <c r="J486" s="129" t="s">
        <v>39</v>
      </c>
      <c r="K486" s="129" t="s">
        <v>62</v>
      </c>
    </row>
    <row r="487" spans="2:11" x14ac:dyDescent="0.2">
      <c r="B487" s="129">
        <f t="shared" si="24"/>
        <v>484</v>
      </c>
      <c r="C487" s="130">
        <v>42478</v>
      </c>
      <c r="D487" s="16">
        <v>0.60416666666666663</v>
      </c>
      <c r="E487" s="129">
        <v>22.3</v>
      </c>
      <c r="F487" s="129">
        <v>26.5</v>
      </c>
      <c r="G487" s="129">
        <v>30.2</v>
      </c>
      <c r="H487" s="103">
        <f t="shared" si="26"/>
        <v>26.333333333333332</v>
      </c>
      <c r="I487" s="129">
        <v>32</v>
      </c>
      <c r="J487" s="129" t="s">
        <v>38</v>
      </c>
      <c r="K487" s="129" t="s">
        <v>61</v>
      </c>
    </row>
    <row r="488" spans="2:11" x14ac:dyDescent="0.2">
      <c r="B488" s="129">
        <f t="shared" si="24"/>
        <v>485</v>
      </c>
      <c r="C488" s="130">
        <v>42478</v>
      </c>
      <c r="D488" s="16">
        <v>0.70833333333333337</v>
      </c>
      <c r="E488" s="129">
        <v>15.8</v>
      </c>
      <c r="F488" s="129">
        <v>23</v>
      </c>
      <c r="G488" s="129">
        <v>28.3</v>
      </c>
      <c r="H488" s="103">
        <f t="shared" si="26"/>
        <v>22.366666666666664</v>
      </c>
      <c r="I488" s="129">
        <v>27</v>
      </c>
      <c r="J488" s="129" t="s">
        <v>39</v>
      </c>
      <c r="K488" s="129" t="s">
        <v>50</v>
      </c>
    </row>
    <row r="489" spans="2:11" x14ac:dyDescent="0.2">
      <c r="B489" s="129">
        <f t="shared" si="24"/>
        <v>486</v>
      </c>
      <c r="C489" s="130">
        <v>42478</v>
      </c>
      <c r="D489" s="16">
        <v>0.86458333333333337</v>
      </c>
      <c r="E489" s="129">
        <v>23.1</v>
      </c>
      <c r="F489" s="129">
        <v>27.7</v>
      </c>
      <c r="G489" s="129">
        <v>31.2</v>
      </c>
      <c r="H489" s="103">
        <f t="shared" si="26"/>
        <v>27.333333333333332</v>
      </c>
      <c r="I489" s="129">
        <v>32</v>
      </c>
      <c r="J489" s="129" t="s">
        <v>39</v>
      </c>
      <c r="K489" s="129" t="s">
        <v>61</v>
      </c>
    </row>
    <row r="490" spans="2:11" x14ac:dyDescent="0.2">
      <c r="B490" s="129">
        <f t="shared" si="24"/>
        <v>487</v>
      </c>
      <c r="C490" s="130">
        <v>42478</v>
      </c>
      <c r="D490" s="16">
        <v>0.97916666666666663</v>
      </c>
      <c r="E490" s="129">
        <v>20.3</v>
      </c>
      <c r="F490" s="129">
        <v>23.6</v>
      </c>
      <c r="G490" s="129">
        <v>24.1</v>
      </c>
      <c r="H490" s="103">
        <f t="shared" si="26"/>
        <v>22.666666666666668</v>
      </c>
      <c r="I490" s="129">
        <v>36</v>
      </c>
      <c r="J490" s="129" t="s">
        <v>39</v>
      </c>
      <c r="K490" s="129" t="s">
        <v>57</v>
      </c>
    </row>
    <row r="491" spans="2:11" x14ac:dyDescent="0.2">
      <c r="B491" s="129">
        <f t="shared" si="24"/>
        <v>488</v>
      </c>
      <c r="C491" s="130">
        <v>42479</v>
      </c>
      <c r="D491" s="16">
        <v>0.13541666666666666</v>
      </c>
      <c r="E491" s="129">
        <v>18.7</v>
      </c>
      <c r="F491" s="129">
        <v>19.600000000000001</v>
      </c>
      <c r="G491" s="129">
        <v>20.3</v>
      </c>
      <c r="H491" s="103">
        <f t="shared" si="26"/>
        <v>19.533333333333331</v>
      </c>
      <c r="I491" s="129">
        <v>28</v>
      </c>
      <c r="J491" s="129" t="s">
        <v>39</v>
      </c>
      <c r="K491" s="129" t="s">
        <v>83</v>
      </c>
    </row>
    <row r="492" spans="2:11" x14ac:dyDescent="0.2">
      <c r="B492" s="131">
        <f t="shared" si="24"/>
        <v>489</v>
      </c>
      <c r="C492" s="132">
        <v>42479</v>
      </c>
      <c r="D492" s="16">
        <v>0.53125</v>
      </c>
      <c r="E492" s="131">
        <v>19.2</v>
      </c>
      <c r="F492" s="131">
        <v>19.600000000000001</v>
      </c>
      <c r="G492" s="131">
        <v>21.8</v>
      </c>
      <c r="H492" s="103">
        <f t="shared" si="26"/>
        <v>20.2</v>
      </c>
      <c r="I492" s="131">
        <v>31</v>
      </c>
      <c r="J492" s="131" t="s">
        <v>38</v>
      </c>
      <c r="K492" s="131" t="s">
        <v>50</v>
      </c>
    </row>
    <row r="493" spans="2:11" x14ac:dyDescent="0.2">
      <c r="B493" s="131">
        <f t="shared" si="24"/>
        <v>490</v>
      </c>
      <c r="C493" s="132">
        <v>42479</v>
      </c>
      <c r="D493" s="16">
        <v>0.69791666666666663</v>
      </c>
      <c r="E493" s="131">
        <v>19.600000000000001</v>
      </c>
      <c r="F493" s="131">
        <v>20.399999999999999</v>
      </c>
      <c r="G493" s="131">
        <v>21</v>
      </c>
      <c r="H493" s="103">
        <f t="shared" si="26"/>
        <v>20.333333333333332</v>
      </c>
      <c r="I493" s="131">
        <v>28</v>
      </c>
      <c r="J493" s="131" t="s">
        <v>39</v>
      </c>
      <c r="K493" s="131" t="s">
        <v>50</v>
      </c>
    </row>
    <row r="494" spans="2:11" x14ac:dyDescent="0.2">
      <c r="B494" s="131">
        <f t="shared" si="24"/>
        <v>491</v>
      </c>
      <c r="C494" s="132">
        <v>42479</v>
      </c>
      <c r="D494" s="16">
        <v>0.94791666666666663</v>
      </c>
      <c r="E494" s="131">
        <v>16.5</v>
      </c>
      <c r="F494" s="131">
        <v>17.8</v>
      </c>
      <c r="G494" s="131">
        <v>21.2</v>
      </c>
      <c r="H494" s="103">
        <f t="shared" si="26"/>
        <v>18.5</v>
      </c>
      <c r="I494" s="131">
        <v>28</v>
      </c>
      <c r="J494" s="131" t="s">
        <v>38</v>
      </c>
      <c r="K494" s="131" t="s">
        <v>57</v>
      </c>
    </row>
    <row r="495" spans="2:11" x14ac:dyDescent="0.2">
      <c r="B495" s="131">
        <f t="shared" si="24"/>
        <v>492</v>
      </c>
      <c r="C495" s="132">
        <v>42480</v>
      </c>
      <c r="D495" s="16">
        <v>9.0277777777777776E-2</v>
      </c>
      <c r="E495" s="131">
        <v>19.3</v>
      </c>
      <c r="F495" s="131">
        <v>21.1</v>
      </c>
      <c r="G495" s="131">
        <v>22.5</v>
      </c>
      <c r="H495" s="103">
        <f t="shared" si="26"/>
        <v>20.966666666666669</v>
      </c>
      <c r="I495" s="131">
        <v>36</v>
      </c>
      <c r="J495" s="131" t="s">
        <v>39</v>
      </c>
      <c r="K495" s="131" t="s">
        <v>57</v>
      </c>
    </row>
    <row r="496" spans="2:11" x14ac:dyDescent="0.2">
      <c r="B496" s="131">
        <f t="shared" si="24"/>
        <v>493</v>
      </c>
      <c r="C496" s="132">
        <v>42480</v>
      </c>
      <c r="D496" s="16">
        <v>0.23958333333333334</v>
      </c>
      <c r="E496" s="131">
        <v>21.1</v>
      </c>
      <c r="F496" s="131">
        <v>22.3</v>
      </c>
      <c r="G496" s="131">
        <v>24.4</v>
      </c>
      <c r="H496" s="103">
        <f t="shared" si="26"/>
        <v>22.600000000000005</v>
      </c>
      <c r="I496" s="131">
        <v>37</v>
      </c>
      <c r="J496" s="131" t="s">
        <v>39</v>
      </c>
      <c r="K496" s="131" t="s">
        <v>57</v>
      </c>
    </row>
    <row r="497" spans="2:11" x14ac:dyDescent="0.2">
      <c r="B497" s="133">
        <f t="shared" si="24"/>
        <v>494</v>
      </c>
      <c r="C497" s="134">
        <v>42480</v>
      </c>
      <c r="D497" s="16">
        <v>0.56944444444444442</v>
      </c>
      <c r="E497" s="133">
        <v>12.1</v>
      </c>
      <c r="F497" s="133">
        <v>17.399999999999999</v>
      </c>
      <c r="G497" s="133">
        <v>19.600000000000001</v>
      </c>
      <c r="H497" s="103">
        <f t="shared" si="26"/>
        <v>16.366666666666667</v>
      </c>
      <c r="I497" s="133">
        <v>31</v>
      </c>
      <c r="J497" s="133" t="s">
        <v>38</v>
      </c>
      <c r="K497" s="133" t="s">
        <v>61</v>
      </c>
    </row>
    <row r="498" spans="2:11" x14ac:dyDescent="0.2">
      <c r="B498" s="133">
        <f t="shared" si="24"/>
        <v>495</v>
      </c>
      <c r="C498" s="134">
        <v>42480</v>
      </c>
      <c r="D498" s="16">
        <v>0.72222222222222221</v>
      </c>
      <c r="E498" s="133">
        <v>18</v>
      </c>
      <c r="F498" s="133">
        <v>24.1</v>
      </c>
      <c r="G498" s="133">
        <v>25.2</v>
      </c>
      <c r="H498" s="103">
        <f t="shared" si="26"/>
        <v>22.433333333333334</v>
      </c>
      <c r="I498" s="133">
        <v>27</v>
      </c>
      <c r="J498" s="133" t="s">
        <v>39</v>
      </c>
      <c r="K498" s="133" t="s">
        <v>50</v>
      </c>
    </row>
    <row r="499" spans="2:11" x14ac:dyDescent="0.2">
      <c r="B499" s="133">
        <f t="shared" si="24"/>
        <v>496</v>
      </c>
      <c r="C499" s="134">
        <v>42480</v>
      </c>
      <c r="D499" s="16">
        <v>0.90972222222222221</v>
      </c>
      <c r="E499" s="133">
        <v>18.899999999999999</v>
      </c>
      <c r="F499" s="133">
        <v>20.100000000000001</v>
      </c>
      <c r="G499" s="133">
        <v>22.2</v>
      </c>
      <c r="H499" s="103">
        <f t="shared" si="26"/>
        <v>20.400000000000002</v>
      </c>
      <c r="I499" s="133">
        <v>26</v>
      </c>
      <c r="J499" s="133" t="s">
        <v>38</v>
      </c>
      <c r="K499" s="133" t="s">
        <v>83</v>
      </c>
    </row>
    <row r="500" spans="2:11" x14ac:dyDescent="0.2">
      <c r="B500" s="133">
        <f t="shared" si="24"/>
        <v>497</v>
      </c>
      <c r="C500" s="134">
        <v>42481</v>
      </c>
      <c r="D500" s="16">
        <v>4.8611111111111112E-2</v>
      </c>
      <c r="E500" s="133">
        <v>20.100000000000001</v>
      </c>
      <c r="F500" s="133">
        <v>23.4</v>
      </c>
      <c r="G500" s="133">
        <v>25.2</v>
      </c>
      <c r="H500" s="103">
        <f t="shared" si="26"/>
        <v>22.900000000000002</v>
      </c>
      <c r="I500" s="133">
        <v>38</v>
      </c>
      <c r="J500" s="133" t="s">
        <v>39</v>
      </c>
      <c r="K500" s="133" t="s">
        <v>83</v>
      </c>
    </row>
    <row r="501" spans="2:11" x14ac:dyDescent="0.2">
      <c r="B501" s="133">
        <f t="shared" si="24"/>
        <v>498</v>
      </c>
      <c r="C501" s="134">
        <v>42481</v>
      </c>
      <c r="D501" s="16">
        <v>0.19791666666666666</v>
      </c>
      <c r="E501" s="133">
        <v>19.5</v>
      </c>
      <c r="F501" s="133">
        <v>21.1</v>
      </c>
      <c r="G501" s="133">
        <v>23.6</v>
      </c>
      <c r="H501" s="103">
        <f t="shared" si="26"/>
        <v>21.400000000000002</v>
      </c>
      <c r="I501" s="133">
        <v>34</v>
      </c>
      <c r="J501" s="133" t="s">
        <v>39</v>
      </c>
      <c r="K501" s="133" t="s">
        <v>83</v>
      </c>
    </row>
    <row r="502" spans="2:11" x14ac:dyDescent="0.2">
      <c r="B502" s="133">
        <f t="shared" si="24"/>
        <v>499</v>
      </c>
      <c r="C502" s="134">
        <v>42481</v>
      </c>
      <c r="D502" s="16">
        <v>0.56944444444444442</v>
      </c>
      <c r="E502" s="133">
        <v>14.9</v>
      </c>
      <c r="F502" s="133">
        <v>15.2</v>
      </c>
      <c r="G502" s="133">
        <v>16.8</v>
      </c>
      <c r="H502" s="103">
        <f t="shared" si="26"/>
        <v>15.633333333333335</v>
      </c>
      <c r="I502" s="133">
        <v>30</v>
      </c>
      <c r="J502" s="133" t="s">
        <v>38</v>
      </c>
      <c r="K502" s="133" t="s">
        <v>85</v>
      </c>
    </row>
    <row r="503" spans="2:11" x14ac:dyDescent="0.2">
      <c r="B503" s="133">
        <f t="shared" si="24"/>
        <v>500</v>
      </c>
      <c r="C503" s="134">
        <v>42481</v>
      </c>
      <c r="D503" s="16">
        <v>0.71527777777777779</v>
      </c>
      <c r="E503" s="133">
        <v>19.5</v>
      </c>
      <c r="F503" s="133">
        <v>20.100000000000001</v>
      </c>
      <c r="G503" s="133">
        <v>21.3</v>
      </c>
      <c r="H503" s="103">
        <f t="shared" si="26"/>
        <v>20.3</v>
      </c>
      <c r="I503" s="133">
        <v>28</v>
      </c>
      <c r="J503" s="133" t="s">
        <v>39</v>
      </c>
      <c r="K503" s="133" t="s">
        <v>85</v>
      </c>
    </row>
    <row r="504" spans="2:11" x14ac:dyDescent="0.2">
      <c r="B504" s="133">
        <f t="shared" si="24"/>
        <v>501</v>
      </c>
      <c r="C504" s="134">
        <v>42481</v>
      </c>
      <c r="D504" s="16">
        <v>0.95138888888888884</v>
      </c>
      <c r="E504" s="133">
        <v>13.6</v>
      </c>
      <c r="F504" s="133">
        <v>19.3</v>
      </c>
      <c r="G504" s="133">
        <v>22.4</v>
      </c>
      <c r="H504" s="103">
        <f t="shared" si="26"/>
        <v>18.433333333333334</v>
      </c>
      <c r="I504" s="133">
        <v>47</v>
      </c>
      <c r="J504" s="133" t="s">
        <v>38</v>
      </c>
      <c r="K504" s="133" t="s">
        <v>83</v>
      </c>
    </row>
    <row r="505" spans="2:11" x14ac:dyDescent="0.2">
      <c r="B505" s="133">
        <f t="shared" si="24"/>
        <v>502</v>
      </c>
      <c r="C505" s="134">
        <v>42482</v>
      </c>
      <c r="D505" s="16">
        <v>9.0277777777777776E-2</v>
      </c>
      <c r="E505" s="133">
        <v>20.5</v>
      </c>
      <c r="F505" s="133">
        <v>24.6</v>
      </c>
      <c r="G505" s="133">
        <v>28.3</v>
      </c>
      <c r="H505" s="103">
        <f t="shared" si="26"/>
        <v>24.466666666666669</v>
      </c>
      <c r="I505" s="133">
        <v>28</v>
      </c>
      <c r="J505" s="133" t="s">
        <v>38</v>
      </c>
      <c r="K505" s="133" t="s">
        <v>83</v>
      </c>
    </row>
    <row r="506" spans="2:11" x14ac:dyDescent="0.2">
      <c r="B506" s="133">
        <f t="shared" si="24"/>
        <v>503</v>
      </c>
      <c r="C506" s="134">
        <v>42482</v>
      </c>
      <c r="D506" s="16">
        <v>0.55208333333333337</v>
      </c>
      <c r="E506" s="133">
        <v>20.3</v>
      </c>
      <c r="F506" s="133">
        <v>24.6</v>
      </c>
      <c r="G506" s="133">
        <v>24.9</v>
      </c>
      <c r="H506" s="103">
        <f t="shared" si="26"/>
        <v>23.266666666666669</v>
      </c>
      <c r="I506" s="133">
        <v>28</v>
      </c>
      <c r="J506" s="133" t="s">
        <v>38</v>
      </c>
      <c r="K506" s="133" t="s">
        <v>85</v>
      </c>
    </row>
    <row r="507" spans="2:11" x14ac:dyDescent="0.2">
      <c r="B507" s="133">
        <f t="shared" si="24"/>
        <v>504</v>
      </c>
      <c r="C507" s="134">
        <v>42482</v>
      </c>
      <c r="D507" s="16">
        <v>0.72222222222222221</v>
      </c>
      <c r="E507" s="133">
        <v>18.5</v>
      </c>
      <c r="F507" s="133">
        <v>19.600000000000001</v>
      </c>
      <c r="G507" s="133">
        <v>21.2</v>
      </c>
      <c r="H507" s="103">
        <f t="shared" si="26"/>
        <v>19.766666666666666</v>
      </c>
      <c r="I507" s="133">
        <v>32</v>
      </c>
      <c r="J507" s="133" t="s">
        <v>39</v>
      </c>
      <c r="K507" s="133" t="s">
        <v>85</v>
      </c>
    </row>
    <row r="508" spans="2:11" x14ac:dyDescent="0.2">
      <c r="B508" s="133">
        <f t="shared" si="24"/>
        <v>505</v>
      </c>
      <c r="C508" s="134">
        <v>42482</v>
      </c>
      <c r="D508" s="16">
        <v>0.90625</v>
      </c>
      <c r="E508" s="133">
        <v>17.8</v>
      </c>
      <c r="F508" s="133">
        <v>19</v>
      </c>
      <c r="G508" s="133">
        <v>26.1</v>
      </c>
      <c r="H508" s="103">
        <f t="shared" si="26"/>
        <v>20.966666666666665</v>
      </c>
      <c r="I508" s="133">
        <v>41</v>
      </c>
      <c r="J508" s="133" t="s">
        <v>38</v>
      </c>
      <c r="K508" s="133" t="s">
        <v>83</v>
      </c>
    </row>
    <row r="509" spans="2:11" x14ac:dyDescent="0.2">
      <c r="B509" s="133">
        <f t="shared" si="24"/>
        <v>506</v>
      </c>
      <c r="C509" s="134">
        <v>42483</v>
      </c>
      <c r="D509" s="16">
        <v>5.5555555555555552E-2</v>
      </c>
      <c r="E509" s="133">
        <v>17.8</v>
      </c>
      <c r="F509" s="133">
        <v>19.2</v>
      </c>
      <c r="G509" s="46">
        <v>23.3</v>
      </c>
      <c r="H509" s="103">
        <f t="shared" si="26"/>
        <v>20.099999999999998</v>
      </c>
      <c r="I509" s="46">
        <v>38</v>
      </c>
      <c r="J509" s="133" t="s">
        <v>39</v>
      </c>
      <c r="K509" s="133" t="s">
        <v>83</v>
      </c>
    </row>
    <row r="510" spans="2:11" x14ac:dyDescent="0.2">
      <c r="B510" s="133">
        <f t="shared" si="24"/>
        <v>507</v>
      </c>
      <c r="C510" s="134">
        <v>42483</v>
      </c>
      <c r="D510" s="16">
        <v>0.19444444444444445</v>
      </c>
      <c r="E510" s="133">
        <v>13</v>
      </c>
      <c r="F510" s="133">
        <v>20.3</v>
      </c>
      <c r="G510" s="46">
        <v>21</v>
      </c>
      <c r="H510" s="103">
        <f t="shared" si="26"/>
        <v>18.099999999999998</v>
      </c>
      <c r="I510" s="46">
        <v>28</v>
      </c>
      <c r="J510" s="133" t="s">
        <v>39</v>
      </c>
      <c r="K510" s="133" t="s">
        <v>83</v>
      </c>
    </row>
    <row r="511" spans="2:11" x14ac:dyDescent="0.2">
      <c r="B511" s="133">
        <f t="shared" si="24"/>
        <v>508</v>
      </c>
      <c r="C511" s="134">
        <v>42483</v>
      </c>
      <c r="D511" s="16">
        <v>0.55208333333333337</v>
      </c>
      <c r="E511" s="133">
        <v>21.3</v>
      </c>
      <c r="F511" s="133">
        <v>22.4</v>
      </c>
      <c r="G511" s="46">
        <v>26.9</v>
      </c>
      <c r="H511" s="103">
        <f t="shared" si="26"/>
        <v>23.533333333333331</v>
      </c>
      <c r="I511" s="46">
        <v>38</v>
      </c>
      <c r="J511" s="133" t="s">
        <v>38</v>
      </c>
      <c r="K511" s="133" t="s">
        <v>85</v>
      </c>
    </row>
    <row r="512" spans="2:11" x14ac:dyDescent="0.2">
      <c r="B512" s="133">
        <f t="shared" si="24"/>
        <v>509</v>
      </c>
      <c r="C512" s="134">
        <v>42483</v>
      </c>
      <c r="D512" s="16">
        <v>0.71875</v>
      </c>
      <c r="E512" s="133">
        <v>19.2</v>
      </c>
      <c r="F512" s="133">
        <v>22.3</v>
      </c>
      <c r="G512" s="46">
        <v>22.5</v>
      </c>
      <c r="H512" s="103">
        <f t="shared" si="26"/>
        <v>21.333333333333332</v>
      </c>
      <c r="I512" s="46">
        <v>34</v>
      </c>
      <c r="J512" s="133" t="s">
        <v>39</v>
      </c>
      <c r="K512" s="133" t="s">
        <v>85</v>
      </c>
    </row>
    <row r="513" spans="2:11" x14ac:dyDescent="0.2">
      <c r="B513" s="133">
        <f t="shared" si="24"/>
        <v>510</v>
      </c>
      <c r="C513" s="134">
        <v>42483</v>
      </c>
      <c r="D513" s="16">
        <v>0.91666666666666663</v>
      </c>
      <c r="E513" s="133">
        <v>17.7</v>
      </c>
      <c r="F513" s="133">
        <v>19.7</v>
      </c>
      <c r="G513" s="46">
        <v>23.1</v>
      </c>
      <c r="H513" s="103">
        <f t="shared" si="26"/>
        <v>20.166666666666668</v>
      </c>
      <c r="I513" s="46">
        <v>23</v>
      </c>
      <c r="J513" s="133" t="s">
        <v>38</v>
      </c>
      <c r="K513" s="133" t="s">
        <v>83</v>
      </c>
    </row>
    <row r="514" spans="2:11" x14ac:dyDescent="0.2">
      <c r="B514" s="133">
        <f t="shared" si="24"/>
        <v>511</v>
      </c>
      <c r="C514" s="134">
        <v>42484</v>
      </c>
      <c r="D514" s="16">
        <v>4.1666666666666664E-2</v>
      </c>
      <c r="E514" s="133">
        <v>13</v>
      </c>
      <c r="F514" s="133">
        <v>16.100000000000001</v>
      </c>
      <c r="G514" s="46">
        <v>19.2</v>
      </c>
      <c r="H514" s="103">
        <f t="shared" si="26"/>
        <v>16.099999999999998</v>
      </c>
      <c r="I514" s="46">
        <v>38</v>
      </c>
      <c r="J514" s="133" t="s">
        <v>38</v>
      </c>
      <c r="K514" s="133" t="s">
        <v>86</v>
      </c>
    </row>
    <row r="515" spans="2:11" x14ac:dyDescent="0.2">
      <c r="B515" s="133">
        <f t="shared" si="24"/>
        <v>512</v>
      </c>
      <c r="C515" s="134">
        <v>42484</v>
      </c>
      <c r="D515" s="16">
        <v>0.19444444444444445</v>
      </c>
      <c r="E515" s="133">
        <v>19</v>
      </c>
      <c r="F515" s="133">
        <v>19.8</v>
      </c>
      <c r="G515" s="46">
        <v>21.9</v>
      </c>
      <c r="H515" s="103">
        <f t="shared" si="26"/>
        <v>20.233333333333331</v>
      </c>
      <c r="I515" s="46">
        <v>37</v>
      </c>
      <c r="J515" s="133" t="s">
        <v>39</v>
      </c>
      <c r="K515" s="133" t="s">
        <v>86</v>
      </c>
    </row>
    <row r="516" spans="2:11" x14ac:dyDescent="0.2">
      <c r="B516" s="135">
        <f t="shared" si="24"/>
        <v>513</v>
      </c>
      <c r="C516" s="136">
        <v>42484</v>
      </c>
      <c r="D516" s="16">
        <v>0.54861111111111105</v>
      </c>
      <c r="E516" s="46">
        <v>19.100000000000001</v>
      </c>
      <c r="F516" s="46">
        <v>20.2</v>
      </c>
      <c r="G516" s="46">
        <v>21</v>
      </c>
      <c r="H516" s="103">
        <f t="shared" si="26"/>
        <v>20.099999999999998</v>
      </c>
      <c r="I516" s="46">
        <v>27</v>
      </c>
      <c r="J516" s="46" t="s">
        <v>38</v>
      </c>
      <c r="K516" s="46" t="s">
        <v>50</v>
      </c>
    </row>
    <row r="517" spans="2:11" x14ac:dyDescent="0.2">
      <c r="B517" s="135">
        <f t="shared" si="24"/>
        <v>514</v>
      </c>
      <c r="C517" s="136">
        <v>42484</v>
      </c>
      <c r="D517" s="16">
        <v>0.70138888888888884</v>
      </c>
      <c r="E517" s="46">
        <v>15.4</v>
      </c>
      <c r="F517" s="46">
        <v>18.399999999999999</v>
      </c>
      <c r="G517" s="46">
        <v>20.3</v>
      </c>
      <c r="H517" s="103">
        <f t="shared" si="26"/>
        <v>18.033333333333331</v>
      </c>
      <c r="I517" s="46">
        <v>32</v>
      </c>
      <c r="J517" s="46" t="s">
        <v>39</v>
      </c>
      <c r="K517" s="46" t="s">
        <v>61</v>
      </c>
    </row>
    <row r="518" spans="2:11" x14ac:dyDescent="0.2">
      <c r="B518" s="135">
        <f t="shared" si="24"/>
        <v>515</v>
      </c>
      <c r="C518" s="136">
        <v>42484</v>
      </c>
      <c r="D518" s="16">
        <v>0.90833333333333333</v>
      </c>
      <c r="E518" s="46">
        <v>18.600000000000001</v>
      </c>
      <c r="F518" s="46">
        <v>22.3</v>
      </c>
      <c r="G518" s="46">
        <v>23</v>
      </c>
      <c r="H518" s="103">
        <f t="shared" si="26"/>
        <v>21.3</v>
      </c>
      <c r="I518" s="46">
        <v>35</v>
      </c>
      <c r="J518" s="46" t="s">
        <v>38</v>
      </c>
      <c r="K518" s="46" t="s">
        <v>57</v>
      </c>
    </row>
    <row r="519" spans="2:11" x14ac:dyDescent="0.2">
      <c r="B519" s="135">
        <f>B518+1</f>
        <v>516</v>
      </c>
      <c r="C519" s="136">
        <v>42485</v>
      </c>
      <c r="D519" s="16">
        <v>4.8611111111111112E-2</v>
      </c>
      <c r="E519" s="46">
        <v>17.399999999999999</v>
      </c>
      <c r="F519" s="46">
        <v>20.2</v>
      </c>
      <c r="G519" s="46">
        <v>22.6</v>
      </c>
      <c r="H519" s="103">
        <f t="shared" si="26"/>
        <v>20.066666666666666</v>
      </c>
      <c r="I519" s="46">
        <v>42</v>
      </c>
      <c r="J519" s="46" t="s">
        <v>39</v>
      </c>
      <c r="K519" s="46" t="s">
        <v>57</v>
      </c>
    </row>
    <row r="520" spans="2:11" x14ac:dyDescent="0.2">
      <c r="B520" s="135">
        <f>B519+1</f>
        <v>517</v>
      </c>
      <c r="C520" s="136">
        <v>42485</v>
      </c>
      <c r="D520" s="16">
        <v>0.19444444444444445</v>
      </c>
      <c r="E520" s="46">
        <v>17.5</v>
      </c>
      <c r="F520" s="46">
        <v>20.5</v>
      </c>
      <c r="G520" s="46">
        <v>21</v>
      </c>
      <c r="H520" s="103">
        <f t="shared" si="26"/>
        <v>19.666666666666668</v>
      </c>
      <c r="I520" s="46">
        <v>28</v>
      </c>
      <c r="J520" s="46" t="s">
        <v>39</v>
      </c>
      <c r="K520" s="46" t="s">
        <v>62</v>
      </c>
    </row>
    <row r="521" spans="2:11" x14ac:dyDescent="0.2">
      <c r="B521" s="151">
        <v>518</v>
      </c>
      <c r="C521" s="152">
        <v>42485</v>
      </c>
      <c r="D521" s="16">
        <v>0.54861111111111105</v>
      </c>
      <c r="E521" s="151">
        <v>20.100000000000001</v>
      </c>
      <c r="F521" s="151">
        <v>22.1</v>
      </c>
      <c r="G521" s="151">
        <v>24.3</v>
      </c>
      <c r="H521" s="103">
        <f t="shared" si="26"/>
        <v>22.166666666666668</v>
      </c>
      <c r="I521" s="151">
        <v>36</v>
      </c>
      <c r="J521" s="46" t="s">
        <v>39</v>
      </c>
      <c r="K521" s="46" t="s">
        <v>61</v>
      </c>
    </row>
    <row r="522" spans="2:11" x14ac:dyDescent="0.2">
      <c r="B522" s="151">
        <v>519</v>
      </c>
      <c r="C522" s="152">
        <v>42485</v>
      </c>
      <c r="D522" s="16">
        <v>0.70138888888888884</v>
      </c>
      <c r="E522" s="151">
        <v>16.2</v>
      </c>
      <c r="F522" s="151">
        <v>17.3</v>
      </c>
      <c r="G522" s="151">
        <v>18.399999999999999</v>
      </c>
      <c r="H522" s="103">
        <f t="shared" si="26"/>
        <v>17.3</v>
      </c>
      <c r="I522" s="151">
        <v>28</v>
      </c>
      <c r="J522" s="46" t="s">
        <v>39</v>
      </c>
      <c r="K522" s="46" t="s">
        <v>61</v>
      </c>
    </row>
    <row r="523" spans="2:11" x14ac:dyDescent="0.2">
      <c r="B523" s="151">
        <v>520</v>
      </c>
      <c r="C523" s="152">
        <v>42485</v>
      </c>
      <c r="D523" s="16">
        <v>0.90972222222222221</v>
      </c>
      <c r="E523" s="151">
        <v>21.6</v>
      </c>
      <c r="F523" s="151">
        <v>22.2</v>
      </c>
      <c r="G523" s="151">
        <v>23.2</v>
      </c>
      <c r="H523" s="103">
        <f t="shared" si="26"/>
        <v>22.333333333333332</v>
      </c>
      <c r="I523" s="151">
        <v>32</v>
      </c>
      <c r="J523" s="46" t="s">
        <v>38</v>
      </c>
      <c r="K523" s="46" t="s">
        <v>57</v>
      </c>
    </row>
    <row r="524" spans="2:11" x14ac:dyDescent="0.2">
      <c r="B524" s="151">
        <v>521</v>
      </c>
      <c r="C524" s="152">
        <v>42486</v>
      </c>
      <c r="D524" s="16">
        <v>4.8611111111111112E-2</v>
      </c>
      <c r="E524" s="151">
        <v>17.899999999999999</v>
      </c>
      <c r="F524" s="151">
        <v>22</v>
      </c>
      <c r="G524" s="151">
        <v>23.1</v>
      </c>
      <c r="H524" s="103">
        <f t="shared" si="26"/>
        <v>21</v>
      </c>
      <c r="I524" s="151">
        <v>29</v>
      </c>
      <c r="J524" s="46" t="s">
        <v>39</v>
      </c>
      <c r="K524" s="46" t="s">
        <v>57</v>
      </c>
    </row>
    <row r="525" spans="2:11" x14ac:dyDescent="0.2">
      <c r="B525" s="151">
        <v>522</v>
      </c>
      <c r="C525" s="152">
        <v>42486</v>
      </c>
      <c r="D525" s="16">
        <v>0.19444444444444445</v>
      </c>
      <c r="E525" s="151">
        <v>18.3</v>
      </c>
      <c r="F525" s="151">
        <v>19.399999999999999</v>
      </c>
      <c r="G525" s="151">
        <v>21.8</v>
      </c>
      <c r="H525" s="103">
        <f t="shared" si="26"/>
        <v>19.833333333333332</v>
      </c>
      <c r="I525" s="151">
        <v>30</v>
      </c>
      <c r="J525" s="46" t="s">
        <v>39</v>
      </c>
      <c r="K525" s="46" t="s">
        <v>62</v>
      </c>
    </row>
    <row r="526" spans="2:11" x14ac:dyDescent="0.2">
      <c r="B526" s="151">
        <v>523</v>
      </c>
      <c r="C526" s="152">
        <v>42486</v>
      </c>
      <c r="D526" s="16">
        <v>0.53125</v>
      </c>
      <c r="E526" s="151">
        <v>20.7</v>
      </c>
      <c r="F526" s="151">
        <v>22.7</v>
      </c>
      <c r="G526" s="151">
        <v>25.2</v>
      </c>
      <c r="H526" s="103">
        <f t="shared" si="26"/>
        <v>22.866666666666664</v>
      </c>
      <c r="I526" s="151">
        <v>38</v>
      </c>
      <c r="J526" s="46" t="s">
        <v>39</v>
      </c>
      <c r="K526" s="46" t="s">
        <v>61</v>
      </c>
    </row>
    <row r="527" spans="2:11" x14ac:dyDescent="0.2">
      <c r="B527" s="151">
        <v>524</v>
      </c>
      <c r="C527" s="152">
        <v>42486</v>
      </c>
      <c r="D527" s="16">
        <v>0.69444444444444453</v>
      </c>
      <c r="E527" s="151">
        <v>15.3</v>
      </c>
      <c r="F527" s="151">
        <v>17.899999999999999</v>
      </c>
      <c r="G527" s="151">
        <v>20.3</v>
      </c>
      <c r="H527" s="103">
        <f t="shared" si="26"/>
        <v>17.833333333333332</v>
      </c>
      <c r="I527" s="151">
        <v>34</v>
      </c>
      <c r="J527" s="46" t="s">
        <v>39</v>
      </c>
      <c r="K527" s="46" t="s">
        <v>61</v>
      </c>
    </row>
    <row r="528" spans="2:11" x14ac:dyDescent="0.2">
      <c r="B528" s="151">
        <v>525</v>
      </c>
      <c r="C528" s="152">
        <v>42487</v>
      </c>
      <c r="D528" s="16">
        <v>0.51041666666666663</v>
      </c>
      <c r="E528" s="151">
        <v>18.600000000000001</v>
      </c>
      <c r="F528" s="151">
        <v>19.2</v>
      </c>
      <c r="G528" s="151">
        <v>23.2</v>
      </c>
      <c r="H528" s="103">
        <f t="shared" si="26"/>
        <v>20.333333333333332</v>
      </c>
      <c r="I528" s="151">
        <v>42</v>
      </c>
      <c r="J528" s="46" t="s">
        <v>38</v>
      </c>
      <c r="K528" s="46" t="s">
        <v>57</v>
      </c>
    </row>
    <row r="529" spans="2:11" x14ac:dyDescent="0.2">
      <c r="B529" s="151">
        <v>526</v>
      </c>
      <c r="C529" s="152">
        <v>42487</v>
      </c>
      <c r="D529" s="16">
        <v>0.15277777777777776</v>
      </c>
      <c r="E529" s="151">
        <v>17.5</v>
      </c>
      <c r="F529" s="151">
        <v>20.100000000000001</v>
      </c>
      <c r="G529" s="151">
        <v>21.5</v>
      </c>
      <c r="H529" s="103">
        <f t="shared" si="26"/>
        <v>19.7</v>
      </c>
      <c r="I529" s="151">
        <v>35</v>
      </c>
      <c r="J529" s="46" t="s">
        <v>39</v>
      </c>
      <c r="K529" s="46" t="s">
        <v>57</v>
      </c>
    </row>
    <row r="530" spans="2:11" x14ac:dyDescent="0.2">
      <c r="B530" s="151">
        <v>527</v>
      </c>
      <c r="C530" s="152">
        <v>42487</v>
      </c>
      <c r="D530" s="16">
        <v>0.52777777777777779</v>
      </c>
      <c r="E530" s="151">
        <v>20.399999999999999</v>
      </c>
      <c r="F530" s="151">
        <v>24.3</v>
      </c>
      <c r="G530" s="151">
        <v>26.8</v>
      </c>
      <c r="H530" s="103">
        <f t="shared" si="26"/>
        <v>23.833333333333332</v>
      </c>
      <c r="I530" s="151">
        <v>29</v>
      </c>
      <c r="J530" s="46" t="s">
        <v>39</v>
      </c>
      <c r="K530" s="46" t="s">
        <v>61</v>
      </c>
    </row>
    <row r="531" spans="2:11" x14ac:dyDescent="0.2">
      <c r="B531" s="151">
        <v>528</v>
      </c>
      <c r="C531" s="152">
        <v>42487</v>
      </c>
      <c r="D531" s="16">
        <v>0.69097222222222221</v>
      </c>
      <c r="E531" s="151">
        <v>19.2</v>
      </c>
      <c r="F531" s="151">
        <v>22.1</v>
      </c>
      <c r="G531" s="151">
        <v>23.3</v>
      </c>
      <c r="H531" s="103">
        <f t="shared" si="26"/>
        <v>21.533333333333331</v>
      </c>
      <c r="I531" s="151">
        <v>29</v>
      </c>
      <c r="J531" s="46" t="s">
        <v>39</v>
      </c>
      <c r="K531" s="46" t="s">
        <v>61</v>
      </c>
    </row>
    <row r="532" spans="2:11" x14ac:dyDescent="0.2">
      <c r="B532" s="151">
        <v>529</v>
      </c>
      <c r="C532" s="152">
        <v>42487</v>
      </c>
      <c r="D532" s="16">
        <v>0.90625</v>
      </c>
      <c r="E532" s="151">
        <v>14.7</v>
      </c>
      <c r="F532" s="151">
        <v>17.3</v>
      </c>
      <c r="G532" s="151">
        <v>18.3</v>
      </c>
      <c r="H532" s="103">
        <f t="shared" si="26"/>
        <v>16.766666666666666</v>
      </c>
      <c r="I532" s="151">
        <v>30</v>
      </c>
      <c r="J532" s="46" t="s">
        <v>38</v>
      </c>
      <c r="K532" s="46" t="s">
        <v>57</v>
      </c>
    </row>
    <row r="533" spans="2:11" x14ac:dyDescent="0.2">
      <c r="B533" s="153">
        <v>530</v>
      </c>
      <c r="C533" s="154">
        <v>42487</v>
      </c>
      <c r="D533" s="16">
        <v>0.53472222222222221</v>
      </c>
      <c r="E533" s="153">
        <v>18.600000000000001</v>
      </c>
      <c r="F533" s="153">
        <v>17.3</v>
      </c>
      <c r="G533" s="153">
        <v>15.8</v>
      </c>
      <c r="H533" s="103">
        <f t="shared" si="26"/>
        <v>17.233333333333334</v>
      </c>
      <c r="I533" s="153">
        <v>34</v>
      </c>
      <c r="J533" s="46" t="s">
        <v>39</v>
      </c>
      <c r="K533" s="46" t="s">
        <v>61</v>
      </c>
    </row>
    <row r="534" spans="2:11" x14ac:dyDescent="0.2">
      <c r="B534" s="153">
        <v>531</v>
      </c>
      <c r="C534" s="154">
        <v>42487</v>
      </c>
      <c r="D534" s="16">
        <v>0.71875</v>
      </c>
      <c r="E534" s="153">
        <v>18.600000000000001</v>
      </c>
      <c r="F534" s="153">
        <v>19.3</v>
      </c>
      <c r="G534" s="153">
        <v>21.3</v>
      </c>
      <c r="H534" s="103">
        <f t="shared" si="26"/>
        <v>19.733333333333334</v>
      </c>
      <c r="I534" s="153">
        <v>30</v>
      </c>
      <c r="J534" s="46" t="s">
        <v>39</v>
      </c>
      <c r="K534" s="46" t="s">
        <v>61</v>
      </c>
    </row>
    <row r="535" spans="2:11" x14ac:dyDescent="0.2">
      <c r="B535" s="153">
        <v>532</v>
      </c>
      <c r="C535" s="154">
        <v>42487</v>
      </c>
      <c r="D535" s="16">
        <v>0.9145833333333333</v>
      </c>
      <c r="E535" s="153">
        <v>16.899999999999999</v>
      </c>
      <c r="F535" s="153">
        <v>17.899999999999999</v>
      </c>
      <c r="G535" s="153">
        <v>19.600000000000001</v>
      </c>
      <c r="H535" s="103">
        <f t="shared" si="26"/>
        <v>18.133333333333333</v>
      </c>
      <c r="I535" s="153">
        <v>33</v>
      </c>
      <c r="J535" s="46" t="s">
        <v>38</v>
      </c>
      <c r="K535" s="46" t="s">
        <v>57</v>
      </c>
    </row>
    <row r="536" spans="2:11" x14ac:dyDescent="0.2">
      <c r="B536" s="151">
        <v>530</v>
      </c>
      <c r="C536" s="154">
        <v>42489</v>
      </c>
      <c r="D536" s="16">
        <v>5.2083333333333336E-2</v>
      </c>
      <c r="E536" s="151">
        <v>18.2</v>
      </c>
      <c r="F536" s="151">
        <v>21</v>
      </c>
      <c r="G536" s="151">
        <v>23.7</v>
      </c>
      <c r="H536" s="103">
        <f t="shared" si="26"/>
        <v>20.966666666666669</v>
      </c>
      <c r="I536" s="151">
        <v>29</v>
      </c>
      <c r="J536" s="46" t="s">
        <v>39</v>
      </c>
      <c r="K536" s="46" t="s">
        <v>57</v>
      </c>
    </row>
    <row r="537" spans="2:11" x14ac:dyDescent="0.2">
      <c r="B537" s="151">
        <v>531</v>
      </c>
      <c r="C537" s="154">
        <v>42489</v>
      </c>
      <c r="D537" s="16">
        <v>0.20833333333333334</v>
      </c>
      <c r="E537" s="151">
        <v>17.5</v>
      </c>
      <c r="F537" s="151">
        <v>17.5</v>
      </c>
      <c r="G537" s="151">
        <v>20.2</v>
      </c>
      <c r="H537" s="103">
        <f t="shared" si="26"/>
        <v>18.400000000000002</v>
      </c>
      <c r="I537" s="151">
        <v>34</v>
      </c>
      <c r="J537" s="46" t="s">
        <v>39</v>
      </c>
      <c r="K537" s="46" t="s">
        <v>57</v>
      </c>
    </row>
    <row r="538" spans="2:11" x14ac:dyDescent="0.2">
      <c r="B538" s="151">
        <v>532</v>
      </c>
      <c r="C538" s="154">
        <v>42489</v>
      </c>
      <c r="D538" s="16">
        <v>0.53472222222222221</v>
      </c>
      <c r="E538" s="151">
        <v>18.600000000000001</v>
      </c>
      <c r="F538" s="151">
        <v>17.3</v>
      </c>
      <c r="G538" s="151">
        <v>15.8</v>
      </c>
      <c r="H538" s="103">
        <f t="shared" si="26"/>
        <v>17.233333333333334</v>
      </c>
      <c r="I538" s="151">
        <v>34</v>
      </c>
      <c r="J538" s="46" t="s">
        <v>39</v>
      </c>
      <c r="K538" s="46" t="s">
        <v>61</v>
      </c>
    </row>
    <row r="539" spans="2:11" x14ac:dyDescent="0.2">
      <c r="B539" s="151">
        <v>533</v>
      </c>
      <c r="C539" s="154">
        <v>42489</v>
      </c>
      <c r="D539" s="16">
        <v>0.71875</v>
      </c>
      <c r="E539" s="151">
        <v>18.600000000000001</v>
      </c>
      <c r="F539" s="151">
        <v>19.3</v>
      </c>
      <c r="G539" s="151">
        <v>21.3</v>
      </c>
      <c r="H539" s="103">
        <f t="shared" si="26"/>
        <v>19.733333333333334</v>
      </c>
      <c r="I539" s="151">
        <v>30</v>
      </c>
      <c r="J539" s="46" t="s">
        <v>39</v>
      </c>
      <c r="K539" s="46" t="s">
        <v>61</v>
      </c>
    </row>
    <row r="540" spans="2:11" x14ac:dyDescent="0.2">
      <c r="B540" s="151">
        <v>534</v>
      </c>
      <c r="C540" s="152">
        <v>42489</v>
      </c>
      <c r="D540" s="16">
        <v>0.9145833333333333</v>
      </c>
      <c r="E540" s="151">
        <v>16.899999999999999</v>
      </c>
      <c r="F540" s="151">
        <v>17.899999999999999</v>
      </c>
      <c r="G540" s="151">
        <v>19.600000000000001</v>
      </c>
      <c r="H540" s="103">
        <f t="shared" si="26"/>
        <v>18.133333333333333</v>
      </c>
      <c r="I540" s="151">
        <v>33</v>
      </c>
      <c r="J540" s="46" t="s">
        <v>38</v>
      </c>
      <c r="K540" s="46" t="s">
        <v>57</v>
      </c>
    </row>
    <row r="541" spans="2:11" x14ac:dyDescent="0.2">
      <c r="B541" s="151">
        <v>535</v>
      </c>
      <c r="C541" s="154">
        <v>42490</v>
      </c>
      <c r="D541" s="16">
        <v>4.8611111111111112E-2</v>
      </c>
      <c r="E541" s="151">
        <v>15.4</v>
      </c>
      <c r="F541" s="151">
        <v>18</v>
      </c>
      <c r="G541" s="151">
        <v>22.3</v>
      </c>
      <c r="H541" s="103">
        <f t="shared" si="26"/>
        <v>18.566666666666666</v>
      </c>
      <c r="I541" s="151">
        <v>39</v>
      </c>
      <c r="J541" s="46" t="s">
        <v>39</v>
      </c>
      <c r="K541" s="46" t="s">
        <v>57</v>
      </c>
    </row>
    <row r="542" spans="2:11" x14ac:dyDescent="0.2">
      <c r="B542" s="151">
        <v>536</v>
      </c>
      <c r="C542" s="152">
        <v>42490</v>
      </c>
      <c r="D542" s="16">
        <v>0.20486111111111113</v>
      </c>
      <c r="E542" s="151">
        <v>18.899999999999999</v>
      </c>
      <c r="F542" s="151">
        <v>22.6</v>
      </c>
      <c r="G542" s="151">
        <v>25.3</v>
      </c>
      <c r="H542" s="103">
        <f t="shared" si="26"/>
        <v>22.266666666666666</v>
      </c>
      <c r="I542" s="151">
        <v>34</v>
      </c>
      <c r="J542" s="46" t="s">
        <v>39</v>
      </c>
      <c r="K542" s="46" t="s">
        <v>57</v>
      </c>
    </row>
    <row r="543" spans="2:11" x14ac:dyDescent="0.2">
      <c r="B543" s="151">
        <v>537</v>
      </c>
      <c r="C543" s="154">
        <v>42491</v>
      </c>
      <c r="D543" s="16">
        <v>0.53472222222222221</v>
      </c>
      <c r="E543" s="151">
        <v>16.3</v>
      </c>
      <c r="F543" s="151">
        <v>18.8</v>
      </c>
      <c r="G543" s="151">
        <v>19.7</v>
      </c>
      <c r="H543" s="103">
        <f t="shared" si="26"/>
        <v>18.266666666666666</v>
      </c>
      <c r="I543" s="151">
        <v>27</v>
      </c>
      <c r="J543" s="46" t="s">
        <v>39</v>
      </c>
      <c r="K543" s="46" t="s">
        <v>61</v>
      </c>
    </row>
    <row r="544" spans="2:11" x14ac:dyDescent="0.2">
      <c r="B544" s="151">
        <v>538</v>
      </c>
      <c r="C544" s="154">
        <v>42491</v>
      </c>
      <c r="D544" s="16">
        <v>0.71875</v>
      </c>
      <c r="E544" s="151">
        <v>15.4</v>
      </c>
      <c r="F544" s="151">
        <v>18.600000000000001</v>
      </c>
      <c r="G544" s="151">
        <v>20.100000000000001</v>
      </c>
      <c r="H544" s="103">
        <f t="shared" si="26"/>
        <v>18.033333333333335</v>
      </c>
      <c r="I544" s="151">
        <v>25</v>
      </c>
      <c r="J544" s="46" t="s">
        <v>39</v>
      </c>
      <c r="K544" s="46" t="s">
        <v>61</v>
      </c>
    </row>
    <row r="545" spans="2:11" x14ac:dyDescent="0.2">
      <c r="B545" s="151">
        <v>539</v>
      </c>
      <c r="C545" s="152">
        <v>42491</v>
      </c>
      <c r="D545" s="16">
        <v>0.9145833333333333</v>
      </c>
      <c r="E545" s="151">
        <v>15.5</v>
      </c>
      <c r="F545" s="151">
        <v>19.100000000000001</v>
      </c>
      <c r="G545" s="151">
        <v>20.6</v>
      </c>
      <c r="H545" s="103">
        <f t="shared" si="26"/>
        <v>18.400000000000002</v>
      </c>
      <c r="I545" s="151">
        <v>28</v>
      </c>
      <c r="J545" s="46" t="s">
        <v>38</v>
      </c>
      <c r="K545" s="46" t="s">
        <v>57</v>
      </c>
    </row>
    <row r="546" spans="2:11" x14ac:dyDescent="0.2">
      <c r="B546" s="151">
        <v>540</v>
      </c>
      <c r="C546" s="154">
        <v>42492</v>
      </c>
      <c r="D546" s="16">
        <v>4.8611111111111112E-2</v>
      </c>
      <c r="E546" s="151">
        <v>17</v>
      </c>
      <c r="F546" s="151">
        <v>18.5</v>
      </c>
      <c r="G546" s="151">
        <v>22.3</v>
      </c>
      <c r="H546" s="103">
        <f t="shared" si="26"/>
        <v>19.266666666666666</v>
      </c>
      <c r="I546" s="151">
        <v>29</v>
      </c>
      <c r="J546" s="46" t="s">
        <v>39</v>
      </c>
      <c r="K546" s="46" t="s">
        <v>57</v>
      </c>
    </row>
    <row r="547" spans="2:11" x14ac:dyDescent="0.2">
      <c r="B547" s="151">
        <v>541</v>
      </c>
      <c r="C547" s="154">
        <v>42492</v>
      </c>
      <c r="D547" s="16">
        <v>0.20486111111111113</v>
      </c>
      <c r="E547" s="151">
        <v>19</v>
      </c>
      <c r="F547" s="151">
        <v>21.1</v>
      </c>
      <c r="G547" s="151">
        <v>22.5</v>
      </c>
      <c r="H547" s="103">
        <f t="shared" si="26"/>
        <v>20.866666666666667</v>
      </c>
      <c r="I547" s="151">
        <v>34</v>
      </c>
      <c r="J547" s="46" t="s">
        <v>39</v>
      </c>
      <c r="K547" s="46" t="s">
        <v>57</v>
      </c>
    </row>
    <row r="548" spans="2:11" x14ac:dyDescent="0.2">
      <c r="B548" s="151">
        <v>542</v>
      </c>
      <c r="C548" s="154">
        <v>42492</v>
      </c>
      <c r="D548" s="16">
        <v>0.52777777777777779</v>
      </c>
      <c r="E548" s="151">
        <v>20.6</v>
      </c>
      <c r="F548" s="151">
        <v>21.5</v>
      </c>
      <c r="G548" s="151">
        <v>22.2</v>
      </c>
      <c r="H548" s="103">
        <f t="shared" si="26"/>
        <v>21.433333333333334</v>
      </c>
      <c r="I548" s="151">
        <v>40</v>
      </c>
      <c r="J548" s="46" t="s">
        <v>39</v>
      </c>
      <c r="K548" s="46" t="s">
        <v>61</v>
      </c>
    </row>
    <row r="549" spans="2:11" x14ac:dyDescent="0.2">
      <c r="B549" s="151">
        <v>543</v>
      </c>
      <c r="C549" s="154">
        <v>42492</v>
      </c>
      <c r="D549" s="16">
        <v>0.74097222222222225</v>
      </c>
      <c r="E549" s="151">
        <v>17.7</v>
      </c>
      <c r="F549" s="151">
        <v>20.6</v>
      </c>
      <c r="G549" s="151">
        <v>21.5</v>
      </c>
      <c r="H549" s="103">
        <f t="shared" si="26"/>
        <v>19.933333333333334</v>
      </c>
      <c r="I549" s="151">
        <v>30</v>
      </c>
      <c r="J549" s="46" t="s">
        <v>39</v>
      </c>
      <c r="K549" s="46" t="s">
        <v>61</v>
      </c>
    </row>
    <row r="550" spans="2:11" x14ac:dyDescent="0.2">
      <c r="B550" s="151">
        <v>544</v>
      </c>
      <c r="C550" s="152">
        <v>42492</v>
      </c>
      <c r="D550" s="16">
        <v>0.8965277777777777</v>
      </c>
      <c r="E550" s="151">
        <v>18.399999999999999</v>
      </c>
      <c r="F550" s="151">
        <v>19.2</v>
      </c>
      <c r="G550" s="151">
        <v>20.3</v>
      </c>
      <c r="H550" s="103">
        <f t="shared" si="26"/>
        <v>19.299999999999997</v>
      </c>
      <c r="I550" s="151">
        <v>40</v>
      </c>
      <c r="J550" s="46" t="s">
        <v>38</v>
      </c>
      <c r="K550" s="46" t="s">
        <v>57</v>
      </c>
    </row>
    <row r="551" spans="2:11" x14ac:dyDescent="0.2">
      <c r="B551" s="151">
        <v>545</v>
      </c>
      <c r="C551" s="154">
        <v>42493</v>
      </c>
      <c r="D551" s="16">
        <v>5.2083333333333336E-2</v>
      </c>
      <c r="E551" s="151">
        <v>18.3</v>
      </c>
      <c r="F551" s="151">
        <v>20.7</v>
      </c>
      <c r="G551" s="151">
        <v>22.5</v>
      </c>
      <c r="H551" s="103">
        <f t="shared" si="26"/>
        <v>20.5</v>
      </c>
      <c r="I551" s="151">
        <v>31</v>
      </c>
      <c r="J551" s="46" t="s">
        <v>39</v>
      </c>
      <c r="K551" s="46" t="s">
        <v>57</v>
      </c>
    </row>
    <row r="552" spans="2:11" x14ac:dyDescent="0.2">
      <c r="B552" s="151">
        <v>546</v>
      </c>
      <c r="C552" s="154">
        <v>42493</v>
      </c>
      <c r="D552" s="16">
        <v>0.19444444444444445</v>
      </c>
      <c r="E552" s="151">
        <v>18.2</v>
      </c>
      <c r="F552" s="151">
        <v>19.899999999999999</v>
      </c>
      <c r="G552" s="151">
        <v>26.2</v>
      </c>
      <c r="H552" s="103">
        <f t="shared" si="26"/>
        <v>21.433333333333334</v>
      </c>
      <c r="I552" s="151">
        <v>40</v>
      </c>
      <c r="J552" s="46" t="s">
        <v>39</v>
      </c>
      <c r="K552" s="46" t="s">
        <v>57</v>
      </c>
    </row>
    <row r="553" spans="2:11" x14ac:dyDescent="0.2">
      <c r="B553" s="151">
        <v>547</v>
      </c>
      <c r="C553" s="154">
        <v>42493</v>
      </c>
      <c r="D553" s="16">
        <v>0.54166666666666663</v>
      </c>
      <c r="E553" s="151">
        <v>13.6</v>
      </c>
      <c r="F553" s="151">
        <v>19.3</v>
      </c>
      <c r="G553" s="151">
        <v>22.2</v>
      </c>
      <c r="H553" s="103">
        <f t="shared" si="26"/>
        <v>18.366666666666664</v>
      </c>
      <c r="I553" s="151">
        <v>31</v>
      </c>
      <c r="J553" s="46" t="s">
        <v>39</v>
      </c>
      <c r="K553" s="46" t="s">
        <v>61</v>
      </c>
    </row>
    <row r="554" spans="2:11" x14ac:dyDescent="0.2">
      <c r="B554" s="151">
        <v>548</v>
      </c>
      <c r="C554" s="154">
        <v>42493</v>
      </c>
      <c r="D554" s="16">
        <v>0.76041666666666663</v>
      </c>
      <c r="E554" s="151">
        <v>17.2</v>
      </c>
      <c r="F554" s="151">
        <v>18.600000000000001</v>
      </c>
      <c r="G554" s="151">
        <v>20.2</v>
      </c>
      <c r="H554" s="103">
        <f t="shared" si="26"/>
        <v>18.666666666666668</v>
      </c>
      <c r="I554" s="151">
        <v>28</v>
      </c>
      <c r="J554" s="46" t="s">
        <v>39</v>
      </c>
      <c r="K554" s="46" t="s">
        <v>61</v>
      </c>
    </row>
    <row r="555" spans="2:11" x14ac:dyDescent="0.2">
      <c r="B555" s="151">
        <v>549</v>
      </c>
      <c r="C555" s="152">
        <v>42493</v>
      </c>
      <c r="D555" s="16">
        <v>0.94097222222222221</v>
      </c>
      <c r="E555" s="151">
        <v>18.100000000000001</v>
      </c>
      <c r="F555" s="151">
        <v>20</v>
      </c>
      <c r="G555" s="151">
        <v>23</v>
      </c>
      <c r="H555" s="103">
        <f t="shared" si="26"/>
        <v>20.366666666666667</v>
      </c>
      <c r="I555" s="151">
        <v>35</v>
      </c>
      <c r="J555" s="46" t="s">
        <v>38</v>
      </c>
      <c r="K555" s="46" t="s">
        <v>57</v>
      </c>
    </row>
    <row r="556" spans="2:11" x14ac:dyDescent="0.2">
      <c r="B556" s="151">
        <v>550</v>
      </c>
      <c r="C556" s="152">
        <v>42494</v>
      </c>
      <c r="D556" s="16">
        <v>9.7222222222222224E-2</v>
      </c>
      <c r="E556" s="151">
        <v>17.399999999999999</v>
      </c>
      <c r="F556" s="151">
        <v>21.2</v>
      </c>
      <c r="G556" s="151">
        <v>23.8</v>
      </c>
      <c r="H556" s="103">
        <f t="shared" si="26"/>
        <v>20.799999999999997</v>
      </c>
      <c r="I556" s="151">
        <v>38</v>
      </c>
      <c r="J556" s="46" t="s">
        <v>39</v>
      </c>
      <c r="K556" s="46" t="s">
        <v>57</v>
      </c>
    </row>
    <row r="557" spans="2:11" x14ac:dyDescent="0.2">
      <c r="B557" s="151">
        <v>551</v>
      </c>
      <c r="C557" s="152">
        <v>42494</v>
      </c>
      <c r="D557" s="16">
        <v>0.22222222222222221</v>
      </c>
      <c r="E557" s="151">
        <v>14.2</v>
      </c>
      <c r="F557" s="151">
        <v>18.600000000000001</v>
      </c>
      <c r="G557" s="151">
        <v>23</v>
      </c>
      <c r="H557" s="103">
        <f t="shared" si="26"/>
        <v>18.599999999999998</v>
      </c>
      <c r="I557" s="151">
        <v>34</v>
      </c>
      <c r="J557" s="46" t="s">
        <v>39</v>
      </c>
      <c r="K557" s="46" t="s">
        <v>57</v>
      </c>
    </row>
    <row r="558" spans="2:11" x14ac:dyDescent="0.2">
      <c r="B558" s="151">
        <v>552</v>
      </c>
      <c r="C558" s="160">
        <v>42494</v>
      </c>
      <c r="D558" s="16">
        <v>0.59166666666666667</v>
      </c>
      <c r="E558" s="151">
        <v>17.5</v>
      </c>
      <c r="F558" s="151">
        <v>19.399999999999999</v>
      </c>
      <c r="G558" s="151">
        <v>21.2</v>
      </c>
      <c r="H558" s="103">
        <f t="shared" si="26"/>
        <v>19.366666666666664</v>
      </c>
      <c r="I558" s="151">
        <v>38</v>
      </c>
      <c r="J558" s="46" t="s">
        <v>39</v>
      </c>
      <c r="K558" s="46" t="s">
        <v>61</v>
      </c>
    </row>
    <row r="559" spans="2:11" x14ac:dyDescent="0.2">
      <c r="B559" s="151">
        <v>553</v>
      </c>
      <c r="C559" s="160">
        <v>42494</v>
      </c>
      <c r="D559" s="16">
        <v>0.74305555555555547</v>
      </c>
      <c r="E559" s="151">
        <v>17.5</v>
      </c>
      <c r="F559" s="151">
        <v>19.399999999999999</v>
      </c>
      <c r="G559" s="151">
        <v>21.4</v>
      </c>
      <c r="H559" s="103">
        <f t="shared" ref="H559:H622" si="27">AVERAGE(E559:G559)</f>
        <v>19.433333333333334</v>
      </c>
      <c r="I559" s="151">
        <v>38</v>
      </c>
      <c r="J559" s="46" t="s">
        <v>39</v>
      </c>
      <c r="K559" s="46" t="s">
        <v>61</v>
      </c>
    </row>
    <row r="560" spans="2:11" x14ac:dyDescent="0.2">
      <c r="B560" s="151">
        <v>554</v>
      </c>
      <c r="C560" s="160">
        <v>42494</v>
      </c>
      <c r="D560" s="16">
        <v>4.8611111111111112E-2</v>
      </c>
      <c r="E560" s="151">
        <v>17.5</v>
      </c>
      <c r="F560" s="151">
        <v>19.399999999999999</v>
      </c>
      <c r="G560" s="151">
        <v>21</v>
      </c>
      <c r="H560" s="103">
        <f t="shared" si="27"/>
        <v>19.3</v>
      </c>
      <c r="I560" s="151">
        <v>33</v>
      </c>
      <c r="J560" s="46" t="s">
        <v>38</v>
      </c>
      <c r="K560" s="46" t="s">
        <v>57</v>
      </c>
    </row>
    <row r="561" spans="2:11" x14ac:dyDescent="0.2">
      <c r="B561" s="151">
        <v>555</v>
      </c>
      <c r="C561" s="160">
        <v>42495</v>
      </c>
      <c r="D561" s="16">
        <v>0.22222222222222221</v>
      </c>
      <c r="E561" s="151">
        <v>17.600000000000001</v>
      </c>
      <c r="F561" s="151">
        <v>18.5</v>
      </c>
      <c r="G561" s="151">
        <v>20.9</v>
      </c>
      <c r="H561" s="103">
        <f t="shared" si="27"/>
        <v>19</v>
      </c>
      <c r="I561" s="151">
        <v>34</v>
      </c>
      <c r="J561" s="46" t="s">
        <v>39</v>
      </c>
      <c r="K561" s="46" t="s">
        <v>57</v>
      </c>
    </row>
    <row r="562" spans="2:11" x14ac:dyDescent="0.2">
      <c r="B562" s="151">
        <v>556</v>
      </c>
      <c r="C562" s="160">
        <v>42495</v>
      </c>
      <c r="D562" s="16">
        <v>0.59166666666666667</v>
      </c>
      <c r="E562" s="151">
        <v>17.600000000000001</v>
      </c>
      <c r="F562" s="151">
        <v>18.5</v>
      </c>
      <c r="G562" s="151">
        <v>20.9</v>
      </c>
      <c r="H562" s="103">
        <f t="shared" si="27"/>
        <v>19</v>
      </c>
      <c r="I562" s="151">
        <v>32</v>
      </c>
      <c r="J562" s="46" t="s">
        <v>39</v>
      </c>
      <c r="K562" s="46" t="s">
        <v>57</v>
      </c>
    </row>
    <row r="563" spans="2:11" x14ac:dyDescent="0.2">
      <c r="B563" s="151">
        <v>557</v>
      </c>
      <c r="C563" s="160">
        <v>42495</v>
      </c>
      <c r="D563" s="16">
        <v>0.74305555555555547</v>
      </c>
      <c r="E563" s="151">
        <v>17.600000000000001</v>
      </c>
      <c r="F563" s="151">
        <v>18.5</v>
      </c>
      <c r="G563" s="151">
        <v>20.9</v>
      </c>
      <c r="H563" s="103">
        <f t="shared" si="27"/>
        <v>19</v>
      </c>
      <c r="I563" s="151">
        <v>34</v>
      </c>
      <c r="J563" s="46" t="s">
        <v>39</v>
      </c>
      <c r="K563" s="46" t="s">
        <v>61</v>
      </c>
    </row>
    <row r="564" spans="2:11" x14ac:dyDescent="0.2">
      <c r="B564" s="151">
        <v>558</v>
      </c>
      <c r="C564" s="160">
        <v>42495</v>
      </c>
      <c r="D564" s="16">
        <v>4.8611111111111112E-2</v>
      </c>
      <c r="E564" s="151">
        <v>17.600000000000001</v>
      </c>
      <c r="F564" s="151">
        <v>18.5</v>
      </c>
      <c r="G564" s="151">
        <v>20.9</v>
      </c>
      <c r="H564" s="103">
        <f t="shared" si="27"/>
        <v>19</v>
      </c>
      <c r="I564" s="151">
        <v>34</v>
      </c>
      <c r="J564" s="46" t="s">
        <v>39</v>
      </c>
      <c r="K564" s="46" t="s">
        <v>61</v>
      </c>
    </row>
    <row r="565" spans="2:11" x14ac:dyDescent="0.2">
      <c r="B565" s="151">
        <v>559</v>
      </c>
      <c r="C565" s="160">
        <v>42496</v>
      </c>
      <c r="D565" s="16">
        <v>0.22222222222222221</v>
      </c>
      <c r="E565" s="151">
        <v>17.600000000000001</v>
      </c>
      <c r="F565" s="151">
        <v>18.5</v>
      </c>
      <c r="G565" s="151">
        <v>20</v>
      </c>
      <c r="H565" s="103">
        <f t="shared" si="27"/>
        <v>18.7</v>
      </c>
      <c r="I565" s="151">
        <v>33</v>
      </c>
      <c r="J565" s="46" t="s">
        <v>38</v>
      </c>
      <c r="K565" s="46" t="s">
        <v>57</v>
      </c>
    </row>
    <row r="566" spans="2:11" x14ac:dyDescent="0.2">
      <c r="B566" s="159">
        <v>560</v>
      </c>
      <c r="C566" s="160">
        <v>42496</v>
      </c>
      <c r="D566" s="16">
        <v>0.59166666666666667</v>
      </c>
      <c r="E566" s="159">
        <v>17.600000000000001</v>
      </c>
      <c r="F566" s="159">
        <v>18.5</v>
      </c>
      <c r="G566" s="159">
        <v>20.9</v>
      </c>
      <c r="H566" s="103">
        <f t="shared" si="27"/>
        <v>19</v>
      </c>
      <c r="I566" s="159">
        <v>32</v>
      </c>
      <c r="J566" s="46" t="s">
        <v>39</v>
      </c>
      <c r="K566" s="46" t="s">
        <v>57</v>
      </c>
    </row>
    <row r="567" spans="2:11" x14ac:dyDescent="0.2">
      <c r="B567" s="159">
        <v>561</v>
      </c>
      <c r="C567" s="160">
        <v>42496</v>
      </c>
      <c r="D567" s="16">
        <v>0.74305555555555547</v>
      </c>
      <c r="E567" s="159">
        <v>17.600000000000001</v>
      </c>
      <c r="F567" s="159">
        <v>18.5</v>
      </c>
      <c r="G567" s="159">
        <v>20.7</v>
      </c>
      <c r="H567" s="103">
        <f t="shared" si="27"/>
        <v>18.933333333333334</v>
      </c>
      <c r="I567" s="159">
        <v>48</v>
      </c>
      <c r="J567" s="46" t="s">
        <v>39</v>
      </c>
      <c r="K567" s="46" t="s">
        <v>57</v>
      </c>
    </row>
    <row r="568" spans="2:11" x14ac:dyDescent="0.2">
      <c r="B568" s="159">
        <v>562</v>
      </c>
      <c r="C568" s="160">
        <v>42496</v>
      </c>
      <c r="D568" s="16">
        <v>4.8611111111111112E-2</v>
      </c>
      <c r="E568" s="151">
        <v>17.600000000000001</v>
      </c>
      <c r="F568" s="151">
        <v>18.5</v>
      </c>
      <c r="G568" s="151">
        <v>20.9</v>
      </c>
      <c r="H568" s="103">
        <f t="shared" si="27"/>
        <v>19</v>
      </c>
      <c r="I568" s="151">
        <v>48</v>
      </c>
      <c r="J568" s="46" t="s">
        <v>39</v>
      </c>
      <c r="K568" s="46" t="s">
        <v>57</v>
      </c>
    </row>
    <row r="569" spans="2:11" x14ac:dyDescent="0.2">
      <c r="B569" s="159">
        <v>563</v>
      </c>
      <c r="C569" s="160">
        <v>42496</v>
      </c>
      <c r="D569" s="16">
        <v>0.22222222222222221</v>
      </c>
      <c r="E569" s="157">
        <v>17.600000000000001</v>
      </c>
      <c r="F569" s="157">
        <v>18.5</v>
      </c>
      <c r="G569" s="157">
        <v>20.9</v>
      </c>
      <c r="H569" s="103">
        <f t="shared" si="27"/>
        <v>19</v>
      </c>
      <c r="I569" s="157">
        <v>36</v>
      </c>
      <c r="J569" s="46" t="s">
        <v>39</v>
      </c>
      <c r="K569" s="46" t="s">
        <v>57</v>
      </c>
    </row>
    <row r="570" spans="2:11" x14ac:dyDescent="0.2">
      <c r="B570" s="159">
        <v>564</v>
      </c>
      <c r="C570" s="158">
        <v>42497</v>
      </c>
      <c r="D570" s="16">
        <v>0.50694444444444442</v>
      </c>
      <c r="E570" s="157">
        <v>18</v>
      </c>
      <c r="F570" s="157">
        <v>23.1</v>
      </c>
      <c r="G570" s="157">
        <v>25</v>
      </c>
      <c r="H570" s="103">
        <f t="shared" si="27"/>
        <v>22.033333333333331</v>
      </c>
      <c r="I570" s="157">
        <v>38</v>
      </c>
      <c r="J570" s="46" t="s">
        <v>38</v>
      </c>
      <c r="K570" s="46" t="s">
        <v>57</v>
      </c>
    </row>
    <row r="571" spans="2:11" x14ac:dyDescent="0.2">
      <c r="B571" s="159">
        <v>565</v>
      </c>
      <c r="C571" s="158">
        <v>42497</v>
      </c>
      <c r="D571" s="16">
        <v>0.19444444444444445</v>
      </c>
      <c r="E571" s="157">
        <v>15.1</v>
      </c>
      <c r="F571" s="157">
        <v>18.600000000000001</v>
      </c>
      <c r="G571" s="157">
        <v>20.2</v>
      </c>
      <c r="H571" s="103">
        <f t="shared" si="27"/>
        <v>17.966666666666669</v>
      </c>
      <c r="I571" s="157">
        <v>38</v>
      </c>
      <c r="J571" s="46" t="s">
        <v>39</v>
      </c>
      <c r="K571" s="46" t="s">
        <v>57</v>
      </c>
    </row>
    <row r="572" spans="2:11" x14ac:dyDescent="0.2">
      <c r="B572" s="159">
        <v>566</v>
      </c>
      <c r="C572" s="158">
        <v>42497</v>
      </c>
      <c r="D572" s="16">
        <v>0.59166666666666667</v>
      </c>
      <c r="E572" s="157">
        <v>16.8</v>
      </c>
      <c r="F572" s="157">
        <v>17.8</v>
      </c>
      <c r="G572" s="157">
        <v>20.3</v>
      </c>
      <c r="H572" s="103">
        <f t="shared" si="27"/>
        <v>18.3</v>
      </c>
      <c r="I572" s="157">
        <v>33</v>
      </c>
      <c r="J572" s="46" t="s">
        <v>38</v>
      </c>
      <c r="K572" s="46" t="s">
        <v>50</v>
      </c>
    </row>
    <row r="573" spans="2:11" x14ac:dyDescent="0.2">
      <c r="B573" s="159">
        <v>567</v>
      </c>
      <c r="C573" s="158">
        <v>42497</v>
      </c>
      <c r="D573" s="16">
        <v>0.74305555555555547</v>
      </c>
      <c r="E573" s="157">
        <v>16.600000000000001</v>
      </c>
      <c r="F573" s="157">
        <v>18.100000000000001</v>
      </c>
      <c r="G573" s="157">
        <v>19.2</v>
      </c>
      <c r="H573" s="103">
        <f t="shared" si="27"/>
        <v>17.966666666666669</v>
      </c>
      <c r="I573" s="157">
        <v>34</v>
      </c>
      <c r="J573" s="46" t="s">
        <v>39</v>
      </c>
      <c r="K573" s="46" t="s">
        <v>50</v>
      </c>
    </row>
    <row r="574" spans="2:11" x14ac:dyDescent="0.2">
      <c r="B574" s="159">
        <v>568</v>
      </c>
      <c r="C574" s="158">
        <v>42498</v>
      </c>
      <c r="D574" s="16">
        <v>4.8611111111111112E-2</v>
      </c>
      <c r="E574" s="157">
        <v>17.7</v>
      </c>
      <c r="F574" s="157">
        <v>18</v>
      </c>
      <c r="G574" s="157">
        <v>25.4</v>
      </c>
      <c r="H574" s="103">
        <f t="shared" si="27"/>
        <v>20.366666666666667</v>
      </c>
      <c r="I574" s="157">
        <v>32</v>
      </c>
      <c r="J574" s="46" t="s">
        <v>38</v>
      </c>
      <c r="K574" s="46" t="s">
        <v>57</v>
      </c>
    </row>
    <row r="575" spans="2:11" x14ac:dyDescent="0.2">
      <c r="B575" s="159">
        <v>569</v>
      </c>
      <c r="C575" s="158">
        <v>42498</v>
      </c>
      <c r="D575" s="16">
        <v>0.19444444444444445</v>
      </c>
      <c r="E575" s="157">
        <v>16.600000000000001</v>
      </c>
      <c r="F575" s="157">
        <v>17.8</v>
      </c>
      <c r="G575" s="157">
        <v>19</v>
      </c>
      <c r="H575" s="103">
        <f t="shared" si="27"/>
        <v>17.8</v>
      </c>
      <c r="I575" s="157">
        <v>34</v>
      </c>
      <c r="J575" s="46" t="s">
        <v>39</v>
      </c>
      <c r="K575" s="46" t="s">
        <v>62</v>
      </c>
    </row>
    <row r="576" spans="2:11" x14ac:dyDescent="0.2">
      <c r="B576" s="159">
        <v>570</v>
      </c>
      <c r="C576" s="160">
        <v>42498</v>
      </c>
      <c r="D576" s="16">
        <v>0.62152777777777779</v>
      </c>
      <c r="E576" s="157">
        <v>11.4</v>
      </c>
      <c r="F576" s="157">
        <v>14.4</v>
      </c>
      <c r="G576" s="157">
        <v>15.3</v>
      </c>
      <c r="H576" s="103">
        <f t="shared" si="27"/>
        <v>13.700000000000001</v>
      </c>
      <c r="I576" s="157">
        <v>22</v>
      </c>
      <c r="J576" s="46" t="s">
        <v>38</v>
      </c>
      <c r="K576" s="46" t="s">
        <v>57</v>
      </c>
    </row>
    <row r="577" spans="2:11" x14ac:dyDescent="0.2">
      <c r="B577" s="159">
        <v>571</v>
      </c>
      <c r="C577" s="160">
        <v>42498</v>
      </c>
      <c r="D577" s="16">
        <v>0.76041666666666663</v>
      </c>
      <c r="E577" s="157">
        <v>17.600000000000001</v>
      </c>
      <c r="F577" s="157">
        <v>18.2</v>
      </c>
      <c r="G577" s="157">
        <v>19.3</v>
      </c>
      <c r="H577" s="103">
        <f t="shared" si="27"/>
        <v>18.366666666666664</v>
      </c>
      <c r="I577" s="157">
        <v>34</v>
      </c>
      <c r="J577" s="46" t="s">
        <v>39</v>
      </c>
      <c r="K577" s="46" t="s">
        <v>57</v>
      </c>
    </row>
    <row r="578" spans="2:11" x14ac:dyDescent="0.2">
      <c r="B578" s="159">
        <v>572</v>
      </c>
      <c r="C578" s="160">
        <v>42498</v>
      </c>
      <c r="D578" s="16">
        <v>0.92361111111111116</v>
      </c>
      <c r="E578" s="157">
        <v>15.9</v>
      </c>
      <c r="F578" s="157">
        <v>16.600000000000001</v>
      </c>
      <c r="G578" s="157">
        <v>18.899999999999999</v>
      </c>
      <c r="H578" s="103">
        <f t="shared" si="27"/>
        <v>17.133333333333333</v>
      </c>
      <c r="I578" s="157">
        <v>33</v>
      </c>
      <c r="J578" s="46" t="s">
        <v>38</v>
      </c>
      <c r="K578" s="46" t="s">
        <v>50</v>
      </c>
    </row>
    <row r="579" spans="2:11" x14ac:dyDescent="0.2">
      <c r="B579" s="172">
        <v>573</v>
      </c>
      <c r="C579" s="160">
        <v>42499</v>
      </c>
      <c r="D579" s="16">
        <v>4.8611111111111112E-2</v>
      </c>
      <c r="E579" s="157">
        <v>14.1</v>
      </c>
      <c r="F579" s="157">
        <v>16</v>
      </c>
      <c r="G579" s="157">
        <v>14.4</v>
      </c>
      <c r="H579" s="103">
        <f t="shared" si="27"/>
        <v>14.833333333333334</v>
      </c>
      <c r="I579" s="157">
        <v>32</v>
      </c>
      <c r="J579" s="46" t="s">
        <v>38</v>
      </c>
      <c r="K579" s="46" t="s">
        <v>57</v>
      </c>
    </row>
    <row r="580" spans="2:11" x14ac:dyDescent="0.2">
      <c r="B580" s="172">
        <v>574</v>
      </c>
      <c r="C580" s="160">
        <v>42499</v>
      </c>
      <c r="D580" s="16">
        <v>0.19444444444444445</v>
      </c>
      <c r="E580" s="157">
        <v>15.1</v>
      </c>
      <c r="F580" s="157">
        <v>17.600000000000001</v>
      </c>
      <c r="G580" s="157">
        <v>18.2</v>
      </c>
      <c r="H580" s="103">
        <f t="shared" si="27"/>
        <v>16.966666666666669</v>
      </c>
      <c r="I580" s="157">
        <v>48</v>
      </c>
      <c r="J580" s="46" t="s">
        <v>39</v>
      </c>
      <c r="K580" s="46" t="s">
        <v>62</v>
      </c>
    </row>
    <row r="581" spans="2:11" x14ac:dyDescent="0.2">
      <c r="B581" s="172">
        <v>575</v>
      </c>
      <c r="C581" s="160">
        <v>42499</v>
      </c>
      <c r="D581" s="16">
        <v>0.70486111111111116</v>
      </c>
      <c r="E581" s="157">
        <v>15.8</v>
      </c>
      <c r="F581" s="157">
        <v>16.3</v>
      </c>
      <c r="G581" s="157">
        <v>16.600000000000001</v>
      </c>
      <c r="H581" s="103">
        <f t="shared" si="27"/>
        <v>16.233333333333334</v>
      </c>
      <c r="I581" s="157">
        <v>35</v>
      </c>
      <c r="J581" s="46" t="s">
        <v>38</v>
      </c>
      <c r="K581" s="46" t="s">
        <v>57</v>
      </c>
    </row>
    <row r="582" spans="2:11" x14ac:dyDescent="0.2">
      <c r="B582" s="172">
        <v>576</v>
      </c>
      <c r="C582" s="160">
        <v>42499</v>
      </c>
      <c r="D582" s="16">
        <v>0.81944444444444453</v>
      </c>
      <c r="E582" s="157">
        <v>18.3</v>
      </c>
      <c r="F582" s="157">
        <v>20</v>
      </c>
      <c r="G582" s="157">
        <v>16.600000000000001</v>
      </c>
      <c r="H582" s="103">
        <f t="shared" si="27"/>
        <v>18.3</v>
      </c>
      <c r="I582" s="157">
        <v>48</v>
      </c>
      <c r="J582" s="46" t="s">
        <v>39</v>
      </c>
      <c r="K582" s="46" t="s">
        <v>57</v>
      </c>
    </row>
    <row r="583" spans="2:11" x14ac:dyDescent="0.2">
      <c r="B583" s="172">
        <v>577</v>
      </c>
      <c r="C583" s="160">
        <v>42500</v>
      </c>
      <c r="D583" s="16">
        <v>2.7777777777777776E-2</v>
      </c>
      <c r="E583" s="157">
        <v>19.2</v>
      </c>
      <c r="F583" s="157">
        <v>20.8</v>
      </c>
      <c r="G583" s="157">
        <v>24.3</v>
      </c>
      <c r="H583" s="103">
        <f t="shared" si="27"/>
        <v>21.433333333333334</v>
      </c>
      <c r="I583" s="157">
        <v>36</v>
      </c>
      <c r="J583" s="46" t="s">
        <v>38</v>
      </c>
      <c r="K583" s="46" t="s">
        <v>57</v>
      </c>
    </row>
    <row r="584" spans="2:11" x14ac:dyDescent="0.2">
      <c r="B584" s="172">
        <v>578</v>
      </c>
      <c r="C584" s="160">
        <v>42500</v>
      </c>
      <c r="D584" s="16">
        <v>0.19444444444444445</v>
      </c>
      <c r="E584" s="157">
        <v>16.2</v>
      </c>
      <c r="F584" s="157">
        <v>18.3</v>
      </c>
      <c r="G584" s="157">
        <v>19</v>
      </c>
      <c r="H584" s="103">
        <f t="shared" si="27"/>
        <v>17.833333333333332</v>
      </c>
      <c r="I584" s="157">
        <v>47</v>
      </c>
      <c r="J584" s="46" t="s">
        <v>39</v>
      </c>
      <c r="K584" s="46" t="s">
        <v>57</v>
      </c>
    </row>
    <row r="585" spans="2:11" x14ac:dyDescent="0.2">
      <c r="B585" s="172">
        <v>579</v>
      </c>
      <c r="C585" s="161">
        <v>42500</v>
      </c>
      <c r="D585" s="16">
        <v>0.53819444444444442</v>
      </c>
      <c r="E585" s="157">
        <v>17.600000000000001</v>
      </c>
      <c r="F585" s="157">
        <v>18.5</v>
      </c>
      <c r="G585" s="157">
        <v>20.9</v>
      </c>
      <c r="H585" s="103">
        <f t="shared" si="27"/>
        <v>19</v>
      </c>
      <c r="I585" s="157">
        <v>36</v>
      </c>
      <c r="J585" s="157" t="s">
        <v>38</v>
      </c>
      <c r="K585" s="157" t="s">
        <v>90</v>
      </c>
    </row>
    <row r="586" spans="2:11" x14ac:dyDescent="0.2">
      <c r="B586" s="172">
        <v>580</v>
      </c>
      <c r="C586" s="161">
        <v>42500</v>
      </c>
      <c r="D586" s="16">
        <v>0.75694444444444453</v>
      </c>
      <c r="E586" s="157">
        <v>16.899999999999999</v>
      </c>
      <c r="F586" s="157">
        <v>20.6</v>
      </c>
      <c r="G586" s="157">
        <v>21.9</v>
      </c>
      <c r="H586" s="103">
        <f t="shared" si="27"/>
        <v>19.8</v>
      </c>
      <c r="I586" s="157">
        <v>30</v>
      </c>
      <c r="J586" s="157" t="s">
        <v>39</v>
      </c>
      <c r="K586" s="157" t="s">
        <v>90</v>
      </c>
    </row>
    <row r="587" spans="2:11" x14ac:dyDescent="0.2">
      <c r="B587" s="172">
        <v>581</v>
      </c>
      <c r="C587" s="161">
        <v>42501</v>
      </c>
      <c r="D587" s="16">
        <v>4.8611111111111112E-2</v>
      </c>
      <c r="E587" s="157">
        <v>17.3</v>
      </c>
      <c r="F587" s="157">
        <v>21.2</v>
      </c>
      <c r="G587" s="157">
        <v>24.1</v>
      </c>
      <c r="H587" s="103">
        <f t="shared" si="27"/>
        <v>20.866666666666667</v>
      </c>
      <c r="I587" s="157">
        <v>38</v>
      </c>
      <c r="J587" s="157" t="s">
        <v>39</v>
      </c>
      <c r="K587" s="157" t="s">
        <v>57</v>
      </c>
    </row>
    <row r="588" spans="2:11" x14ac:dyDescent="0.2">
      <c r="B588" s="172">
        <v>582</v>
      </c>
      <c r="C588" s="161">
        <v>42501</v>
      </c>
      <c r="D588" s="16">
        <v>0.19444444444444445</v>
      </c>
      <c r="E588" s="157">
        <v>17</v>
      </c>
      <c r="F588" s="157">
        <v>19.3</v>
      </c>
      <c r="G588" s="157">
        <v>21.1</v>
      </c>
      <c r="H588" s="103">
        <f t="shared" si="27"/>
        <v>19.133333333333333</v>
      </c>
      <c r="I588" s="157">
        <v>35</v>
      </c>
      <c r="J588" s="157" t="s">
        <v>39</v>
      </c>
      <c r="K588" s="157" t="s">
        <v>83</v>
      </c>
    </row>
    <row r="589" spans="2:11" x14ac:dyDescent="0.2">
      <c r="B589" s="172">
        <v>583</v>
      </c>
      <c r="C589" s="162">
        <v>42501</v>
      </c>
      <c r="D589" s="16">
        <v>0.54166666666666663</v>
      </c>
      <c r="E589" s="157">
        <v>17.8</v>
      </c>
      <c r="F589" s="157">
        <v>19.8</v>
      </c>
      <c r="G589" s="157">
        <v>22.3</v>
      </c>
      <c r="H589" s="103">
        <f t="shared" si="27"/>
        <v>19.966666666666669</v>
      </c>
      <c r="I589" s="157">
        <v>44</v>
      </c>
      <c r="J589" s="157" t="s">
        <v>38</v>
      </c>
      <c r="K589" s="157" t="s">
        <v>50</v>
      </c>
    </row>
    <row r="590" spans="2:11" x14ac:dyDescent="0.2">
      <c r="B590" s="172">
        <v>584</v>
      </c>
      <c r="C590" s="162">
        <v>42501</v>
      </c>
      <c r="D590" s="16">
        <v>0.70138888888888884</v>
      </c>
      <c r="E590" s="157">
        <v>17.2</v>
      </c>
      <c r="F590" s="157">
        <v>18.100000000000001</v>
      </c>
      <c r="G590" s="157">
        <v>25.7</v>
      </c>
      <c r="H590" s="103">
        <f t="shared" si="27"/>
        <v>20.333333333333332</v>
      </c>
      <c r="I590" s="157">
        <v>35</v>
      </c>
      <c r="J590" s="157" t="s">
        <v>39</v>
      </c>
      <c r="K590" s="157" t="s">
        <v>50</v>
      </c>
    </row>
    <row r="591" spans="2:11" x14ac:dyDescent="0.2">
      <c r="B591" s="172">
        <v>585</v>
      </c>
      <c r="C591" s="162">
        <v>42502</v>
      </c>
      <c r="D591" s="16">
        <v>6.9444444444444434E-2</v>
      </c>
      <c r="E591" s="157">
        <v>15</v>
      </c>
      <c r="F591" s="157">
        <v>17.8</v>
      </c>
      <c r="G591" s="157">
        <v>18.600000000000001</v>
      </c>
      <c r="H591" s="103">
        <f t="shared" si="27"/>
        <v>17.133333333333333</v>
      </c>
      <c r="I591" s="157">
        <v>27</v>
      </c>
      <c r="J591" s="157" t="s">
        <v>38</v>
      </c>
      <c r="K591" s="157" t="s">
        <v>57</v>
      </c>
    </row>
    <row r="592" spans="2:11" x14ac:dyDescent="0.2">
      <c r="B592" s="172">
        <v>586</v>
      </c>
      <c r="C592" s="162">
        <v>42502</v>
      </c>
      <c r="D592" s="16">
        <v>0.19444444444444445</v>
      </c>
      <c r="E592" s="157">
        <v>17.399999999999999</v>
      </c>
      <c r="F592" s="157">
        <v>18.3</v>
      </c>
      <c r="G592" s="157">
        <v>19.7</v>
      </c>
      <c r="H592" s="103">
        <f t="shared" si="27"/>
        <v>18.466666666666669</v>
      </c>
      <c r="I592" s="157">
        <v>38</v>
      </c>
      <c r="J592" s="157" t="s">
        <v>46</v>
      </c>
      <c r="K592" s="157" t="s">
        <v>62</v>
      </c>
    </row>
    <row r="593" spans="2:11" x14ac:dyDescent="0.2">
      <c r="B593" s="172">
        <v>587</v>
      </c>
      <c r="C593" s="167">
        <v>42502</v>
      </c>
      <c r="D593" s="16">
        <v>0.51736111111111105</v>
      </c>
      <c r="E593" s="157">
        <v>14.3</v>
      </c>
      <c r="F593" s="157">
        <v>15.8</v>
      </c>
      <c r="G593" s="157">
        <v>18.899999999999999</v>
      </c>
      <c r="H593" s="103">
        <f t="shared" si="27"/>
        <v>16.333333333333332</v>
      </c>
      <c r="I593" s="157">
        <v>35</v>
      </c>
      <c r="J593" s="157" t="s">
        <v>38</v>
      </c>
      <c r="K593" s="157" t="s">
        <v>85</v>
      </c>
    </row>
    <row r="594" spans="2:11" x14ac:dyDescent="0.2">
      <c r="B594" s="172">
        <v>588</v>
      </c>
      <c r="C594" s="167">
        <v>42502</v>
      </c>
      <c r="D594" s="16">
        <v>0.70486111111111116</v>
      </c>
      <c r="E594" s="157">
        <v>21.5</v>
      </c>
      <c r="F594" s="157">
        <v>23.4</v>
      </c>
      <c r="G594" s="157">
        <v>24.6</v>
      </c>
      <c r="H594" s="103">
        <f t="shared" si="27"/>
        <v>23.166666666666668</v>
      </c>
      <c r="I594" s="157">
        <v>24</v>
      </c>
      <c r="J594" s="157" t="s">
        <v>39</v>
      </c>
      <c r="K594" s="157" t="s">
        <v>85</v>
      </c>
    </row>
    <row r="595" spans="2:11" x14ac:dyDescent="0.2">
      <c r="B595" s="172">
        <v>589</v>
      </c>
      <c r="C595" s="167">
        <v>42502</v>
      </c>
      <c r="D595" s="16">
        <v>0.88194444444444453</v>
      </c>
      <c r="E595" s="157">
        <v>18</v>
      </c>
      <c r="F595" s="157">
        <v>19.3</v>
      </c>
      <c r="G595" s="157">
        <v>20.9</v>
      </c>
      <c r="H595" s="103">
        <f t="shared" si="27"/>
        <v>19.399999999999999</v>
      </c>
      <c r="I595" s="157">
        <v>35</v>
      </c>
      <c r="J595" s="157" t="s">
        <v>38</v>
      </c>
      <c r="K595" s="157" t="s">
        <v>86</v>
      </c>
    </row>
    <row r="596" spans="2:11" x14ac:dyDescent="0.2">
      <c r="B596" s="172">
        <v>590</v>
      </c>
      <c r="C596" s="167">
        <v>42503</v>
      </c>
      <c r="D596" s="16">
        <v>4.8611111111111112E-2</v>
      </c>
      <c r="E596" s="157">
        <v>10.8</v>
      </c>
      <c r="F596" s="157">
        <v>11.5</v>
      </c>
      <c r="G596" s="157">
        <v>17.2</v>
      </c>
      <c r="H596" s="103">
        <f t="shared" si="27"/>
        <v>13.166666666666666</v>
      </c>
      <c r="I596" s="157">
        <v>42</v>
      </c>
      <c r="J596" s="157" t="s">
        <v>39</v>
      </c>
      <c r="K596" s="157" t="s">
        <v>86</v>
      </c>
    </row>
    <row r="597" spans="2:11" x14ac:dyDescent="0.2">
      <c r="B597" s="172">
        <v>591</v>
      </c>
      <c r="C597" s="167">
        <v>42503</v>
      </c>
      <c r="D597" s="16">
        <v>0.19444444444444445</v>
      </c>
      <c r="E597" s="157">
        <v>20.7</v>
      </c>
      <c r="F597" s="157">
        <v>21.1</v>
      </c>
      <c r="G597" s="157">
        <v>23.3</v>
      </c>
      <c r="H597" s="103">
        <f t="shared" si="27"/>
        <v>21.7</v>
      </c>
      <c r="I597" s="157">
        <v>34</v>
      </c>
      <c r="J597" s="157" t="s">
        <v>39</v>
      </c>
      <c r="K597" s="157" t="s">
        <v>86</v>
      </c>
    </row>
    <row r="598" spans="2:11" x14ac:dyDescent="0.2">
      <c r="B598" s="172">
        <v>592</v>
      </c>
      <c r="C598" s="167">
        <v>42503</v>
      </c>
      <c r="D598" s="16">
        <v>0.61458333333333337</v>
      </c>
      <c r="E598" s="157">
        <v>12.6</v>
      </c>
      <c r="F598" s="157">
        <v>13.9</v>
      </c>
      <c r="G598" s="157">
        <v>14.4</v>
      </c>
      <c r="H598" s="103">
        <f t="shared" si="27"/>
        <v>13.633333333333333</v>
      </c>
      <c r="I598" s="157">
        <v>38</v>
      </c>
      <c r="J598" s="157" t="s">
        <v>38</v>
      </c>
      <c r="K598" s="157" t="s">
        <v>85</v>
      </c>
    </row>
    <row r="599" spans="2:11" x14ac:dyDescent="0.2">
      <c r="B599" s="172">
        <v>593</v>
      </c>
      <c r="C599" s="167">
        <v>42503</v>
      </c>
      <c r="D599" s="16">
        <v>0.75694444444444453</v>
      </c>
      <c r="E599" s="157">
        <v>17.5</v>
      </c>
      <c r="F599" s="157">
        <v>19.899999999999999</v>
      </c>
      <c r="G599" s="157">
        <v>21.5</v>
      </c>
      <c r="H599" s="103">
        <f t="shared" si="27"/>
        <v>19.633333333333333</v>
      </c>
      <c r="I599" s="157">
        <v>24</v>
      </c>
      <c r="J599" s="157" t="s">
        <v>39</v>
      </c>
      <c r="K599" s="157" t="s">
        <v>85</v>
      </c>
    </row>
    <row r="600" spans="2:11" x14ac:dyDescent="0.2">
      <c r="B600" s="172">
        <v>594</v>
      </c>
      <c r="C600" s="167">
        <v>42503</v>
      </c>
      <c r="D600" s="16">
        <v>0.94444444444444453</v>
      </c>
      <c r="E600" s="157">
        <v>18.8</v>
      </c>
      <c r="F600" s="157">
        <v>20.100000000000001</v>
      </c>
      <c r="G600" s="157">
        <v>21.7</v>
      </c>
      <c r="H600" s="103">
        <f t="shared" si="27"/>
        <v>20.200000000000003</v>
      </c>
      <c r="I600" s="157">
        <v>32</v>
      </c>
      <c r="J600" s="157" t="s">
        <v>38</v>
      </c>
      <c r="K600" s="157" t="s">
        <v>83</v>
      </c>
    </row>
    <row r="601" spans="2:11" x14ac:dyDescent="0.2">
      <c r="B601" s="172">
        <v>595</v>
      </c>
      <c r="C601" s="167">
        <v>42504</v>
      </c>
      <c r="D601" s="16">
        <v>9.0277777777777776E-2</v>
      </c>
      <c r="E601" s="157">
        <v>20.8</v>
      </c>
      <c r="F601" s="157">
        <v>22</v>
      </c>
      <c r="G601" s="157">
        <v>23.4</v>
      </c>
      <c r="H601" s="103">
        <f t="shared" si="27"/>
        <v>22.066666666666663</v>
      </c>
      <c r="I601" s="157">
        <v>26</v>
      </c>
      <c r="J601" s="157" t="s">
        <v>39</v>
      </c>
      <c r="K601" s="157" t="s">
        <v>83</v>
      </c>
    </row>
    <row r="602" spans="2:11" x14ac:dyDescent="0.2">
      <c r="B602" s="172">
        <v>596</v>
      </c>
      <c r="C602" s="167">
        <v>42504</v>
      </c>
      <c r="D602" s="16">
        <v>0.55902777777777779</v>
      </c>
      <c r="E602" s="46">
        <v>14.5</v>
      </c>
      <c r="F602" s="46">
        <v>22.5</v>
      </c>
      <c r="G602" s="46">
        <v>27.5</v>
      </c>
      <c r="H602" s="103">
        <f t="shared" si="27"/>
        <v>21.5</v>
      </c>
      <c r="I602" s="46">
        <v>31.5</v>
      </c>
      <c r="J602" s="46" t="s">
        <v>38</v>
      </c>
      <c r="K602" s="46" t="s">
        <v>85</v>
      </c>
    </row>
    <row r="603" spans="2:11" x14ac:dyDescent="0.2">
      <c r="B603" s="172">
        <v>597</v>
      </c>
      <c r="C603" s="167">
        <v>42504</v>
      </c>
      <c r="D603" s="16">
        <v>0.84375</v>
      </c>
      <c r="E603" s="46">
        <v>23.5</v>
      </c>
      <c r="F603" s="46">
        <v>24.7</v>
      </c>
      <c r="G603" s="46">
        <v>23.5</v>
      </c>
      <c r="H603" s="103">
        <v>22.7</v>
      </c>
      <c r="I603" s="46">
        <v>33</v>
      </c>
      <c r="J603" s="46" t="s">
        <v>39</v>
      </c>
      <c r="K603" s="46" t="s">
        <v>85</v>
      </c>
    </row>
    <row r="604" spans="2:11" x14ac:dyDescent="0.2">
      <c r="B604" s="172">
        <v>598</v>
      </c>
      <c r="C604" s="167">
        <v>42505</v>
      </c>
      <c r="D604" s="16">
        <v>5.2083333333333336E-2</v>
      </c>
      <c r="E604" s="46">
        <v>18.8</v>
      </c>
      <c r="F604" s="46">
        <v>22.1</v>
      </c>
      <c r="G604" s="46">
        <v>25.2</v>
      </c>
      <c r="H604" s="103">
        <f t="shared" si="27"/>
        <v>22.033333333333335</v>
      </c>
      <c r="I604" s="46">
        <v>31</v>
      </c>
      <c r="J604" s="46" t="s">
        <v>38</v>
      </c>
      <c r="K604" s="46" t="s">
        <v>86</v>
      </c>
    </row>
    <row r="605" spans="2:11" x14ac:dyDescent="0.2">
      <c r="B605" s="172">
        <v>599</v>
      </c>
      <c r="C605" s="167">
        <v>42505</v>
      </c>
      <c r="D605" s="16">
        <v>0.19444444444444445</v>
      </c>
      <c r="E605" s="46">
        <v>17.3</v>
      </c>
      <c r="F605" s="46">
        <v>22.5</v>
      </c>
      <c r="G605" s="46">
        <v>26.4</v>
      </c>
      <c r="H605" s="103">
        <f t="shared" si="27"/>
        <v>22.066666666666663</v>
      </c>
      <c r="I605" s="46">
        <v>28</v>
      </c>
      <c r="J605" s="46" t="s">
        <v>39</v>
      </c>
      <c r="K605" s="46" t="s">
        <v>83</v>
      </c>
    </row>
    <row r="606" spans="2:11" x14ac:dyDescent="0.2">
      <c r="B606" s="172">
        <v>600</v>
      </c>
      <c r="C606" s="169">
        <v>42505</v>
      </c>
      <c r="D606" s="16">
        <v>0.53472222222222221</v>
      </c>
      <c r="E606" s="168">
        <v>19.600000000000001</v>
      </c>
      <c r="F606" s="168">
        <v>21.6</v>
      </c>
      <c r="G606" s="168">
        <v>22.8</v>
      </c>
      <c r="H606" s="103">
        <f t="shared" si="27"/>
        <v>21.333333333333332</v>
      </c>
      <c r="I606" s="168">
        <v>30</v>
      </c>
      <c r="J606" s="168" t="s">
        <v>38</v>
      </c>
      <c r="K606" s="168" t="s">
        <v>50</v>
      </c>
    </row>
    <row r="607" spans="2:11" x14ac:dyDescent="0.2">
      <c r="B607" s="172">
        <v>601</v>
      </c>
      <c r="C607" s="169">
        <v>42505</v>
      </c>
      <c r="D607" s="16">
        <v>0.84027777777777779</v>
      </c>
      <c r="E607" s="168">
        <v>13.6</v>
      </c>
      <c r="F607" s="168">
        <v>14.9</v>
      </c>
      <c r="G607" s="168">
        <v>15.5</v>
      </c>
      <c r="H607" s="103">
        <f t="shared" si="27"/>
        <v>14.666666666666666</v>
      </c>
      <c r="I607" s="168">
        <v>42</v>
      </c>
      <c r="J607" s="174" t="s">
        <v>46</v>
      </c>
      <c r="K607" s="168" t="s">
        <v>61</v>
      </c>
    </row>
    <row r="608" spans="2:11" x14ac:dyDescent="0.2">
      <c r="B608" s="172">
        <v>602</v>
      </c>
      <c r="C608" s="169">
        <v>42505</v>
      </c>
      <c r="D608" s="16">
        <v>0.97777777777777775</v>
      </c>
      <c r="E608" s="168">
        <v>16.3</v>
      </c>
      <c r="F608" s="168">
        <v>17.600000000000001</v>
      </c>
      <c r="G608" s="168">
        <v>19.5</v>
      </c>
      <c r="H608" s="103">
        <f t="shared" si="27"/>
        <v>17.8</v>
      </c>
      <c r="I608" s="168">
        <v>36</v>
      </c>
      <c r="J608" s="168" t="s">
        <v>38</v>
      </c>
      <c r="K608" s="168" t="s">
        <v>57</v>
      </c>
    </row>
    <row r="609" spans="2:11" x14ac:dyDescent="0.2">
      <c r="B609" s="172">
        <v>603</v>
      </c>
      <c r="C609" s="169">
        <v>42506</v>
      </c>
      <c r="D609" s="16">
        <v>0.13194444444444445</v>
      </c>
      <c r="E609" s="168">
        <v>15.4</v>
      </c>
      <c r="F609" s="168">
        <v>17.3</v>
      </c>
      <c r="G609" s="168">
        <v>19.100000000000001</v>
      </c>
      <c r="H609" s="103">
        <f t="shared" si="27"/>
        <v>17.266666666666669</v>
      </c>
      <c r="I609" s="168">
        <v>34</v>
      </c>
      <c r="J609" s="168" t="s">
        <v>39</v>
      </c>
      <c r="K609" s="168" t="s">
        <v>57</v>
      </c>
    </row>
    <row r="610" spans="2:11" x14ac:dyDescent="0.2">
      <c r="B610" s="172">
        <v>604</v>
      </c>
      <c r="C610" s="173">
        <v>42506</v>
      </c>
      <c r="D610" s="16">
        <v>0.52777777777777779</v>
      </c>
      <c r="E610" s="172">
        <v>14.2</v>
      </c>
      <c r="F610" s="172">
        <v>17.3</v>
      </c>
      <c r="G610" s="172">
        <v>19.8</v>
      </c>
      <c r="H610" s="103">
        <f t="shared" si="27"/>
        <v>17.099999999999998</v>
      </c>
      <c r="I610" s="172">
        <v>40</v>
      </c>
      <c r="J610" s="172" t="s">
        <v>38</v>
      </c>
      <c r="K610" s="172" t="s">
        <v>85</v>
      </c>
    </row>
    <row r="611" spans="2:11" x14ac:dyDescent="0.2">
      <c r="B611" s="172">
        <v>605</v>
      </c>
      <c r="C611" s="173">
        <v>42506</v>
      </c>
      <c r="D611" s="16">
        <v>0.69444444444444453</v>
      </c>
      <c r="E611" s="172">
        <v>18.399999999999999</v>
      </c>
      <c r="F611" s="172">
        <v>23.1</v>
      </c>
      <c r="G611" s="172">
        <v>24</v>
      </c>
      <c r="H611" s="103">
        <f t="shared" si="27"/>
        <v>21.833333333333332</v>
      </c>
      <c r="I611" s="172">
        <v>28</v>
      </c>
      <c r="J611" s="172" t="s">
        <v>46</v>
      </c>
      <c r="K611" s="172" t="s">
        <v>50</v>
      </c>
    </row>
    <row r="612" spans="2:11" x14ac:dyDescent="0.2">
      <c r="B612" s="172">
        <v>606</v>
      </c>
      <c r="C612" s="173">
        <v>42506</v>
      </c>
      <c r="D612" s="16">
        <v>0.90625</v>
      </c>
      <c r="E612" s="172">
        <v>12.3</v>
      </c>
      <c r="F612" s="172">
        <v>12.9</v>
      </c>
      <c r="G612" s="172">
        <v>13.6</v>
      </c>
      <c r="H612" s="103">
        <f t="shared" si="27"/>
        <v>12.933333333333335</v>
      </c>
      <c r="I612" s="172">
        <v>28</v>
      </c>
      <c r="J612" s="172" t="s">
        <v>38</v>
      </c>
      <c r="K612" s="172" t="s">
        <v>83</v>
      </c>
    </row>
    <row r="613" spans="2:11" x14ac:dyDescent="0.2">
      <c r="B613" s="172">
        <v>607</v>
      </c>
      <c r="C613" s="173">
        <v>42507</v>
      </c>
      <c r="D613" s="16">
        <v>5.2083333333333336E-2</v>
      </c>
      <c r="E613" s="172">
        <v>8.9</v>
      </c>
      <c r="F613" s="172">
        <v>10.4</v>
      </c>
      <c r="G613" s="172">
        <v>11.6</v>
      </c>
      <c r="H613" s="103">
        <f t="shared" si="27"/>
        <v>10.299999999999999</v>
      </c>
      <c r="I613" s="172">
        <v>40</v>
      </c>
      <c r="J613" s="172" t="s">
        <v>39</v>
      </c>
      <c r="K613" s="172" t="s">
        <v>83</v>
      </c>
    </row>
    <row r="614" spans="2:11" x14ac:dyDescent="0.2">
      <c r="B614" s="172">
        <v>608</v>
      </c>
      <c r="C614" s="173">
        <v>42507</v>
      </c>
      <c r="D614" s="16">
        <v>0.18055555555555555</v>
      </c>
      <c r="E614" s="46">
        <v>14.6</v>
      </c>
      <c r="F614" s="46">
        <v>16.399999999999999</v>
      </c>
      <c r="G614" s="46">
        <v>18.2</v>
      </c>
      <c r="H614" s="103">
        <f t="shared" si="27"/>
        <v>16.400000000000002</v>
      </c>
      <c r="I614" s="46">
        <v>31</v>
      </c>
      <c r="J614" s="46" t="s">
        <v>39</v>
      </c>
      <c r="K614" s="46" t="s">
        <v>86</v>
      </c>
    </row>
    <row r="615" spans="2:11" x14ac:dyDescent="0.2">
      <c r="B615" s="172">
        <v>609</v>
      </c>
      <c r="C615" s="62">
        <v>42507</v>
      </c>
      <c r="D615" s="124">
        <v>0.5625</v>
      </c>
      <c r="E615" s="59">
        <v>18.600000000000001</v>
      </c>
      <c r="F615" s="59">
        <v>19.899999999999999</v>
      </c>
      <c r="G615" s="59">
        <v>21.1</v>
      </c>
      <c r="H615" s="117">
        <f t="shared" si="27"/>
        <v>19.866666666666667</v>
      </c>
      <c r="I615" s="59">
        <v>32</v>
      </c>
      <c r="J615" s="59" t="s">
        <v>38</v>
      </c>
      <c r="K615" s="59" t="s">
        <v>90</v>
      </c>
    </row>
    <row r="616" spans="2:11" x14ac:dyDescent="0.2">
      <c r="B616" s="172">
        <v>610</v>
      </c>
      <c r="C616" s="175">
        <v>42507</v>
      </c>
      <c r="D616" s="16">
        <v>0.70138888888888884</v>
      </c>
      <c r="E616" s="46">
        <v>19.7</v>
      </c>
      <c r="F616" s="46">
        <v>20.3</v>
      </c>
      <c r="G616" s="46">
        <v>21.5</v>
      </c>
      <c r="H616" s="103">
        <f t="shared" si="27"/>
        <v>20.5</v>
      </c>
      <c r="I616" s="46">
        <v>37</v>
      </c>
      <c r="J616" s="46" t="s">
        <v>39</v>
      </c>
      <c r="K616" s="46" t="s">
        <v>90</v>
      </c>
    </row>
    <row r="617" spans="2:11" x14ac:dyDescent="0.2">
      <c r="B617" s="172">
        <v>611</v>
      </c>
      <c r="C617" s="175">
        <v>42507</v>
      </c>
      <c r="D617" s="16">
        <v>0.85763888888888884</v>
      </c>
      <c r="E617" s="46">
        <v>18.7</v>
      </c>
      <c r="F617" s="46">
        <v>20.3</v>
      </c>
      <c r="G617" s="46">
        <v>20.5</v>
      </c>
      <c r="H617" s="103">
        <f t="shared" si="27"/>
        <v>19.833333333333332</v>
      </c>
      <c r="I617" s="46">
        <v>35</v>
      </c>
      <c r="J617" s="46" t="s">
        <v>39</v>
      </c>
      <c r="K617" s="46" t="s">
        <v>85</v>
      </c>
    </row>
    <row r="618" spans="2:11" x14ac:dyDescent="0.2">
      <c r="B618" s="172">
        <v>612</v>
      </c>
      <c r="C618" s="175">
        <v>42508</v>
      </c>
      <c r="D618" s="16">
        <v>5.2083333333333336E-2</v>
      </c>
      <c r="E618" s="46">
        <v>14.9</v>
      </c>
      <c r="F618" s="46">
        <v>17.600000000000001</v>
      </c>
      <c r="G618" s="46">
        <v>18.8</v>
      </c>
      <c r="H618" s="103">
        <f t="shared" si="27"/>
        <v>17.099999999999998</v>
      </c>
      <c r="I618" s="46">
        <v>42</v>
      </c>
      <c r="J618" s="46" t="s">
        <v>38</v>
      </c>
      <c r="K618" s="46" t="s">
        <v>83</v>
      </c>
    </row>
    <row r="619" spans="2:11" x14ac:dyDescent="0.2">
      <c r="B619" s="172">
        <v>613</v>
      </c>
      <c r="C619" s="175">
        <v>42508</v>
      </c>
      <c r="D619" s="16">
        <v>0.19444444444444445</v>
      </c>
      <c r="E619" s="46">
        <v>13</v>
      </c>
      <c r="F619" s="46">
        <v>16.600000000000001</v>
      </c>
      <c r="G619" s="46">
        <v>17.2</v>
      </c>
      <c r="H619" s="103">
        <f t="shared" si="27"/>
        <v>15.6</v>
      </c>
      <c r="I619" s="46">
        <v>31</v>
      </c>
      <c r="J619" s="46" t="s">
        <v>39</v>
      </c>
      <c r="K619" s="46" t="s">
        <v>83</v>
      </c>
    </row>
    <row r="620" spans="2:11" x14ac:dyDescent="0.2">
      <c r="B620" s="172">
        <v>614</v>
      </c>
      <c r="C620" s="175">
        <v>42508</v>
      </c>
      <c r="D620" s="16">
        <v>0.51041666666666663</v>
      </c>
      <c r="E620" s="176">
        <v>17.8</v>
      </c>
      <c r="F620" s="176">
        <v>19.7</v>
      </c>
      <c r="G620" s="176">
        <v>20.100000000000001</v>
      </c>
      <c r="H620" s="103">
        <f t="shared" si="27"/>
        <v>19.2</v>
      </c>
      <c r="I620" s="176">
        <v>32</v>
      </c>
      <c r="J620" s="176" t="s">
        <v>38</v>
      </c>
      <c r="K620" s="176" t="s">
        <v>85</v>
      </c>
    </row>
    <row r="621" spans="2:11" x14ac:dyDescent="0.2">
      <c r="B621" s="172">
        <v>615</v>
      </c>
      <c r="C621" s="175">
        <v>42508</v>
      </c>
      <c r="D621" s="16">
        <v>0.69097222222222221</v>
      </c>
      <c r="E621" s="176">
        <v>13.5</v>
      </c>
      <c r="F621" s="176">
        <v>14.9</v>
      </c>
      <c r="G621" s="176">
        <v>17.2</v>
      </c>
      <c r="H621" s="103">
        <f t="shared" si="27"/>
        <v>15.199999999999998</v>
      </c>
      <c r="I621" s="176">
        <v>31</v>
      </c>
      <c r="J621" s="176" t="s">
        <v>39</v>
      </c>
      <c r="K621" s="176" t="s">
        <v>85</v>
      </c>
    </row>
    <row r="622" spans="2:11" x14ac:dyDescent="0.2">
      <c r="B622" s="172">
        <v>616</v>
      </c>
      <c r="C622" s="175">
        <v>42508</v>
      </c>
      <c r="D622" s="16">
        <v>0.89583333333333337</v>
      </c>
      <c r="E622" s="176">
        <v>10.4</v>
      </c>
      <c r="F622" s="176">
        <v>12.1</v>
      </c>
      <c r="G622" s="176">
        <v>15.5</v>
      </c>
      <c r="H622" s="103">
        <f t="shared" si="27"/>
        <v>12.666666666666666</v>
      </c>
      <c r="I622" s="176">
        <v>32</v>
      </c>
      <c r="J622" s="176" t="s">
        <v>38</v>
      </c>
      <c r="K622" s="176" t="s">
        <v>86</v>
      </c>
    </row>
    <row r="623" spans="2:11" x14ac:dyDescent="0.2">
      <c r="B623" s="172">
        <v>617</v>
      </c>
      <c r="C623" s="175">
        <v>42509</v>
      </c>
      <c r="D623" s="16">
        <v>0.19444444444444445</v>
      </c>
      <c r="E623" s="176">
        <v>15.5</v>
      </c>
      <c r="F623" s="176">
        <v>16.600000000000001</v>
      </c>
      <c r="G623" s="176">
        <v>22.3</v>
      </c>
      <c r="H623" s="103">
        <f t="shared" ref="H623:H652" si="28">AVERAGE(E623:G623)</f>
        <v>18.133333333333336</v>
      </c>
      <c r="I623" s="176">
        <v>33</v>
      </c>
      <c r="J623" s="176" t="s">
        <v>39</v>
      </c>
      <c r="K623" s="176" t="s">
        <v>83</v>
      </c>
    </row>
    <row r="624" spans="2:11" x14ac:dyDescent="0.2">
      <c r="B624" s="172">
        <v>618</v>
      </c>
      <c r="C624" s="177">
        <v>42509</v>
      </c>
      <c r="D624" s="16">
        <v>0.46111111111111108</v>
      </c>
      <c r="E624" s="176">
        <v>18.600000000000001</v>
      </c>
      <c r="F624" s="176">
        <v>20.9</v>
      </c>
      <c r="G624" s="176">
        <v>22.1</v>
      </c>
      <c r="H624" s="103">
        <f t="shared" si="28"/>
        <v>20.533333333333335</v>
      </c>
      <c r="I624" s="176">
        <v>29</v>
      </c>
      <c r="J624" s="176" t="s">
        <v>39</v>
      </c>
      <c r="K624" s="176" t="s">
        <v>83</v>
      </c>
    </row>
    <row r="625" spans="2:11" x14ac:dyDescent="0.2">
      <c r="B625" s="172">
        <v>619</v>
      </c>
      <c r="C625" s="177">
        <v>42509</v>
      </c>
      <c r="D625" s="16">
        <v>0.84375</v>
      </c>
      <c r="E625" s="176">
        <v>18.7</v>
      </c>
      <c r="F625" s="176">
        <v>19.8</v>
      </c>
      <c r="G625" s="176">
        <v>21.9</v>
      </c>
      <c r="H625" s="103">
        <f t="shared" si="28"/>
        <v>20.133333333333333</v>
      </c>
      <c r="I625" s="176">
        <v>28</v>
      </c>
      <c r="J625" s="176" t="s">
        <v>39</v>
      </c>
      <c r="K625" s="176" t="s">
        <v>83</v>
      </c>
    </row>
    <row r="626" spans="2:11" x14ac:dyDescent="0.2">
      <c r="B626" s="172">
        <v>620</v>
      </c>
      <c r="C626" s="177">
        <v>42510</v>
      </c>
      <c r="D626" s="16">
        <v>4.8611111111111112E-2</v>
      </c>
      <c r="E626" s="176">
        <v>16.3</v>
      </c>
      <c r="F626" s="176">
        <v>17.100000000000001</v>
      </c>
      <c r="G626" s="176">
        <v>18.2</v>
      </c>
      <c r="H626" s="103">
        <f t="shared" si="28"/>
        <v>17.200000000000003</v>
      </c>
      <c r="I626" s="176">
        <v>25</v>
      </c>
      <c r="J626" s="176" t="s">
        <v>39</v>
      </c>
      <c r="K626" s="176" t="s">
        <v>83</v>
      </c>
    </row>
    <row r="627" spans="2:11" x14ac:dyDescent="0.2">
      <c r="B627" s="172">
        <v>621</v>
      </c>
      <c r="C627" s="177">
        <v>42510</v>
      </c>
      <c r="D627" s="182">
        <v>0.1111111111111111</v>
      </c>
      <c r="E627" s="46">
        <v>16.3</v>
      </c>
      <c r="F627" s="46">
        <v>18.2</v>
      </c>
      <c r="G627" s="46">
        <v>19.7</v>
      </c>
      <c r="H627" s="103">
        <f t="shared" si="28"/>
        <v>18.066666666666666</v>
      </c>
      <c r="I627" s="181">
        <v>27</v>
      </c>
      <c r="J627" s="176" t="s">
        <v>38</v>
      </c>
      <c r="K627" s="176" t="s">
        <v>86</v>
      </c>
    </row>
    <row r="628" spans="2:11" x14ac:dyDescent="0.2">
      <c r="B628" s="172">
        <v>622</v>
      </c>
      <c r="C628" s="179">
        <v>42510</v>
      </c>
      <c r="D628" s="16">
        <v>0.46527777777777773</v>
      </c>
      <c r="E628" s="178">
        <v>14.4</v>
      </c>
      <c r="F628" s="178">
        <v>16.600000000000001</v>
      </c>
      <c r="G628" s="178">
        <v>18.899999999999999</v>
      </c>
      <c r="H628" s="103">
        <f t="shared" si="28"/>
        <v>16.633333333333333</v>
      </c>
      <c r="I628" s="178">
        <v>28</v>
      </c>
      <c r="J628" s="178" t="s">
        <v>39</v>
      </c>
      <c r="K628" s="178" t="s">
        <v>83</v>
      </c>
    </row>
    <row r="629" spans="2:11" x14ac:dyDescent="0.2">
      <c r="B629" s="172">
        <v>623</v>
      </c>
      <c r="C629" s="179">
        <v>42510</v>
      </c>
      <c r="D629" s="16">
        <v>0.67708333333333337</v>
      </c>
      <c r="E629" s="178">
        <v>17.899999999999999</v>
      </c>
      <c r="F629" s="178">
        <v>19.600000000000001</v>
      </c>
      <c r="G629" s="178">
        <v>21.3</v>
      </c>
      <c r="H629" s="103">
        <f t="shared" si="28"/>
        <v>19.599999999999998</v>
      </c>
      <c r="I629" s="178">
        <v>30</v>
      </c>
      <c r="J629" s="178" t="s">
        <v>39</v>
      </c>
      <c r="K629" s="178" t="s">
        <v>62</v>
      </c>
    </row>
    <row r="630" spans="2:11" x14ac:dyDescent="0.2">
      <c r="B630" s="172">
        <v>624</v>
      </c>
      <c r="C630" s="179">
        <v>42510</v>
      </c>
      <c r="D630" s="16">
        <v>0.87152777777777779</v>
      </c>
      <c r="E630" s="178">
        <v>8.8000000000000007</v>
      </c>
      <c r="F630" s="178">
        <v>10.5</v>
      </c>
      <c r="G630" s="178">
        <v>11.7</v>
      </c>
      <c r="H630" s="103">
        <f t="shared" si="28"/>
        <v>10.333333333333334</v>
      </c>
      <c r="I630" s="178">
        <v>34</v>
      </c>
      <c r="J630" s="178" t="s">
        <v>38</v>
      </c>
      <c r="K630" s="178" t="s">
        <v>62</v>
      </c>
    </row>
    <row r="631" spans="2:11" x14ac:dyDescent="0.2">
      <c r="B631" s="172">
        <v>625</v>
      </c>
      <c r="C631" s="179">
        <v>42511</v>
      </c>
      <c r="D631" s="16">
        <v>6.9444444444444441E-3</v>
      </c>
      <c r="E631" s="178">
        <v>8.4</v>
      </c>
      <c r="F631" s="178">
        <v>9.6</v>
      </c>
      <c r="G631" s="178">
        <v>10.8</v>
      </c>
      <c r="H631" s="103">
        <f t="shared" si="28"/>
        <v>9.6</v>
      </c>
      <c r="I631" s="178">
        <v>31</v>
      </c>
      <c r="J631" s="178" t="s">
        <v>39</v>
      </c>
      <c r="K631" s="178" t="s">
        <v>62</v>
      </c>
    </row>
    <row r="632" spans="2:11" x14ac:dyDescent="0.2">
      <c r="B632" s="172">
        <v>626</v>
      </c>
      <c r="C632" s="179">
        <v>42511</v>
      </c>
      <c r="D632" s="16">
        <v>0.16527777777777777</v>
      </c>
      <c r="E632" s="178">
        <v>11.6</v>
      </c>
      <c r="F632" s="178">
        <v>13.4</v>
      </c>
      <c r="G632" s="178">
        <v>14.1</v>
      </c>
      <c r="H632" s="103">
        <f t="shared" si="28"/>
        <v>13.033333333333333</v>
      </c>
      <c r="I632" s="178">
        <v>24</v>
      </c>
      <c r="J632" s="178" t="s">
        <v>46</v>
      </c>
      <c r="K632" s="178" t="s">
        <v>86</v>
      </c>
    </row>
    <row r="633" spans="2:11" x14ac:dyDescent="0.2">
      <c r="B633" s="172">
        <v>627</v>
      </c>
      <c r="C633" s="184">
        <v>42511</v>
      </c>
      <c r="D633" s="16">
        <v>0.51041666666666663</v>
      </c>
      <c r="E633" s="183">
        <v>14.8</v>
      </c>
      <c r="F633" s="183">
        <v>16.899999999999999</v>
      </c>
      <c r="G633" s="183">
        <v>18.7</v>
      </c>
      <c r="H633" s="103">
        <f t="shared" si="28"/>
        <v>16.8</v>
      </c>
      <c r="I633" s="183">
        <v>31</v>
      </c>
      <c r="J633" s="183" t="s">
        <v>38</v>
      </c>
      <c r="K633" s="183" t="s">
        <v>85</v>
      </c>
    </row>
    <row r="634" spans="2:11" x14ac:dyDescent="0.2">
      <c r="B634" s="185">
        <v>628</v>
      </c>
      <c r="C634" s="184">
        <v>42511</v>
      </c>
      <c r="D634" s="16">
        <v>0.67361111111111116</v>
      </c>
      <c r="E634" s="46">
        <v>15.8</v>
      </c>
      <c r="F634" s="46">
        <v>17.2</v>
      </c>
      <c r="G634" s="46">
        <v>20.100000000000001</v>
      </c>
      <c r="H634" s="103">
        <f t="shared" si="28"/>
        <v>17.7</v>
      </c>
      <c r="I634" s="46">
        <v>25</v>
      </c>
      <c r="J634" s="46" t="s">
        <v>39</v>
      </c>
      <c r="K634" s="46" t="s">
        <v>85</v>
      </c>
    </row>
    <row r="635" spans="2:11" x14ac:dyDescent="0.2">
      <c r="B635" s="185">
        <v>629</v>
      </c>
      <c r="C635" s="184">
        <v>42511</v>
      </c>
      <c r="D635" s="16">
        <v>0.79861111111111116</v>
      </c>
      <c r="E635" s="46">
        <v>16.3</v>
      </c>
      <c r="F635" s="46">
        <v>18.399999999999999</v>
      </c>
      <c r="G635" s="46">
        <v>19.5</v>
      </c>
      <c r="H635" s="103">
        <f t="shared" si="28"/>
        <v>18.066666666666666</v>
      </c>
      <c r="I635" s="46">
        <v>28</v>
      </c>
      <c r="J635" s="46" t="s">
        <v>39</v>
      </c>
      <c r="K635" s="46" t="s">
        <v>85</v>
      </c>
    </row>
    <row r="636" spans="2:11" x14ac:dyDescent="0.2">
      <c r="B636" s="185">
        <v>630</v>
      </c>
      <c r="C636" s="184">
        <v>42511</v>
      </c>
      <c r="D636" s="16">
        <v>0.92708333333333337</v>
      </c>
      <c r="E636" s="46">
        <v>13.4</v>
      </c>
      <c r="F636" s="46">
        <v>16.7</v>
      </c>
      <c r="G636" s="46">
        <v>18.3</v>
      </c>
      <c r="H636" s="103">
        <f t="shared" si="28"/>
        <v>16.133333333333336</v>
      </c>
      <c r="I636" s="46">
        <v>21</v>
      </c>
      <c r="J636" s="46" t="s">
        <v>38</v>
      </c>
      <c r="K636" s="46" t="s">
        <v>86</v>
      </c>
    </row>
    <row r="637" spans="2:11" x14ac:dyDescent="0.2">
      <c r="B637" s="185">
        <v>631</v>
      </c>
      <c r="C637" s="184">
        <v>42512</v>
      </c>
      <c r="D637" s="16">
        <v>0.15625</v>
      </c>
      <c r="E637" s="46">
        <v>9.4</v>
      </c>
      <c r="F637" s="46">
        <v>13.8</v>
      </c>
      <c r="G637" s="46">
        <v>14.1</v>
      </c>
      <c r="H637" s="103">
        <f t="shared" si="28"/>
        <v>12.433333333333335</v>
      </c>
      <c r="I637" s="46">
        <v>35</v>
      </c>
      <c r="J637" s="46" t="s">
        <v>39</v>
      </c>
      <c r="K637" s="46" t="s">
        <v>86</v>
      </c>
    </row>
    <row r="638" spans="2:11" x14ac:dyDescent="0.2">
      <c r="B638" s="185">
        <v>632</v>
      </c>
      <c r="C638" s="186">
        <v>42512</v>
      </c>
      <c r="D638" s="16">
        <v>0.67361111111111116</v>
      </c>
      <c r="E638" s="46">
        <v>16</v>
      </c>
      <c r="F638" s="46">
        <v>17.2</v>
      </c>
      <c r="G638" s="46">
        <v>25.3</v>
      </c>
      <c r="H638" s="103">
        <f t="shared" si="28"/>
        <v>19.5</v>
      </c>
      <c r="I638" s="46">
        <v>37</v>
      </c>
      <c r="J638" s="46" t="s">
        <v>39</v>
      </c>
      <c r="K638" s="46" t="s">
        <v>85</v>
      </c>
    </row>
    <row r="639" spans="2:11" x14ac:dyDescent="0.2">
      <c r="B639" s="185">
        <v>633</v>
      </c>
      <c r="C639" s="186">
        <v>42512</v>
      </c>
      <c r="D639" s="16">
        <v>0.79861111111111116</v>
      </c>
      <c r="E639" s="46">
        <v>14.6</v>
      </c>
      <c r="F639" s="46">
        <v>18.8</v>
      </c>
      <c r="G639" s="46">
        <v>24.5</v>
      </c>
      <c r="H639" s="103">
        <f t="shared" si="28"/>
        <v>19.3</v>
      </c>
      <c r="I639" s="46">
        <v>35</v>
      </c>
      <c r="J639" s="46" t="s">
        <v>39</v>
      </c>
      <c r="K639" s="46" t="s">
        <v>85</v>
      </c>
    </row>
    <row r="640" spans="2:11" x14ac:dyDescent="0.2">
      <c r="B640" s="185">
        <v>634</v>
      </c>
      <c r="C640" s="186">
        <v>42513</v>
      </c>
      <c r="D640" s="16">
        <v>1.0416666666666666E-2</v>
      </c>
      <c r="E640" s="46">
        <v>12.4</v>
      </c>
      <c r="F640" s="46">
        <v>13.8</v>
      </c>
      <c r="G640" s="46">
        <v>15.9</v>
      </c>
      <c r="H640" s="103">
        <f t="shared" si="28"/>
        <v>14.033333333333333</v>
      </c>
      <c r="I640" s="46">
        <v>37</v>
      </c>
      <c r="J640" s="46" t="s">
        <v>38</v>
      </c>
      <c r="K640" s="46" t="s">
        <v>86</v>
      </c>
    </row>
    <row r="641" spans="2:11" x14ac:dyDescent="0.2">
      <c r="B641" s="185">
        <v>635</v>
      </c>
      <c r="C641" s="186">
        <v>42513</v>
      </c>
      <c r="D641" s="16">
        <v>0.15625</v>
      </c>
      <c r="E641" s="46">
        <v>7.8</v>
      </c>
      <c r="F641" s="46">
        <v>9.6</v>
      </c>
      <c r="G641" s="46">
        <v>10.199999999999999</v>
      </c>
      <c r="H641" s="103">
        <f t="shared" si="28"/>
        <v>9.1999999999999993</v>
      </c>
      <c r="I641" s="46">
        <v>31</v>
      </c>
      <c r="J641" s="46" t="s">
        <v>39</v>
      </c>
      <c r="K641" s="46" t="s">
        <v>86</v>
      </c>
    </row>
    <row r="642" spans="2:11" x14ac:dyDescent="0.2">
      <c r="B642" s="185">
        <v>636</v>
      </c>
      <c r="C642" s="188">
        <v>42513</v>
      </c>
      <c r="D642" s="127">
        <v>0.53125</v>
      </c>
      <c r="E642" s="46">
        <v>19.899999999999999</v>
      </c>
      <c r="F642" s="46">
        <v>18.600000000000001</v>
      </c>
      <c r="G642" s="46">
        <v>22.1</v>
      </c>
      <c r="H642" s="103">
        <f t="shared" si="28"/>
        <v>20.2</v>
      </c>
      <c r="I642" s="46">
        <v>30</v>
      </c>
      <c r="J642" s="46" t="s">
        <v>39</v>
      </c>
      <c r="K642" s="46" t="s">
        <v>90</v>
      </c>
    </row>
    <row r="643" spans="2:11" x14ac:dyDescent="0.2">
      <c r="B643" s="185">
        <v>637</v>
      </c>
      <c r="C643" s="188">
        <v>42513</v>
      </c>
      <c r="D643" s="127">
        <v>0.67708333333333337</v>
      </c>
      <c r="E643" s="46">
        <v>16.8</v>
      </c>
      <c r="F643" s="46">
        <v>19.2</v>
      </c>
      <c r="G643" s="46">
        <v>21.2</v>
      </c>
      <c r="H643" s="103">
        <f t="shared" si="28"/>
        <v>19.066666666666666</v>
      </c>
      <c r="I643" s="46">
        <v>35</v>
      </c>
      <c r="J643" s="46" t="s">
        <v>39</v>
      </c>
      <c r="K643" s="46" t="s">
        <v>85</v>
      </c>
    </row>
    <row r="644" spans="2:11" x14ac:dyDescent="0.2">
      <c r="B644" s="185">
        <v>638</v>
      </c>
      <c r="C644" s="188">
        <v>42513</v>
      </c>
      <c r="D644" s="127">
        <v>0.79861111111111116</v>
      </c>
      <c r="E644" s="46">
        <v>17.5</v>
      </c>
      <c r="F644" s="46">
        <v>18.100000000000001</v>
      </c>
      <c r="G644" s="46">
        <v>20.6</v>
      </c>
      <c r="H644" s="103">
        <f t="shared" si="28"/>
        <v>18.733333333333334</v>
      </c>
      <c r="I644" s="46">
        <v>32</v>
      </c>
      <c r="J644" s="46" t="s">
        <v>39</v>
      </c>
      <c r="K644" s="46" t="s">
        <v>85</v>
      </c>
    </row>
    <row r="645" spans="2:11" x14ac:dyDescent="0.2">
      <c r="B645" s="185">
        <v>639</v>
      </c>
      <c r="C645" s="189">
        <v>42514</v>
      </c>
      <c r="D645" s="16">
        <v>0.60763888888888895</v>
      </c>
      <c r="E645" s="46">
        <v>11.3</v>
      </c>
      <c r="F645" s="46">
        <v>12.1</v>
      </c>
      <c r="G645" s="46">
        <v>13.9</v>
      </c>
      <c r="H645" s="103">
        <f t="shared" si="28"/>
        <v>12.433333333333332</v>
      </c>
      <c r="I645" s="46">
        <v>42</v>
      </c>
      <c r="J645" s="46" t="s">
        <v>38</v>
      </c>
      <c r="K645" s="46" t="s">
        <v>57</v>
      </c>
    </row>
    <row r="646" spans="2:11" x14ac:dyDescent="0.2">
      <c r="B646" s="185">
        <v>640</v>
      </c>
      <c r="C646" s="189">
        <v>42514</v>
      </c>
      <c r="D646" s="16">
        <v>0.77777777777777779</v>
      </c>
      <c r="E646" s="46">
        <v>12.7</v>
      </c>
      <c r="F646" s="46">
        <v>15.3</v>
      </c>
      <c r="G646" s="46">
        <v>17</v>
      </c>
      <c r="H646" s="103">
        <f t="shared" si="28"/>
        <v>15</v>
      </c>
      <c r="I646" s="46">
        <v>32</v>
      </c>
      <c r="J646" s="46" t="s">
        <v>39</v>
      </c>
      <c r="K646" s="46" t="s">
        <v>57</v>
      </c>
    </row>
    <row r="647" spans="2:11" x14ac:dyDescent="0.2">
      <c r="B647" s="185">
        <v>641</v>
      </c>
      <c r="C647" s="189">
        <v>42515</v>
      </c>
      <c r="D647" s="16">
        <v>5.2083333333333336E-2</v>
      </c>
      <c r="E647" s="46">
        <v>18.3</v>
      </c>
      <c r="F647" s="46">
        <v>20.2</v>
      </c>
      <c r="G647" s="46">
        <v>21.2</v>
      </c>
      <c r="H647" s="103">
        <f t="shared" si="28"/>
        <v>19.900000000000002</v>
      </c>
      <c r="I647" s="46">
        <v>28</v>
      </c>
      <c r="J647" s="46" t="s">
        <v>39</v>
      </c>
      <c r="K647" s="46" t="s">
        <v>50</v>
      </c>
    </row>
    <row r="648" spans="2:11" x14ac:dyDescent="0.2">
      <c r="B648" s="185">
        <v>642</v>
      </c>
      <c r="C648" s="189">
        <v>42515</v>
      </c>
      <c r="D648" s="16">
        <v>0.19791666666666666</v>
      </c>
      <c r="E648" s="46">
        <v>14.3</v>
      </c>
      <c r="F648" s="46">
        <v>16.7</v>
      </c>
      <c r="G648" s="46">
        <v>17.600000000000001</v>
      </c>
      <c r="H648" s="103">
        <f t="shared" si="28"/>
        <v>16.2</v>
      </c>
      <c r="I648" s="46">
        <v>32</v>
      </c>
      <c r="J648" s="46" t="s">
        <v>39</v>
      </c>
      <c r="K648" s="46" t="s">
        <v>50</v>
      </c>
    </row>
    <row r="649" spans="2:11" x14ac:dyDescent="0.2">
      <c r="B649" s="185">
        <v>643</v>
      </c>
      <c r="C649" s="190">
        <v>42515</v>
      </c>
      <c r="D649" s="127">
        <v>0.67361111111111116</v>
      </c>
      <c r="E649" s="46">
        <v>14.3</v>
      </c>
      <c r="F649" s="46">
        <v>15.2</v>
      </c>
      <c r="G649" s="46">
        <v>17.2</v>
      </c>
      <c r="H649" s="103">
        <f t="shared" si="28"/>
        <v>15.566666666666668</v>
      </c>
      <c r="I649" s="46">
        <v>34</v>
      </c>
      <c r="J649" s="46" t="s">
        <v>39</v>
      </c>
      <c r="K649" s="46" t="s">
        <v>62</v>
      </c>
    </row>
    <row r="650" spans="2:11" x14ac:dyDescent="0.2">
      <c r="B650" s="185">
        <v>644</v>
      </c>
      <c r="C650" s="190">
        <v>42515</v>
      </c>
      <c r="D650" s="127">
        <v>0.83333333333333337</v>
      </c>
      <c r="E650" s="46">
        <v>15.3</v>
      </c>
      <c r="F650" s="46">
        <v>17.600000000000001</v>
      </c>
      <c r="G650" s="46">
        <v>19.399999999999999</v>
      </c>
      <c r="H650" s="103">
        <f t="shared" si="28"/>
        <v>17.433333333333334</v>
      </c>
      <c r="I650" s="46">
        <v>32</v>
      </c>
      <c r="J650" s="46" t="s">
        <v>39</v>
      </c>
      <c r="K650" s="46" t="s">
        <v>83</v>
      </c>
    </row>
    <row r="651" spans="2:11" x14ac:dyDescent="0.2">
      <c r="B651" s="185">
        <v>645</v>
      </c>
      <c r="C651" s="190">
        <v>42515</v>
      </c>
      <c r="D651" s="127">
        <v>0.96527777777777779</v>
      </c>
      <c r="E651" s="46">
        <v>16.5</v>
      </c>
      <c r="F651" s="46">
        <v>17.8</v>
      </c>
      <c r="G651" s="46">
        <v>19.899999999999999</v>
      </c>
      <c r="H651" s="103">
        <f t="shared" si="28"/>
        <v>18.066666666666666</v>
      </c>
      <c r="I651" s="46">
        <v>34</v>
      </c>
      <c r="J651" s="46" t="s">
        <v>38</v>
      </c>
      <c r="K651" s="46" t="s">
        <v>85</v>
      </c>
    </row>
    <row r="652" spans="2:11" x14ac:dyDescent="0.2">
      <c r="B652" s="185">
        <v>646</v>
      </c>
      <c r="C652" s="190">
        <v>42516</v>
      </c>
      <c r="D652" s="127">
        <v>0.1388888888888889</v>
      </c>
      <c r="E652" s="46">
        <v>14.2</v>
      </c>
      <c r="F652" s="46">
        <v>16.3</v>
      </c>
      <c r="G652" s="46">
        <v>17.3</v>
      </c>
      <c r="H652" s="103">
        <f t="shared" si="28"/>
        <v>15.933333333333332</v>
      </c>
      <c r="I652" s="46">
        <v>29</v>
      </c>
      <c r="J652" s="46" t="s">
        <v>39</v>
      </c>
      <c r="K652" s="46" t="s">
        <v>85</v>
      </c>
    </row>
    <row r="653" spans="2:11" x14ac:dyDescent="0.2">
      <c r="B653" s="185">
        <v>647</v>
      </c>
      <c r="C653" s="192">
        <v>42516</v>
      </c>
      <c r="D653" s="127">
        <v>0.5625</v>
      </c>
      <c r="E653" s="46">
        <v>18.7</v>
      </c>
      <c r="F653" s="46">
        <v>19.100000000000001</v>
      </c>
      <c r="G653" s="46">
        <v>20.3</v>
      </c>
      <c r="H653" s="103">
        <f t="shared" ref="H653:H687" si="29">AVERAGE(E653:G653)</f>
        <v>19.366666666666664</v>
      </c>
      <c r="I653" s="46">
        <v>31</v>
      </c>
      <c r="J653" s="46" t="s">
        <v>39</v>
      </c>
      <c r="K653" s="46" t="s">
        <v>86</v>
      </c>
    </row>
    <row r="654" spans="2:11" x14ac:dyDescent="0.2">
      <c r="B654" s="185">
        <v>648</v>
      </c>
      <c r="C654" s="192">
        <v>42516</v>
      </c>
      <c r="D654" s="127">
        <v>0.67361111111111116</v>
      </c>
      <c r="E654" s="46">
        <v>14.5</v>
      </c>
      <c r="F654" s="46">
        <v>19.5</v>
      </c>
      <c r="G654" s="46">
        <v>23.3</v>
      </c>
      <c r="H654" s="103">
        <f t="shared" si="29"/>
        <v>19.099999999999998</v>
      </c>
      <c r="I654" s="46">
        <v>29</v>
      </c>
      <c r="J654" s="46" t="s">
        <v>39</v>
      </c>
      <c r="K654" s="46" t="s">
        <v>86</v>
      </c>
    </row>
    <row r="655" spans="2:11" x14ac:dyDescent="0.2">
      <c r="B655" s="185">
        <v>649</v>
      </c>
      <c r="C655" s="192">
        <v>42516</v>
      </c>
      <c r="D655" s="127">
        <v>0.98263888888888884</v>
      </c>
      <c r="E655" s="46">
        <v>14.9</v>
      </c>
      <c r="F655" s="46">
        <v>16.2</v>
      </c>
      <c r="G655" s="46">
        <v>18.100000000000001</v>
      </c>
      <c r="H655" s="103">
        <f t="shared" si="29"/>
        <v>16.400000000000002</v>
      </c>
      <c r="I655" s="46">
        <v>34</v>
      </c>
      <c r="J655" s="46" t="s">
        <v>38</v>
      </c>
      <c r="K655" s="46" t="s">
        <v>85</v>
      </c>
    </row>
    <row r="656" spans="2:11" x14ac:dyDescent="0.2">
      <c r="B656" s="185">
        <v>650</v>
      </c>
      <c r="C656" s="192">
        <v>42517</v>
      </c>
      <c r="D656" s="127">
        <v>0.1125</v>
      </c>
      <c r="E656" s="46">
        <v>12.6</v>
      </c>
      <c r="F656" s="46">
        <v>13.2</v>
      </c>
      <c r="G656" s="46">
        <v>15.4</v>
      </c>
      <c r="H656" s="103">
        <f t="shared" si="29"/>
        <v>13.733333333333333</v>
      </c>
      <c r="I656" s="46">
        <v>32</v>
      </c>
      <c r="J656" s="46" t="s">
        <v>39</v>
      </c>
      <c r="K656" s="46" t="s">
        <v>61</v>
      </c>
    </row>
    <row r="657" spans="2:11" x14ac:dyDescent="0.2">
      <c r="B657" s="194">
        <v>651</v>
      </c>
      <c r="C657" s="195">
        <v>42517</v>
      </c>
      <c r="D657" s="16">
        <v>0.52777777777777779</v>
      </c>
      <c r="E657" s="46">
        <v>17.5</v>
      </c>
      <c r="F657" s="46">
        <v>20.100000000000001</v>
      </c>
      <c r="G657" s="46">
        <v>21.2</v>
      </c>
      <c r="H657" s="103">
        <f t="shared" si="29"/>
        <v>19.599999999999998</v>
      </c>
      <c r="I657" s="46">
        <v>35</v>
      </c>
      <c r="J657" s="46" t="s">
        <v>38</v>
      </c>
      <c r="K657" s="46" t="s">
        <v>62</v>
      </c>
    </row>
    <row r="658" spans="2:11" x14ac:dyDescent="0.2">
      <c r="B658" s="194">
        <v>652</v>
      </c>
      <c r="C658" s="195">
        <v>42517</v>
      </c>
      <c r="D658" s="16">
        <v>0.67708333333333337</v>
      </c>
      <c r="E658" s="46">
        <v>19.3</v>
      </c>
      <c r="F658" s="46">
        <v>21.2</v>
      </c>
      <c r="G658" s="46">
        <v>26.3</v>
      </c>
      <c r="H658" s="103">
        <f t="shared" si="29"/>
        <v>22.266666666666666</v>
      </c>
      <c r="I658" s="46">
        <v>29</v>
      </c>
      <c r="J658" s="46" t="s">
        <v>39</v>
      </c>
      <c r="K658" s="46" t="s">
        <v>86</v>
      </c>
    </row>
    <row r="659" spans="2:11" x14ac:dyDescent="0.2">
      <c r="B659" s="194">
        <v>653</v>
      </c>
      <c r="C659" s="195">
        <v>42517</v>
      </c>
      <c r="D659" s="16">
        <v>0.8208333333333333</v>
      </c>
      <c r="E659" s="46">
        <v>16.5</v>
      </c>
      <c r="F659" s="46">
        <v>18.600000000000001</v>
      </c>
      <c r="G659" s="46">
        <v>20.6</v>
      </c>
      <c r="H659" s="103">
        <f t="shared" si="29"/>
        <v>18.566666666666666</v>
      </c>
      <c r="I659" s="46">
        <v>22</v>
      </c>
      <c r="J659" s="46" t="s">
        <v>39</v>
      </c>
      <c r="K659" s="46" t="s">
        <v>83</v>
      </c>
    </row>
    <row r="660" spans="2:11" x14ac:dyDescent="0.2">
      <c r="B660" s="194">
        <v>654</v>
      </c>
      <c r="C660" s="195">
        <v>42517</v>
      </c>
      <c r="D660" s="16">
        <v>0.97222222222222221</v>
      </c>
      <c r="E660" s="46">
        <v>13.4</v>
      </c>
      <c r="F660" s="46">
        <v>14.6</v>
      </c>
      <c r="G660" s="46">
        <v>17.100000000000001</v>
      </c>
      <c r="H660" s="103">
        <f t="shared" si="29"/>
        <v>15.033333333333333</v>
      </c>
      <c r="I660" s="46">
        <v>29</v>
      </c>
      <c r="J660" s="46" t="s">
        <v>38</v>
      </c>
      <c r="K660" s="46" t="s">
        <v>85</v>
      </c>
    </row>
    <row r="661" spans="2:11" x14ac:dyDescent="0.2">
      <c r="B661" s="194">
        <v>655</v>
      </c>
      <c r="C661" s="195">
        <v>42518</v>
      </c>
      <c r="D661" s="16">
        <v>0.11458333333333333</v>
      </c>
      <c r="E661" s="46">
        <v>13.2</v>
      </c>
      <c r="F661" s="46">
        <v>13.9</v>
      </c>
      <c r="G661" s="46">
        <v>15.2</v>
      </c>
      <c r="H661" s="103">
        <f t="shared" si="29"/>
        <v>14.1</v>
      </c>
      <c r="I661" s="46">
        <v>34</v>
      </c>
      <c r="J661" s="46" t="s">
        <v>39</v>
      </c>
      <c r="K661" s="46" t="s">
        <v>85</v>
      </c>
    </row>
    <row r="662" spans="2:11" x14ac:dyDescent="0.2">
      <c r="B662" s="194">
        <v>656</v>
      </c>
      <c r="C662" s="195">
        <v>42518</v>
      </c>
      <c r="D662" s="16">
        <v>0.51736111111111105</v>
      </c>
      <c r="E662" s="46">
        <v>19.7</v>
      </c>
      <c r="F662" s="46">
        <v>21.3</v>
      </c>
      <c r="G662" s="46">
        <v>22.8</v>
      </c>
      <c r="H662" s="103">
        <f t="shared" si="29"/>
        <v>21.266666666666666</v>
      </c>
      <c r="I662" s="46">
        <v>29</v>
      </c>
      <c r="J662" s="197" t="s">
        <v>38</v>
      </c>
      <c r="K662" s="46" t="s">
        <v>86</v>
      </c>
    </row>
    <row r="663" spans="2:11" x14ac:dyDescent="0.2">
      <c r="B663" s="194">
        <v>657</v>
      </c>
      <c r="C663" s="195">
        <v>42518</v>
      </c>
      <c r="D663" s="16">
        <v>0.67361111111111116</v>
      </c>
      <c r="E663" s="46">
        <v>14.6</v>
      </c>
      <c r="F663" s="46">
        <v>18.399999999999999</v>
      </c>
      <c r="G663" s="46">
        <v>19</v>
      </c>
      <c r="H663" s="103">
        <f t="shared" si="29"/>
        <v>17.333333333333332</v>
      </c>
      <c r="I663" s="46">
        <v>36</v>
      </c>
      <c r="J663" s="46" t="s">
        <v>39</v>
      </c>
      <c r="K663" s="46" t="s">
        <v>83</v>
      </c>
    </row>
    <row r="664" spans="2:11" x14ac:dyDescent="0.2">
      <c r="B664" s="194">
        <v>658</v>
      </c>
      <c r="C664" s="195">
        <v>42518</v>
      </c>
      <c r="D664" s="16">
        <v>0.81944444444444453</v>
      </c>
      <c r="E664" s="46">
        <v>15.7</v>
      </c>
      <c r="F664" s="46">
        <v>18.2</v>
      </c>
      <c r="G664" s="46">
        <v>25.3</v>
      </c>
      <c r="H664" s="103">
        <f t="shared" si="29"/>
        <v>19.733333333333334</v>
      </c>
      <c r="I664" s="46">
        <v>34</v>
      </c>
      <c r="J664" s="46" t="s">
        <v>39</v>
      </c>
      <c r="K664" s="46" t="s">
        <v>86</v>
      </c>
    </row>
    <row r="665" spans="2:11" x14ac:dyDescent="0.2">
      <c r="B665" s="194">
        <v>659</v>
      </c>
      <c r="C665" s="195">
        <v>42518</v>
      </c>
      <c r="D665" s="16">
        <v>0.88541666666666663</v>
      </c>
      <c r="E665" s="46">
        <v>21.2</v>
      </c>
      <c r="F665" s="46">
        <v>22.4</v>
      </c>
      <c r="G665" s="46">
        <v>24.6</v>
      </c>
      <c r="H665" s="103">
        <f t="shared" si="29"/>
        <v>22.733333333333331</v>
      </c>
      <c r="I665" s="46">
        <v>33</v>
      </c>
      <c r="J665" s="46" t="s">
        <v>38</v>
      </c>
      <c r="K665" s="46" t="s">
        <v>90</v>
      </c>
    </row>
    <row r="666" spans="2:11" x14ac:dyDescent="0.2">
      <c r="B666" s="194">
        <v>660</v>
      </c>
      <c r="C666" s="195">
        <v>42519</v>
      </c>
      <c r="D666" s="16">
        <v>3.4722222222222224E-2</v>
      </c>
      <c r="E666" s="46">
        <v>17.3</v>
      </c>
      <c r="F666" s="46">
        <v>19.399999999999999</v>
      </c>
      <c r="G666" s="46">
        <v>20.9</v>
      </c>
      <c r="H666" s="103">
        <f t="shared" si="29"/>
        <v>19.2</v>
      </c>
      <c r="I666" s="46">
        <v>37</v>
      </c>
      <c r="J666" s="46" t="s">
        <v>39</v>
      </c>
      <c r="K666" s="46" t="s">
        <v>85</v>
      </c>
    </row>
    <row r="667" spans="2:11" x14ac:dyDescent="0.2">
      <c r="B667" s="194">
        <v>661</v>
      </c>
      <c r="C667" s="195">
        <v>42519</v>
      </c>
      <c r="D667" s="16">
        <v>0.17777777777777778</v>
      </c>
      <c r="E667" s="46">
        <v>11.3</v>
      </c>
      <c r="F667" s="46">
        <v>15.6</v>
      </c>
      <c r="G667" s="46">
        <v>17.8</v>
      </c>
      <c r="H667" s="103">
        <f t="shared" si="29"/>
        <v>14.9</v>
      </c>
      <c r="I667" s="46">
        <v>26</v>
      </c>
      <c r="J667" s="46" t="s">
        <v>39</v>
      </c>
      <c r="K667" s="46" t="s">
        <v>90</v>
      </c>
    </row>
    <row r="668" spans="2:11" x14ac:dyDescent="0.2">
      <c r="B668" s="194">
        <v>662</v>
      </c>
      <c r="C668" s="196">
        <v>42519</v>
      </c>
      <c r="D668" s="16">
        <v>0.52777777777777779</v>
      </c>
      <c r="E668" s="46">
        <v>17.399999999999999</v>
      </c>
      <c r="F668" s="46">
        <v>18.100000000000001</v>
      </c>
      <c r="G668" s="46">
        <v>22.3</v>
      </c>
      <c r="H668" s="103">
        <f t="shared" si="29"/>
        <v>19.266666666666666</v>
      </c>
      <c r="I668" s="46">
        <v>32</v>
      </c>
      <c r="J668" s="46" t="s">
        <v>38</v>
      </c>
      <c r="K668" s="46" t="s">
        <v>83</v>
      </c>
    </row>
    <row r="669" spans="2:11" x14ac:dyDescent="0.2">
      <c r="B669" s="194">
        <v>663</v>
      </c>
      <c r="C669" s="196">
        <v>42519</v>
      </c>
      <c r="D669" s="16">
        <v>0.67361111111111116</v>
      </c>
      <c r="E669" s="46">
        <v>13.5</v>
      </c>
      <c r="F669" s="46">
        <v>15.6</v>
      </c>
      <c r="G669" s="46">
        <v>17.399999999999999</v>
      </c>
      <c r="H669" s="103">
        <f t="shared" si="29"/>
        <v>15.5</v>
      </c>
      <c r="I669" s="46">
        <v>32</v>
      </c>
      <c r="J669" s="46" t="s">
        <v>39</v>
      </c>
      <c r="K669" s="46" t="s">
        <v>83</v>
      </c>
    </row>
    <row r="670" spans="2:11" x14ac:dyDescent="0.2">
      <c r="B670" s="194">
        <v>664</v>
      </c>
      <c r="C670" s="196">
        <v>42520</v>
      </c>
      <c r="D670" s="16">
        <v>0.81944444444444453</v>
      </c>
      <c r="E670" s="46">
        <v>13.2</v>
      </c>
      <c r="F670" s="46">
        <v>14.1</v>
      </c>
      <c r="G670" s="46">
        <v>17.7</v>
      </c>
      <c r="H670" s="103">
        <f t="shared" si="29"/>
        <v>15</v>
      </c>
      <c r="I670" s="46">
        <v>30</v>
      </c>
      <c r="J670" s="46" t="s">
        <v>39</v>
      </c>
      <c r="K670" s="46" t="s">
        <v>86</v>
      </c>
    </row>
    <row r="671" spans="2:11" x14ac:dyDescent="0.2">
      <c r="B671" s="194">
        <v>665</v>
      </c>
      <c r="C671" s="196">
        <v>42520</v>
      </c>
      <c r="D671" s="16">
        <v>1.3888888888888888E-2</v>
      </c>
      <c r="E671" s="46">
        <v>17.5</v>
      </c>
      <c r="F671" s="46">
        <v>18.3</v>
      </c>
      <c r="G671" s="46">
        <v>22.3</v>
      </c>
      <c r="H671" s="103">
        <f t="shared" si="29"/>
        <v>19.366666666666664</v>
      </c>
      <c r="I671" s="46">
        <v>29.5</v>
      </c>
      <c r="J671" s="46" t="s">
        <v>38</v>
      </c>
      <c r="K671" s="46" t="s">
        <v>85</v>
      </c>
    </row>
    <row r="672" spans="2:11" x14ac:dyDescent="0.2">
      <c r="B672" s="194">
        <v>666</v>
      </c>
      <c r="C672" s="196">
        <v>42520</v>
      </c>
      <c r="D672" s="16">
        <v>0.15277777777777776</v>
      </c>
      <c r="E672" s="46">
        <v>15.4</v>
      </c>
      <c r="F672" s="46">
        <v>17.8</v>
      </c>
      <c r="G672" s="46">
        <v>19.8</v>
      </c>
      <c r="H672" s="103">
        <f t="shared" si="29"/>
        <v>17.666666666666668</v>
      </c>
      <c r="I672" s="46">
        <v>28.3</v>
      </c>
      <c r="J672" s="46" t="s">
        <v>39</v>
      </c>
      <c r="K672" s="46" t="s">
        <v>85</v>
      </c>
    </row>
    <row r="673" spans="2:11" x14ac:dyDescent="0.2">
      <c r="B673" s="194">
        <v>667</v>
      </c>
      <c r="C673" s="200">
        <v>42520</v>
      </c>
      <c r="D673" s="16">
        <v>0.52777777777777779</v>
      </c>
      <c r="E673" s="46">
        <v>15.7</v>
      </c>
      <c r="F673" s="46">
        <v>17.899999999999999</v>
      </c>
      <c r="G673" s="46">
        <v>19.399999999999999</v>
      </c>
      <c r="H673" s="103">
        <f t="shared" si="29"/>
        <v>17.666666666666664</v>
      </c>
      <c r="I673" s="46">
        <v>30</v>
      </c>
      <c r="J673" s="46" t="s">
        <v>39</v>
      </c>
      <c r="K673" s="46" t="s">
        <v>86</v>
      </c>
    </row>
    <row r="674" spans="2:11" x14ac:dyDescent="0.2">
      <c r="B674" s="194">
        <v>668</v>
      </c>
      <c r="C674" s="200">
        <v>42520</v>
      </c>
      <c r="D674" s="16">
        <v>0.67499999999999993</v>
      </c>
      <c r="E674" s="46">
        <v>17.399999999999999</v>
      </c>
      <c r="F674" s="46">
        <v>18.600000000000001</v>
      </c>
      <c r="G674" s="46">
        <v>21.6</v>
      </c>
      <c r="H674" s="103">
        <f t="shared" si="29"/>
        <v>19.2</v>
      </c>
      <c r="I674" s="46">
        <v>31</v>
      </c>
      <c r="J674" s="46" t="s">
        <v>39</v>
      </c>
      <c r="K674" s="46" t="s">
        <v>86</v>
      </c>
    </row>
    <row r="675" spans="2:11" x14ac:dyDescent="0.2">
      <c r="B675" s="199">
        <v>669</v>
      </c>
      <c r="C675" s="200">
        <v>42520</v>
      </c>
      <c r="D675" s="16">
        <v>0.83333333333333337</v>
      </c>
      <c r="E675" s="46">
        <v>12.6</v>
      </c>
      <c r="F675" s="46">
        <v>14.2</v>
      </c>
      <c r="G675" s="46">
        <v>16.899999999999999</v>
      </c>
      <c r="H675" s="103">
        <f t="shared" si="29"/>
        <v>14.566666666666665</v>
      </c>
      <c r="I675" s="46">
        <v>26</v>
      </c>
      <c r="J675" s="46" t="s">
        <v>39</v>
      </c>
      <c r="K675" s="46" t="s">
        <v>83</v>
      </c>
    </row>
    <row r="676" spans="2:11" x14ac:dyDescent="0.2">
      <c r="B676" s="199">
        <v>670</v>
      </c>
      <c r="C676" s="200">
        <v>42520</v>
      </c>
      <c r="D676" s="16">
        <v>0.94791666666666663</v>
      </c>
      <c r="E676" s="46">
        <v>19.5</v>
      </c>
      <c r="F676" s="46">
        <v>20.3</v>
      </c>
      <c r="G676" s="46">
        <v>22.1</v>
      </c>
      <c r="H676" s="103">
        <f t="shared" si="29"/>
        <v>20.633333333333333</v>
      </c>
      <c r="I676" s="46">
        <v>31</v>
      </c>
      <c r="J676" s="46" t="s">
        <v>38</v>
      </c>
      <c r="K676" s="46" t="s">
        <v>90</v>
      </c>
    </row>
    <row r="677" spans="2:11" x14ac:dyDescent="0.2">
      <c r="B677" s="199">
        <v>671</v>
      </c>
      <c r="C677" s="200">
        <v>42521</v>
      </c>
      <c r="D677" s="16">
        <v>0.11458333333333333</v>
      </c>
      <c r="E677" s="46">
        <v>20.6</v>
      </c>
      <c r="F677" s="46">
        <v>22.3</v>
      </c>
      <c r="G677" s="46">
        <v>23.1</v>
      </c>
      <c r="H677" s="103">
        <f t="shared" si="29"/>
        <v>22</v>
      </c>
      <c r="I677" s="46">
        <v>30</v>
      </c>
      <c r="J677" s="46" t="s">
        <v>39</v>
      </c>
      <c r="K677" s="46" t="s">
        <v>85</v>
      </c>
    </row>
    <row r="678" spans="2:11" x14ac:dyDescent="0.2">
      <c r="B678" s="199">
        <v>672</v>
      </c>
      <c r="C678" s="202">
        <v>42521</v>
      </c>
      <c r="D678" s="16">
        <v>0.52430555555555558</v>
      </c>
      <c r="E678" s="46">
        <v>14.6</v>
      </c>
      <c r="F678" s="46">
        <v>17.7</v>
      </c>
      <c r="G678" s="46">
        <v>22.3</v>
      </c>
      <c r="H678" s="103">
        <f t="shared" si="29"/>
        <v>18.2</v>
      </c>
      <c r="I678" s="46">
        <v>32</v>
      </c>
      <c r="J678" s="46" t="s">
        <v>38</v>
      </c>
      <c r="K678" s="46" t="s">
        <v>86</v>
      </c>
    </row>
    <row r="679" spans="2:11" x14ac:dyDescent="0.2">
      <c r="B679" s="199">
        <v>673</v>
      </c>
      <c r="C679" s="202">
        <v>42521</v>
      </c>
      <c r="D679" s="16">
        <v>0.67708333333333337</v>
      </c>
      <c r="E679" s="46">
        <v>14.4</v>
      </c>
      <c r="F679" s="46">
        <v>16.5</v>
      </c>
      <c r="G679" s="46">
        <v>17.5</v>
      </c>
      <c r="H679" s="103">
        <f t="shared" si="29"/>
        <v>16.133333333333333</v>
      </c>
      <c r="I679" s="46">
        <v>34</v>
      </c>
      <c r="J679" s="46" t="s">
        <v>39</v>
      </c>
      <c r="K679" s="46" t="s">
        <v>83</v>
      </c>
    </row>
    <row r="680" spans="2:11" x14ac:dyDescent="0.2">
      <c r="B680" s="199">
        <v>674</v>
      </c>
      <c r="C680" s="202">
        <v>42521</v>
      </c>
      <c r="D680" s="16">
        <v>0.81944444444444453</v>
      </c>
      <c r="E680" s="46">
        <v>13.6</v>
      </c>
      <c r="F680" s="46">
        <v>15.3</v>
      </c>
      <c r="G680" s="46">
        <v>17.3</v>
      </c>
      <c r="H680" s="103">
        <f t="shared" si="29"/>
        <v>15.4</v>
      </c>
      <c r="I680" s="46">
        <v>29</v>
      </c>
      <c r="J680" s="46" t="s">
        <v>46</v>
      </c>
      <c r="K680" s="46" t="s">
        <v>83</v>
      </c>
    </row>
    <row r="681" spans="2:11" x14ac:dyDescent="0.2">
      <c r="B681" s="199">
        <v>675</v>
      </c>
      <c r="C681" s="202">
        <v>42521</v>
      </c>
      <c r="D681" s="16">
        <v>0.96527777777777779</v>
      </c>
      <c r="E681" s="46">
        <v>21.7</v>
      </c>
      <c r="F681" s="46">
        <v>22.5</v>
      </c>
      <c r="G681" s="46">
        <v>23.1</v>
      </c>
      <c r="H681" s="103">
        <f t="shared" si="29"/>
        <v>22.433333333333337</v>
      </c>
      <c r="I681" s="46">
        <v>33</v>
      </c>
      <c r="J681" s="46" t="s">
        <v>38</v>
      </c>
      <c r="K681" s="46" t="s">
        <v>90</v>
      </c>
    </row>
    <row r="682" spans="2:11" x14ac:dyDescent="0.2">
      <c r="B682" s="199">
        <v>676</v>
      </c>
      <c r="C682" s="202">
        <v>42522</v>
      </c>
      <c r="D682" s="16">
        <v>0.11458333333333333</v>
      </c>
      <c r="E682" s="46">
        <v>24.2</v>
      </c>
      <c r="F682" s="46">
        <v>25.1</v>
      </c>
      <c r="G682" s="46">
        <v>27.5</v>
      </c>
      <c r="H682" s="103">
        <f t="shared" si="29"/>
        <v>25.599999999999998</v>
      </c>
      <c r="I682" s="46">
        <v>32</v>
      </c>
      <c r="J682" s="46" t="s">
        <v>39</v>
      </c>
      <c r="K682" s="46" t="s">
        <v>85</v>
      </c>
    </row>
    <row r="683" spans="2:11" x14ac:dyDescent="0.2">
      <c r="B683" s="199">
        <v>677</v>
      </c>
      <c r="C683" s="203">
        <v>42522</v>
      </c>
      <c r="D683" s="16">
        <v>0.53472222222222221</v>
      </c>
      <c r="E683" s="46">
        <v>15.4</v>
      </c>
      <c r="F683" s="46">
        <v>16.5</v>
      </c>
      <c r="G683" s="46">
        <v>18.2</v>
      </c>
      <c r="H683" s="103">
        <f t="shared" si="29"/>
        <v>16.7</v>
      </c>
      <c r="I683" s="46">
        <v>35</v>
      </c>
      <c r="J683" s="46" t="s">
        <v>38</v>
      </c>
      <c r="K683" s="46" t="s">
        <v>83</v>
      </c>
    </row>
    <row r="684" spans="2:11" x14ac:dyDescent="0.2">
      <c r="B684" s="199">
        <v>678</v>
      </c>
      <c r="C684" s="203">
        <v>42522</v>
      </c>
      <c r="D684" s="16">
        <v>0.70138888888888884</v>
      </c>
      <c r="E684" s="46">
        <v>16.8</v>
      </c>
      <c r="F684" s="46">
        <v>17.2</v>
      </c>
      <c r="G684" s="46">
        <v>17.5</v>
      </c>
      <c r="H684" s="103">
        <f t="shared" si="29"/>
        <v>17.166666666666668</v>
      </c>
      <c r="I684" s="46">
        <v>247</v>
      </c>
      <c r="J684" s="46" t="s">
        <v>39</v>
      </c>
      <c r="K684" s="46" t="s">
        <v>86</v>
      </c>
    </row>
    <row r="685" spans="2:11" x14ac:dyDescent="0.2">
      <c r="B685" s="199">
        <v>679</v>
      </c>
      <c r="C685" s="203">
        <v>42522</v>
      </c>
      <c r="D685" s="16">
        <v>0.83333333333333337</v>
      </c>
      <c r="E685" s="46">
        <v>15.3</v>
      </c>
      <c r="F685" s="46">
        <v>17.899999999999999</v>
      </c>
      <c r="G685" s="46">
        <v>18.899999999999999</v>
      </c>
      <c r="H685" s="103">
        <f t="shared" si="29"/>
        <v>17.366666666666667</v>
      </c>
      <c r="I685" s="46">
        <v>28</v>
      </c>
      <c r="J685" s="46" t="s">
        <v>39</v>
      </c>
      <c r="K685" s="46" t="s">
        <v>83</v>
      </c>
    </row>
    <row r="686" spans="2:11" x14ac:dyDescent="0.2">
      <c r="B686" s="199">
        <v>680</v>
      </c>
      <c r="C686" s="203">
        <v>42522</v>
      </c>
      <c r="D686" s="16">
        <v>0.96527777777777779</v>
      </c>
      <c r="E686" s="46">
        <v>21.1</v>
      </c>
      <c r="F686" s="46">
        <v>20.399999999999999</v>
      </c>
      <c r="G686" s="46">
        <v>18.7</v>
      </c>
      <c r="H686" s="103">
        <f t="shared" si="29"/>
        <v>20.066666666666666</v>
      </c>
      <c r="I686" s="46">
        <v>31</v>
      </c>
      <c r="J686" s="46" t="s">
        <v>38</v>
      </c>
      <c r="K686" s="46" t="s">
        <v>85</v>
      </c>
    </row>
    <row r="687" spans="2:11" x14ac:dyDescent="0.2">
      <c r="B687" s="199">
        <v>681</v>
      </c>
      <c r="C687" s="203">
        <v>42523</v>
      </c>
      <c r="D687" s="16">
        <v>0.11458333333333333</v>
      </c>
      <c r="E687" s="46">
        <v>25.1</v>
      </c>
      <c r="F687" s="46">
        <v>24.2</v>
      </c>
      <c r="G687" s="46">
        <v>21.4</v>
      </c>
      <c r="H687" s="103">
        <f t="shared" si="29"/>
        <v>23.566666666666663</v>
      </c>
      <c r="I687" s="46">
        <v>31</v>
      </c>
      <c r="J687" s="46" t="s">
        <v>39</v>
      </c>
      <c r="K687" s="46" t="s">
        <v>90</v>
      </c>
    </row>
    <row r="688" spans="2:11" x14ac:dyDescent="0.2">
      <c r="B688" s="199">
        <v>682</v>
      </c>
      <c r="C688" s="205">
        <v>42523</v>
      </c>
      <c r="D688" s="16">
        <v>0.56736111111111109</v>
      </c>
      <c r="E688" s="46">
        <v>18.600000000000001</v>
      </c>
      <c r="F688" s="46">
        <v>19.899999999999999</v>
      </c>
      <c r="G688" s="46">
        <v>21.2</v>
      </c>
      <c r="H688" s="103">
        <f>AVERAGE(E688:G688)</f>
        <v>19.900000000000002</v>
      </c>
      <c r="I688" s="46">
        <v>41</v>
      </c>
      <c r="J688" s="46" t="s">
        <v>38</v>
      </c>
      <c r="K688" s="46" t="s">
        <v>90</v>
      </c>
    </row>
    <row r="689" spans="2:11" x14ac:dyDescent="0.2">
      <c r="B689" s="199">
        <v>683</v>
      </c>
      <c r="C689" s="205">
        <v>42523</v>
      </c>
      <c r="D689" s="16">
        <v>0.69444444444444453</v>
      </c>
      <c r="E689" s="46">
        <v>15.3</v>
      </c>
      <c r="F689" s="46">
        <v>19.600000000000001</v>
      </c>
      <c r="G689" s="46">
        <v>21.8</v>
      </c>
      <c r="H689" s="103">
        <f>AVERAGE(E689:G689)</f>
        <v>18.900000000000002</v>
      </c>
      <c r="I689" s="46">
        <v>32</v>
      </c>
      <c r="J689" s="46" t="s">
        <v>39</v>
      </c>
      <c r="K689" s="46" t="s">
        <v>90</v>
      </c>
    </row>
    <row r="690" spans="2:11" ht="21.75" customHeight="1" x14ac:dyDescent="0.2">
      <c r="B690" s="199">
        <v>684</v>
      </c>
      <c r="C690" s="206">
        <v>42524</v>
      </c>
      <c r="D690" s="16">
        <v>0.11458333333333333</v>
      </c>
      <c r="E690" s="46">
        <v>18</v>
      </c>
      <c r="F690" s="46">
        <v>20</v>
      </c>
      <c r="G690" s="46">
        <v>21.9</v>
      </c>
      <c r="H690" s="103">
        <f>AVERAGE(E690:G690)</f>
        <v>19.966666666666665</v>
      </c>
      <c r="I690" s="46">
        <v>31</v>
      </c>
      <c r="J690" s="46" t="s">
        <v>39</v>
      </c>
      <c r="K690" s="46" t="s">
        <v>90</v>
      </c>
    </row>
    <row r="691" spans="2:11" x14ac:dyDescent="0.2">
      <c r="B691" s="199">
        <v>685</v>
      </c>
      <c r="C691" s="206">
        <v>42524</v>
      </c>
      <c r="D691" s="16">
        <v>0.56736111111111109</v>
      </c>
      <c r="E691" s="46">
        <v>17</v>
      </c>
      <c r="F691" s="46">
        <v>18.7</v>
      </c>
      <c r="G691" s="46">
        <v>20.5</v>
      </c>
      <c r="H691" s="103">
        <f t="shared" ref="H691:H791" si="30">AVERAGE(E691:G691)</f>
        <v>18.733333333333334</v>
      </c>
      <c r="I691" s="46">
        <v>41</v>
      </c>
      <c r="J691" s="46" t="s">
        <v>38</v>
      </c>
      <c r="K691" s="46" t="s">
        <v>90</v>
      </c>
    </row>
    <row r="692" spans="2:11" x14ac:dyDescent="0.2">
      <c r="B692" s="199">
        <v>686</v>
      </c>
      <c r="C692" s="206">
        <v>42524</v>
      </c>
      <c r="D692" s="16">
        <v>0.69444444444444453</v>
      </c>
      <c r="E692" s="46">
        <v>15.3</v>
      </c>
      <c r="F692" s="46">
        <v>17</v>
      </c>
      <c r="G692" s="46">
        <v>20</v>
      </c>
      <c r="H692" s="103">
        <f t="shared" si="30"/>
        <v>17.433333333333334</v>
      </c>
      <c r="I692" s="46">
        <v>32</v>
      </c>
      <c r="J692" s="46" t="s">
        <v>39</v>
      </c>
      <c r="K692" s="46" t="s">
        <v>90</v>
      </c>
    </row>
    <row r="693" spans="2:11" x14ac:dyDescent="0.2">
      <c r="B693" s="199">
        <v>687</v>
      </c>
      <c r="C693" s="206">
        <v>42525</v>
      </c>
      <c r="D693" s="16">
        <v>0.11458333333333333</v>
      </c>
      <c r="E693" s="46">
        <v>15</v>
      </c>
      <c r="F693" s="46">
        <v>16.8</v>
      </c>
      <c r="G693" s="46">
        <v>19.5</v>
      </c>
      <c r="H693" s="103">
        <f t="shared" si="30"/>
        <v>17.099999999999998</v>
      </c>
      <c r="I693" s="46">
        <v>31</v>
      </c>
      <c r="J693" s="46" t="s">
        <v>39</v>
      </c>
      <c r="K693" s="46" t="s">
        <v>90</v>
      </c>
    </row>
    <row r="694" spans="2:11" x14ac:dyDescent="0.2">
      <c r="B694" s="199">
        <v>688</v>
      </c>
      <c r="C694" s="206">
        <v>42525</v>
      </c>
      <c r="D694" s="16">
        <v>0.56736111111111109</v>
      </c>
      <c r="E694" s="46">
        <v>17</v>
      </c>
      <c r="F694" s="46">
        <v>18.899999999999999</v>
      </c>
      <c r="G694" s="46">
        <v>20.8</v>
      </c>
      <c r="H694" s="103">
        <f t="shared" si="30"/>
        <v>18.900000000000002</v>
      </c>
      <c r="I694" s="46">
        <v>41</v>
      </c>
      <c r="J694" s="46" t="s">
        <v>38</v>
      </c>
      <c r="K694" s="46" t="s">
        <v>90</v>
      </c>
    </row>
    <row r="695" spans="2:11" x14ac:dyDescent="0.2">
      <c r="B695" s="199">
        <v>689</v>
      </c>
      <c r="C695" s="206">
        <v>42525</v>
      </c>
      <c r="D695" s="16">
        <v>0.69444444444444453</v>
      </c>
      <c r="E695" s="46">
        <v>15.9</v>
      </c>
      <c r="F695" s="46">
        <v>17.5</v>
      </c>
      <c r="G695" s="46">
        <v>19.3</v>
      </c>
      <c r="H695" s="103">
        <f t="shared" si="30"/>
        <v>17.566666666666666</v>
      </c>
      <c r="I695" s="46">
        <v>32</v>
      </c>
      <c r="J695" s="46" t="s">
        <v>39</v>
      </c>
      <c r="K695" s="46" t="s">
        <v>90</v>
      </c>
    </row>
    <row r="696" spans="2:11" x14ac:dyDescent="0.2">
      <c r="B696" s="199">
        <v>690</v>
      </c>
      <c r="C696" s="207">
        <v>42526</v>
      </c>
      <c r="D696" s="16">
        <v>0.68055555555555547</v>
      </c>
      <c r="E696" s="46">
        <v>14.3</v>
      </c>
      <c r="F696" s="46">
        <v>19.2</v>
      </c>
      <c r="G696" s="46">
        <v>20.5</v>
      </c>
      <c r="H696" s="103">
        <f t="shared" si="30"/>
        <v>18</v>
      </c>
      <c r="I696" s="46">
        <v>29</v>
      </c>
      <c r="J696" s="46" t="s">
        <v>39</v>
      </c>
      <c r="K696" s="46" t="s">
        <v>83</v>
      </c>
    </row>
    <row r="697" spans="2:11" x14ac:dyDescent="0.2">
      <c r="B697" s="199">
        <v>691</v>
      </c>
      <c r="C697" s="207">
        <v>42526</v>
      </c>
      <c r="D697" s="16">
        <v>0.82291666666666663</v>
      </c>
      <c r="E697" s="46">
        <v>14.1</v>
      </c>
      <c r="F697" s="46">
        <v>15.4</v>
      </c>
      <c r="G697" s="46">
        <v>17.7</v>
      </c>
      <c r="H697" s="103">
        <f t="shared" si="30"/>
        <v>15.733333333333334</v>
      </c>
      <c r="I697" s="46">
        <v>41</v>
      </c>
      <c r="J697" s="46" t="s">
        <v>39</v>
      </c>
      <c r="K697" s="46" t="s">
        <v>85</v>
      </c>
    </row>
    <row r="698" spans="2:11" x14ac:dyDescent="0.2">
      <c r="B698" s="199">
        <v>692</v>
      </c>
      <c r="C698" s="207">
        <v>42526</v>
      </c>
      <c r="D698" s="16">
        <v>0.96527777777777779</v>
      </c>
      <c r="E698" s="46">
        <v>13.6</v>
      </c>
      <c r="F698" s="46">
        <v>14.7</v>
      </c>
      <c r="G698" s="46">
        <v>18</v>
      </c>
      <c r="H698" s="103">
        <f t="shared" si="30"/>
        <v>15.433333333333332</v>
      </c>
      <c r="I698" s="46">
        <v>28</v>
      </c>
      <c r="J698" s="46" t="s">
        <v>38</v>
      </c>
      <c r="K698" s="46" t="s">
        <v>86</v>
      </c>
    </row>
    <row r="699" spans="2:11" x14ac:dyDescent="0.2">
      <c r="B699" s="199">
        <v>694</v>
      </c>
      <c r="C699" s="207">
        <v>42527</v>
      </c>
      <c r="D699" s="16">
        <v>0.11944444444444445</v>
      </c>
      <c r="E699" s="46">
        <v>15.3</v>
      </c>
      <c r="F699" s="46">
        <v>19.600000000000001</v>
      </c>
      <c r="G699" s="46">
        <v>21.8</v>
      </c>
      <c r="H699" s="103">
        <f t="shared" si="30"/>
        <v>18.900000000000002</v>
      </c>
      <c r="I699" s="46">
        <v>33</v>
      </c>
      <c r="J699" s="46" t="s">
        <v>39</v>
      </c>
      <c r="K699" s="46" t="s">
        <v>85</v>
      </c>
    </row>
    <row r="700" spans="2:11" x14ac:dyDescent="0.2">
      <c r="B700" s="199">
        <v>695</v>
      </c>
      <c r="C700" s="209">
        <v>42527</v>
      </c>
      <c r="D700" s="16">
        <v>0.52083333333333337</v>
      </c>
      <c r="E700" s="46">
        <v>16.7</v>
      </c>
      <c r="F700" s="46">
        <v>17.600000000000001</v>
      </c>
      <c r="G700" s="46">
        <v>20.6</v>
      </c>
      <c r="H700" s="103">
        <f t="shared" si="30"/>
        <v>18.3</v>
      </c>
      <c r="I700" s="46">
        <v>34</v>
      </c>
      <c r="J700" s="46" t="s">
        <v>39</v>
      </c>
      <c r="K700" s="46" t="s">
        <v>90</v>
      </c>
    </row>
    <row r="701" spans="2:11" x14ac:dyDescent="0.2">
      <c r="B701" s="199">
        <v>696</v>
      </c>
      <c r="C701" s="209">
        <v>42527</v>
      </c>
      <c r="D701" s="16">
        <v>0.68055555555555547</v>
      </c>
      <c r="E701" s="46">
        <v>17.600000000000001</v>
      </c>
      <c r="F701" s="46">
        <v>19.899999999999999</v>
      </c>
      <c r="G701" s="46">
        <v>21.5</v>
      </c>
      <c r="H701" s="103">
        <f t="shared" si="30"/>
        <v>19.666666666666668</v>
      </c>
      <c r="I701" s="46">
        <v>41</v>
      </c>
      <c r="J701" s="46" t="s">
        <v>39</v>
      </c>
      <c r="K701" s="46" t="s">
        <v>85</v>
      </c>
    </row>
    <row r="702" spans="2:11" x14ac:dyDescent="0.2">
      <c r="B702" s="208">
        <v>697</v>
      </c>
      <c r="C702" s="209">
        <v>42527</v>
      </c>
      <c r="D702" s="16">
        <v>0.82291666666666663</v>
      </c>
      <c r="E702" s="46">
        <v>18.100000000000001</v>
      </c>
      <c r="F702" s="46">
        <v>19.100000000000001</v>
      </c>
      <c r="G702" s="46">
        <v>22.6</v>
      </c>
      <c r="H702" s="103">
        <f t="shared" si="30"/>
        <v>19.933333333333334</v>
      </c>
      <c r="I702" s="46">
        <v>41</v>
      </c>
      <c r="J702" s="46" t="s">
        <v>39</v>
      </c>
      <c r="K702" s="46" t="s">
        <v>90</v>
      </c>
    </row>
    <row r="703" spans="2:11" x14ac:dyDescent="0.2">
      <c r="B703" s="208">
        <v>698</v>
      </c>
      <c r="C703" s="209">
        <v>42527</v>
      </c>
      <c r="D703" s="16">
        <v>0.93055555555555547</v>
      </c>
      <c r="E703" s="46">
        <v>18.7</v>
      </c>
      <c r="F703" s="46">
        <v>19.3</v>
      </c>
      <c r="G703" s="46">
        <v>22.8</v>
      </c>
      <c r="H703" s="103">
        <f t="shared" si="30"/>
        <v>20.266666666666666</v>
      </c>
      <c r="I703" s="46">
        <v>41</v>
      </c>
      <c r="J703" s="46" t="s">
        <v>38</v>
      </c>
      <c r="K703" s="46" t="s">
        <v>86</v>
      </c>
    </row>
    <row r="704" spans="2:11" x14ac:dyDescent="0.2">
      <c r="B704" s="210">
        <v>699</v>
      </c>
      <c r="C704" s="211">
        <v>42528</v>
      </c>
      <c r="D704" s="16">
        <v>0.51874999999999993</v>
      </c>
      <c r="E704" s="46">
        <v>13.6</v>
      </c>
      <c r="F704" s="46">
        <v>16.2</v>
      </c>
      <c r="G704" s="46">
        <v>19.600000000000001</v>
      </c>
      <c r="H704" s="103">
        <f t="shared" si="30"/>
        <v>16.466666666666665</v>
      </c>
      <c r="I704" s="46">
        <v>32</v>
      </c>
      <c r="J704" s="46" t="s">
        <v>38</v>
      </c>
      <c r="K704" s="46" t="s">
        <v>90</v>
      </c>
    </row>
    <row r="705" spans="2:11" x14ac:dyDescent="0.2">
      <c r="B705" s="210">
        <v>700</v>
      </c>
      <c r="C705" s="211">
        <v>42528</v>
      </c>
      <c r="D705" s="16">
        <v>0.68055555555555547</v>
      </c>
      <c r="E705" s="46">
        <v>18.7</v>
      </c>
      <c r="F705" s="46">
        <v>19.3</v>
      </c>
      <c r="G705" s="46">
        <v>22.8</v>
      </c>
      <c r="H705" s="103">
        <f t="shared" si="30"/>
        <v>20.266666666666666</v>
      </c>
      <c r="I705" s="46">
        <v>40</v>
      </c>
      <c r="J705" s="46" t="s">
        <v>39</v>
      </c>
      <c r="K705" s="46" t="s">
        <v>85</v>
      </c>
    </row>
    <row r="706" spans="2:11" x14ac:dyDescent="0.2">
      <c r="B706" s="210">
        <v>701</v>
      </c>
      <c r="C706" s="211">
        <v>42528</v>
      </c>
      <c r="D706" s="16">
        <v>0.82291666666666663</v>
      </c>
      <c r="E706" s="46">
        <v>17.600000000000001</v>
      </c>
      <c r="F706" s="46">
        <v>19.7</v>
      </c>
      <c r="G706" s="46">
        <v>21</v>
      </c>
      <c r="H706" s="103">
        <f t="shared" si="30"/>
        <v>19.433333333333334</v>
      </c>
      <c r="I706" s="46">
        <v>29</v>
      </c>
      <c r="J706" s="46" t="s">
        <v>46</v>
      </c>
      <c r="K706" s="46" t="s">
        <v>85</v>
      </c>
    </row>
    <row r="707" spans="2:11" x14ac:dyDescent="0.2">
      <c r="B707" s="210">
        <v>702</v>
      </c>
      <c r="C707" s="211">
        <v>42528</v>
      </c>
      <c r="D707" s="16">
        <v>0.98611111111111116</v>
      </c>
      <c r="E707" s="46">
        <v>15.4</v>
      </c>
      <c r="F707" s="46">
        <v>21.8</v>
      </c>
      <c r="G707" s="46">
        <v>22.6</v>
      </c>
      <c r="H707" s="103">
        <f t="shared" si="30"/>
        <v>19.933333333333334</v>
      </c>
      <c r="I707" s="46">
        <v>42</v>
      </c>
      <c r="J707" s="46" t="s">
        <v>38</v>
      </c>
      <c r="K707" s="46" t="s">
        <v>85</v>
      </c>
    </row>
    <row r="708" spans="2:11" x14ac:dyDescent="0.2">
      <c r="B708" s="214">
        <v>703</v>
      </c>
      <c r="C708" s="213">
        <v>42529</v>
      </c>
      <c r="D708" s="16">
        <v>0.49305555555555558</v>
      </c>
      <c r="E708" s="46">
        <v>15.9</v>
      </c>
      <c r="F708" s="46">
        <v>19.8</v>
      </c>
      <c r="G708" s="46">
        <v>20.6</v>
      </c>
      <c r="H708" s="103">
        <f t="shared" si="30"/>
        <v>18.766666666666669</v>
      </c>
      <c r="I708" s="46">
        <v>36</v>
      </c>
      <c r="J708" s="46" t="s">
        <v>38</v>
      </c>
      <c r="K708" s="46" t="s">
        <v>83</v>
      </c>
    </row>
    <row r="709" spans="2:11" x14ac:dyDescent="0.2">
      <c r="B709" s="208">
        <v>704</v>
      </c>
      <c r="C709" s="213">
        <v>42529</v>
      </c>
      <c r="D709" s="16">
        <v>0.68055555555555547</v>
      </c>
      <c r="E709" s="46">
        <v>18.2</v>
      </c>
      <c r="F709" s="46">
        <v>19.600000000000001</v>
      </c>
      <c r="G709" s="46">
        <v>23.1</v>
      </c>
      <c r="H709" s="103">
        <f t="shared" si="30"/>
        <v>20.3</v>
      </c>
      <c r="I709" s="46">
        <v>42</v>
      </c>
      <c r="J709" s="46" t="s">
        <v>39</v>
      </c>
      <c r="K709" s="46" t="s">
        <v>83</v>
      </c>
    </row>
    <row r="710" spans="2:11" x14ac:dyDescent="0.2">
      <c r="B710" s="208">
        <v>705</v>
      </c>
      <c r="C710" s="213">
        <v>42529</v>
      </c>
      <c r="D710" s="16">
        <v>0.82291666666666663</v>
      </c>
      <c r="E710" s="46">
        <v>16.899999999999999</v>
      </c>
      <c r="F710" s="46">
        <v>19.600000000000001</v>
      </c>
      <c r="G710" s="46">
        <v>21.8</v>
      </c>
      <c r="H710" s="103">
        <f t="shared" si="30"/>
        <v>19.433333333333334</v>
      </c>
      <c r="I710" s="46">
        <v>28</v>
      </c>
      <c r="J710" s="46" t="s">
        <v>46</v>
      </c>
      <c r="K710" s="46" t="s">
        <v>86</v>
      </c>
    </row>
    <row r="711" spans="2:11" x14ac:dyDescent="0.2">
      <c r="B711" s="208">
        <v>706</v>
      </c>
      <c r="C711" s="213">
        <v>42529</v>
      </c>
      <c r="D711" s="16">
        <v>0.96875</v>
      </c>
      <c r="E711" s="46">
        <v>20.6</v>
      </c>
      <c r="F711" s="46">
        <v>22.2</v>
      </c>
      <c r="G711" s="46">
        <v>25.4</v>
      </c>
      <c r="H711" s="103">
        <f t="shared" si="30"/>
        <v>22.733333333333331</v>
      </c>
      <c r="I711" s="46">
        <v>30</v>
      </c>
      <c r="J711" s="46" t="s">
        <v>38</v>
      </c>
      <c r="K711" s="46" t="s">
        <v>90</v>
      </c>
    </row>
    <row r="712" spans="2:11" x14ac:dyDescent="0.2">
      <c r="B712" s="212">
        <v>707</v>
      </c>
      <c r="C712" s="213">
        <v>42530</v>
      </c>
      <c r="D712" s="16">
        <v>0.49305555555555558</v>
      </c>
      <c r="E712" s="46">
        <v>15.9</v>
      </c>
      <c r="F712" s="46">
        <v>19.8</v>
      </c>
      <c r="G712" s="46">
        <v>20.6</v>
      </c>
      <c r="H712" s="103">
        <f t="shared" si="30"/>
        <v>18.766666666666669</v>
      </c>
      <c r="I712" s="46">
        <v>36</v>
      </c>
      <c r="J712" s="46" t="s">
        <v>38</v>
      </c>
      <c r="K712" s="46" t="s">
        <v>90</v>
      </c>
    </row>
    <row r="713" spans="2:11" x14ac:dyDescent="0.2">
      <c r="B713" s="212">
        <v>708</v>
      </c>
      <c r="C713" s="213">
        <v>42530</v>
      </c>
      <c r="D713" s="16">
        <v>0.65625</v>
      </c>
      <c r="E713" s="46">
        <v>18.899999999999999</v>
      </c>
      <c r="F713" s="46">
        <v>19.7</v>
      </c>
      <c r="G713" s="46">
        <v>23.2</v>
      </c>
      <c r="H713" s="103">
        <f t="shared" si="30"/>
        <v>20.599999999999998</v>
      </c>
      <c r="I713" s="46">
        <v>34</v>
      </c>
      <c r="J713" s="46" t="s">
        <v>39</v>
      </c>
      <c r="K713" s="46" t="s">
        <v>86</v>
      </c>
    </row>
    <row r="714" spans="2:11" x14ac:dyDescent="0.2">
      <c r="B714" s="46">
        <v>709</v>
      </c>
      <c r="C714" s="213">
        <v>42530</v>
      </c>
      <c r="D714" s="16">
        <v>0.80555555555555547</v>
      </c>
      <c r="E714" s="46">
        <v>17.100000000000001</v>
      </c>
      <c r="F714" s="46">
        <v>19.399999999999999</v>
      </c>
      <c r="G714" s="46">
        <v>22.3</v>
      </c>
      <c r="H714" s="103">
        <f t="shared" si="30"/>
        <v>19.599999999999998</v>
      </c>
      <c r="I714" s="46">
        <v>28</v>
      </c>
      <c r="J714" s="46" t="s">
        <v>46</v>
      </c>
      <c r="K714" s="46" t="s">
        <v>86</v>
      </c>
    </row>
    <row r="715" spans="2:11" x14ac:dyDescent="0.2">
      <c r="B715" s="46">
        <v>710</v>
      </c>
      <c r="C715" s="213">
        <v>42530</v>
      </c>
      <c r="D715" s="16">
        <v>0.96875</v>
      </c>
      <c r="E715" s="46">
        <v>16.399999999999999</v>
      </c>
      <c r="F715" s="46">
        <v>19.8</v>
      </c>
      <c r="G715" s="46">
        <v>24.7</v>
      </c>
      <c r="H715" s="103">
        <f t="shared" si="30"/>
        <v>20.3</v>
      </c>
      <c r="I715" s="46">
        <v>35</v>
      </c>
      <c r="J715" s="46" t="s">
        <v>39</v>
      </c>
      <c r="K715" s="46" t="s">
        <v>90</v>
      </c>
    </row>
    <row r="716" spans="2:11" x14ac:dyDescent="0.2">
      <c r="B716" s="46">
        <v>711</v>
      </c>
      <c r="C716" s="213">
        <v>42531</v>
      </c>
      <c r="D716" s="16">
        <v>0.1111111111111111</v>
      </c>
      <c r="E716" s="46">
        <v>12.6</v>
      </c>
      <c r="F716" s="46">
        <v>15.6</v>
      </c>
      <c r="G716" s="46">
        <v>19.399999999999999</v>
      </c>
      <c r="H716" s="103">
        <f t="shared" si="30"/>
        <v>15.866666666666665</v>
      </c>
      <c r="I716" s="46">
        <v>36</v>
      </c>
      <c r="J716" s="46" t="s">
        <v>39</v>
      </c>
      <c r="K716" s="46" t="s">
        <v>85</v>
      </c>
    </row>
    <row r="717" spans="2:11" x14ac:dyDescent="0.2">
      <c r="B717" s="215">
        <v>712</v>
      </c>
      <c r="C717" s="216">
        <v>42531</v>
      </c>
      <c r="D717" s="16">
        <v>0.70486111111111116</v>
      </c>
      <c r="E717" s="215">
        <v>17.2</v>
      </c>
      <c r="F717" s="215">
        <v>19</v>
      </c>
      <c r="G717" s="215">
        <v>23.1</v>
      </c>
      <c r="H717" s="103">
        <f t="shared" si="30"/>
        <v>19.766666666666669</v>
      </c>
      <c r="I717" s="215">
        <v>33</v>
      </c>
      <c r="J717" s="46" t="s">
        <v>38</v>
      </c>
      <c r="K717" s="46" t="s">
        <v>57</v>
      </c>
    </row>
    <row r="718" spans="2:11" x14ac:dyDescent="0.2">
      <c r="B718" s="215">
        <v>713</v>
      </c>
      <c r="C718" s="216">
        <v>42531</v>
      </c>
      <c r="D718" s="16">
        <v>0.84027777777777779</v>
      </c>
      <c r="E718" s="215">
        <v>17.600000000000001</v>
      </c>
      <c r="F718" s="215">
        <v>19.2</v>
      </c>
      <c r="G718" s="215">
        <v>22.1</v>
      </c>
      <c r="H718" s="103">
        <f t="shared" si="30"/>
        <v>19.633333333333333</v>
      </c>
      <c r="I718" s="215">
        <v>33</v>
      </c>
      <c r="J718" s="46" t="s">
        <v>39</v>
      </c>
      <c r="K718" s="46" t="s">
        <v>57</v>
      </c>
    </row>
    <row r="719" spans="2:11" x14ac:dyDescent="0.2">
      <c r="B719" s="215">
        <v>714</v>
      </c>
      <c r="C719" s="216">
        <v>42531</v>
      </c>
      <c r="D719" s="16">
        <v>0.96527777777777779</v>
      </c>
      <c r="E719" s="215">
        <v>17.8</v>
      </c>
      <c r="F719" s="215">
        <v>18.399999999999999</v>
      </c>
      <c r="G719" s="215">
        <v>19.100000000000001</v>
      </c>
      <c r="H719" s="103">
        <f t="shared" si="30"/>
        <v>18.433333333333334</v>
      </c>
      <c r="I719" s="215">
        <v>32</v>
      </c>
      <c r="J719" s="46" t="s">
        <v>39</v>
      </c>
      <c r="K719" s="46" t="s">
        <v>86</v>
      </c>
    </row>
    <row r="720" spans="2:11" x14ac:dyDescent="0.2">
      <c r="B720" s="215">
        <v>715</v>
      </c>
      <c r="C720" s="216">
        <v>42532</v>
      </c>
      <c r="D720" s="16">
        <v>9.375E-2</v>
      </c>
      <c r="E720" s="215">
        <v>17.7</v>
      </c>
      <c r="F720" s="215">
        <v>19.899999999999999</v>
      </c>
      <c r="G720" s="215">
        <v>20.2</v>
      </c>
      <c r="H720" s="103">
        <f t="shared" si="30"/>
        <v>19.266666666666666</v>
      </c>
      <c r="I720" s="215">
        <v>31</v>
      </c>
      <c r="J720" s="46" t="s">
        <v>38</v>
      </c>
      <c r="K720" s="46" t="s">
        <v>85</v>
      </c>
    </row>
    <row r="721" spans="2:11" x14ac:dyDescent="0.2">
      <c r="B721" s="217">
        <v>716</v>
      </c>
      <c r="C721" s="218">
        <v>42532</v>
      </c>
      <c r="D721" s="16">
        <v>0.44097222222222227</v>
      </c>
      <c r="E721" s="217">
        <v>18.899999999999999</v>
      </c>
      <c r="F721" s="217">
        <v>22.5</v>
      </c>
      <c r="G721" s="217">
        <v>23.4</v>
      </c>
      <c r="H721" s="103">
        <f t="shared" si="30"/>
        <v>21.599999999999998</v>
      </c>
      <c r="I721" s="217">
        <v>35</v>
      </c>
      <c r="J721" s="223" t="s">
        <v>38</v>
      </c>
      <c r="K721" s="223" t="s">
        <v>83</v>
      </c>
    </row>
    <row r="722" spans="2:11" x14ac:dyDescent="0.2">
      <c r="B722" s="217">
        <v>717</v>
      </c>
      <c r="C722" s="218">
        <v>42532</v>
      </c>
      <c r="D722" s="16">
        <v>0.61458333333333337</v>
      </c>
      <c r="E722" s="46">
        <v>18.2</v>
      </c>
      <c r="F722" s="46">
        <v>19.2</v>
      </c>
      <c r="G722" s="46">
        <v>22.2</v>
      </c>
      <c r="H722" s="103">
        <f t="shared" si="30"/>
        <v>19.866666666666664</v>
      </c>
      <c r="I722" s="46">
        <v>34</v>
      </c>
      <c r="J722" s="46" t="s">
        <v>39</v>
      </c>
      <c r="K722" s="46" t="s">
        <v>86</v>
      </c>
    </row>
    <row r="723" spans="2:11" x14ac:dyDescent="0.2">
      <c r="B723" s="217">
        <v>718</v>
      </c>
      <c r="C723" s="218">
        <v>42532</v>
      </c>
      <c r="D723" s="16">
        <v>0.76041666666666663</v>
      </c>
      <c r="E723" s="46">
        <v>17.2</v>
      </c>
      <c r="F723" s="46">
        <v>19.3</v>
      </c>
      <c r="G723" s="46">
        <v>23.1</v>
      </c>
      <c r="H723" s="103">
        <f t="shared" si="30"/>
        <v>19.866666666666667</v>
      </c>
      <c r="I723" s="46">
        <v>39</v>
      </c>
      <c r="J723" s="46" t="s">
        <v>39</v>
      </c>
      <c r="K723" s="46" t="s">
        <v>86</v>
      </c>
    </row>
    <row r="724" spans="2:11" x14ac:dyDescent="0.2">
      <c r="B724" s="217">
        <v>719</v>
      </c>
      <c r="C724" s="218">
        <v>42532</v>
      </c>
      <c r="D724" s="16">
        <v>0.96875</v>
      </c>
      <c r="E724" s="46">
        <v>19.600000000000001</v>
      </c>
      <c r="F724" s="46">
        <v>21.5</v>
      </c>
      <c r="G724" s="46">
        <v>22.9</v>
      </c>
      <c r="H724" s="103">
        <f t="shared" si="30"/>
        <v>21.333333333333332</v>
      </c>
      <c r="I724" s="46">
        <v>32</v>
      </c>
      <c r="J724" s="46" t="s">
        <v>38</v>
      </c>
      <c r="K724" s="46" t="s">
        <v>90</v>
      </c>
    </row>
    <row r="725" spans="2:11" x14ac:dyDescent="0.2">
      <c r="B725" s="217">
        <v>720</v>
      </c>
      <c r="C725" s="218">
        <v>42533</v>
      </c>
      <c r="D725" s="16">
        <v>0.11458333333333333</v>
      </c>
      <c r="E725" s="46">
        <v>21.5</v>
      </c>
      <c r="F725" s="46">
        <v>22</v>
      </c>
      <c r="G725" s="46">
        <v>23.7</v>
      </c>
      <c r="H725" s="103">
        <f t="shared" si="30"/>
        <v>22.400000000000002</v>
      </c>
      <c r="I725" s="46">
        <v>28</v>
      </c>
      <c r="J725" s="46" t="s">
        <v>39</v>
      </c>
      <c r="K725" s="46" t="s">
        <v>85</v>
      </c>
    </row>
    <row r="726" spans="2:11" x14ac:dyDescent="0.2">
      <c r="B726" s="217">
        <v>721</v>
      </c>
      <c r="C726" s="219">
        <v>42533</v>
      </c>
      <c r="D726" s="16">
        <v>0.51944444444444449</v>
      </c>
      <c r="E726" s="46">
        <v>18.7</v>
      </c>
      <c r="F726" s="46">
        <v>20.399999999999999</v>
      </c>
      <c r="G726" s="46">
        <v>21.2</v>
      </c>
      <c r="H726" s="103">
        <f t="shared" si="30"/>
        <v>20.099999999999998</v>
      </c>
      <c r="I726" s="46">
        <v>38</v>
      </c>
      <c r="J726" s="46" t="s">
        <v>38</v>
      </c>
      <c r="K726" s="46" t="s">
        <v>83</v>
      </c>
    </row>
    <row r="727" spans="2:11" x14ac:dyDescent="0.2">
      <c r="B727" s="217">
        <v>722</v>
      </c>
      <c r="C727" s="219">
        <v>42533</v>
      </c>
      <c r="D727" s="16">
        <v>0.67708333333333337</v>
      </c>
      <c r="E727" s="46">
        <v>18.3</v>
      </c>
      <c r="F727" s="46">
        <v>19.600000000000001</v>
      </c>
      <c r="G727" s="46">
        <v>22.8</v>
      </c>
      <c r="H727" s="103">
        <f t="shared" si="30"/>
        <v>20.233333333333334</v>
      </c>
      <c r="I727" s="46">
        <v>40</v>
      </c>
      <c r="J727" s="46" t="s">
        <v>39</v>
      </c>
      <c r="K727" s="46" t="s">
        <v>83</v>
      </c>
    </row>
    <row r="728" spans="2:11" x14ac:dyDescent="0.2">
      <c r="B728" s="217">
        <v>723</v>
      </c>
      <c r="C728" s="219">
        <v>42533</v>
      </c>
      <c r="D728" s="16">
        <v>0.8125</v>
      </c>
      <c r="E728" s="46">
        <v>18.5</v>
      </c>
      <c r="F728" s="46">
        <v>19.7</v>
      </c>
      <c r="G728" s="46">
        <v>22.8</v>
      </c>
      <c r="H728" s="103">
        <f t="shared" si="30"/>
        <v>20.333333333333332</v>
      </c>
      <c r="I728" s="46">
        <v>37</v>
      </c>
      <c r="J728" s="46" t="s">
        <v>38</v>
      </c>
      <c r="K728" s="46" t="s">
        <v>90</v>
      </c>
    </row>
    <row r="729" spans="2:11" x14ac:dyDescent="0.2">
      <c r="B729" s="217">
        <v>724</v>
      </c>
      <c r="C729" s="219">
        <v>42533</v>
      </c>
      <c r="D729" s="16">
        <v>0.97569444444444453</v>
      </c>
      <c r="E729" s="46">
        <v>17.899999999999999</v>
      </c>
      <c r="F729" s="46">
        <v>19.8</v>
      </c>
      <c r="G729" s="46">
        <v>23.3</v>
      </c>
      <c r="H729" s="103">
        <f t="shared" si="30"/>
        <v>20.333333333333332</v>
      </c>
      <c r="I729" s="46">
        <v>29</v>
      </c>
      <c r="J729" s="46" t="s">
        <v>38</v>
      </c>
      <c r="K729" s="46" t="s">
        <v>85</v>
      </c>
    </row>
    <row r="730" spans="2:11" x14ac:dyDescent="0.2">
      <c r="B730" s="217">
        <v>725</v>
      </c>
      <c r="C730" s="219">
        <v>42534</v>
      </c>
      <c r="D730" s="16">
        <v>9.0277777777777776E-2</v>
      </c>
      <c r="E730" s="46">
        <v>20.89</v>
      </c>
      <c r="F730" s="46">
        <v>22.8</v>
      </c>
      <c r="G730" s="46">
        <v>24.2</v>
      </c>
      <c r="H730" s="103">
        <f t="shared" si="30"/>
        <v>22.63</v>
      </c>
      <c r="I730" s="46">
        <v>27</v>
      </c>
      <c r="J730" s="46" t="s">
        <v>39</v>
      </c>
      <c r="K730" s="46" t="s">
        <v>85</v>
      </c>
    </row>
    <row r="731" spans="2:11" x14ac:dyDescent="0.2">
      <c r="B731" s="217">
        <v>726</v>
      </c>
      <c r="C731" s="220">
        <v>42534</v>
      </c>
      <c r="D731" s="16">
        <v>0.51180555555555551</v>
      </c>
      <c r="E731" s="46">
        <v>20.3</v>
      </c>
      <c r="F731" s="46">
        <v>21.4</v>
      </c>
      <c r="G731" s="46">
        <v>23.2</v>
      </c>
      <c r="H731" s="103">
        <f t="shared" si="30"/>
        <v>21.633333333333336</v>
      </c>
      <c r="I731" s="46">
        <v>49</v>
      </c>
      <c r="J731" s="46" t="s">
        <v>38</v>
      </c>
      <c r="K731" s="46" t="s">
        <v>83</v>
      </c>
    </row>
    <row r="732" spans="2:11" x14ac:dyDescent="0.2">
      <c r="B732" s="217">
        <v>727</v>
      </c>
      <c r="C732" s="220">
        <v>42534</v>
      </c>
      <c r="D732" s="16">
        <v>0.67708333333333337</v>
      </c>
      <c r="E732" s="46">
        <v>15.1</v>
      </c>
      <c r="F732" s="46">
        <v>17.3</v>
      </c>
      <c r="G732" s="46">
        <v>20.6</v>
      </c>
      <c r="H732" s="103">
        <f t="shared" si="30"/>
        <v>17.666666666666668</v>
      </c>
      <c r="I732" s="46">
        <v>35</v>
      </c>
      <c r="J732" s="46" t="s">
        <v>39</v>
      </c>
      <c r="K732" s="46" t="s">
        <v>83</v>
      </c>
    </row>
    <row r="733" spans="2:11" x14ac:dyDescent="0.2">
      <c r="B733" s="217">
        <v>728</v>
      </c>
      <c r="C733" s="220">
        <v>42534</v>
      </c>
      <c r="D733" s="16">
        <v>0.82291666666666663</v>
      </c>
      <c r="E733" s="46">
        <v>17</v>
      </c>
      <c r="F733" s="46">
        <v>18.399999999999999</v>
      </c>
      <c r="G733" s="46">
        <v>20.6</v>
      </c>
      <c r="H733" s="103">
        <f t="shared" si="30"/>
        <v>18.666666666666668</v>
      </c>
      <c r="I733" s="46">
        <v>37</v>
      </c>
      <c r="J733" s="46" t="s">
        <v>39</v>
      </c>
      <c r="K733" s="46" t="s">
        <v>86</v>
      </c>
    </row>
    <row r="734" spans="2:11" x14ac:dyDescent="0.2">
      <c r="B734" s="217">
        <v>729</v>
      </c>
      <c r="C734" s="220">
        <v>42534</v>
      </c>
      <c r="D734" s="16">
        <v>0.97222222222222221</v>
      </c>
      <c r="E734" s="46">
        <v>12.8</v>
      </c>
      <c r="F734" s="46">
        <v>15.6</v>
      </c>
      <c r="G734" s="46">
        <v>18.5</v>
      </c>
      <c r="H734" s="103">
        <f t="shared" si="30"/>
        <v>15.633333333333333</v>
      </c>
      <c r="I734" s="46">
        <v>32</v>
      </c>
      <c r="J734" s="46" t="s">
        <v>38</v>
      </c>
      <c r="K734" s="46" t="s">
        <v>85</v>
      </c>
    </row>
    <row r="735" spans="2:11" x14ac:dyDescent="0.2">
      <c r="B735" s="217">
        <v>730</v>
      </c>
      <c r="C735" s="220">
        <v>42535</v>
      </c>
      <c r="D735" s="16">
        <v>0.1111111111111111</v>
      </c>
      <c r="E735" s="46">
        <v>17.7</v>
      </c>
      <c r="F735" s="46">
        <v>18.600000000000001</v>
      </c>
      <c r="G735" s="46">
        <v>19.3</v>
      </c>
      <c r="H735" s="103">
        <f t="shared" si="30"/>
        <v>18.533333333333331</v>
      </c>
      <c r="I735" s="46">
        <v>30</v>
      </c>
      <c r="J735" s="46" t="s">
        <v>39</v>
      </c>
      <c r="K735" s="46" t="s">
        <v>85</v>
      </c>
    </row>
    <row r="736" spans="2:11" x14ac:dyDescent="0.2">
      <c r="B736" s="217">
        <v>731</v>
      </c>
      <c r="C736" s="221">
        <v>42535</v>
      </c>
      <c r="D736" s="16">
        <v>0.44097222222222227</v>
      </c>
      <c r="E736" s="46">
        <v>13.3</v>
      </c>
      <c r="F736" s="46">
        <v>14.6</v>
      </c>
      <c r="G736" s="46">
        <v>16.5</v>
      </c>
      <c r="H736" s="103">
        <f t="shared" si="30"/>
        <v>14.799999999999999</v>
      </c>
      <c r="I736" s="46">
        <v>39</v>
      </c>
      <c r="J736" s="46" t="s">
        <v>38</v>
      </c>
      <c r="K736" s="46" t="s">
        <v>83</v>
      </c>
    </row>
    <row r="737" spans="2:11" x14ac:dyDescent="0.2">
      <c r="B737" s="217">
        <v>732</v>
      </c>
      <c r="C737" s="221">
        <v>42535</v>
      </c>
      <c r="D737" s="16">
        <v>0.59027777777777779</v>
      </c>
      <c r="E737" s="46">
        <v>18.2</v>
      </c>
      <c r="F737" s="46">
        <v>18.899999999999999</v>
      </c>
      <c r="G737" s="46">
        <v>20.3</v>
      </c>
      <c r="H737" s="103">
        <f t="shared" si="30"/>
        <v>19.133333333333329</v>
      </c>
      <c r="I737" s="46">
        <v>35</v>
      </c>
      <c r="J737" s="46" t="s">
        <v>39</v>
      </c>
      <c r="K737" s="46" t="s">
        <v>86</v>
      </c>
    </row>
    <row r="738" spans="2:11" x14ac:dyDescent="0.2">
      <c r="B738" s="217">
        <v>733</v>
      </c>
      <c r="C738" s="221">
        <v>42535</v>
      </c>
      <c r="D738" s="16">
        <v>0.77083333333333337</v>
      </c>
      <c r="E738" s="46">
        <v>15.2</v>
      </c>
      <c r="F738" s="46">
        <v>18.600000000000001</v>
      </c>
      <c r="G738" s="46">
        <v>20.2</v>
      </c>
      <c r="H738" s="103">
        <f t="shared" si="30"/>
        <v>18</v>
      </c>
      <c r="I738" s="46">
        <v>35</v>
      </c>
      <c r="J738" s="46" t="s">
        <v>46</v>
      </c>
      <c r="K738" s="46" t="s">
        <v>86</v>
      </c>
    </row>
    <row r="739" spans="2:11" x14ac:dyDescent="0.2">
      <c r="B739" s="217">
        <v>734</v>
      </c>
      <c r="C739" s="221">
        <v>42535</v>
      </c>
      <c r="D739" s="16">
        <v>0.96875</v>
      </c>
      <c r="E739" s="46">
        <v>11.1</v>
      </c>
      <c r="F739" s="46">
        <v>14.2</v>
      </c>
      <c r="G739" s="46">
        <v>17.8</v>
      </c>
      <c r="H739" s="103">
        <f t="shared" si="30"/>
        <v>14.366666666666665</v>
      </c>
      <c r="I739" s="46">
        <v>34</v>
      </c>
      <c r="J739" s="46" t="s">
        <v>38</v>
      </c>
      <c r="K739" s="46" t="s">
        <v>85</v>
      </c>
    </row>
    <row r="740" spans="2:11" x14ac:dyDescent="0.2">
      <c r="B740" s="217">
        <v>735</v>
      </c>
      <c r="C740" s="221">
        <v>42536</v>
      </c>
      <c r="D740" s="16">
        <v>0.1111111111111111</v>
      </c>
      <c r="E740" s="46">
        <v>12.1</v>
      </c>
      <c r="F740" s="46">
        <v>16.8</v>
      </c>
      <c r="G740" s="46">
        <v>18.600000000000001</v>
      </c>
      <c r="H740" s="103">
        <f t="shared" si="30"/>
        <v>15.833333333333334</v>
      </c>
      <c r="I740" s="46">
        <v>45</v>
      </c>
      <c r="J740" s="46" t="s">
        <v>39</v>
      </c>
      <c r="K740" s="46" t="s">
        <v>85</v>
      </c>
    </row>
    <row r="741" spans="2:11" x14ac:dyDescent="0.2">
      <c r="B741" s="217">
        <v>736</v>
      </c>
      <c r="C741" s="222">
        <v>42536</v>
      </c>
      <c r="D741" s="16">
        <v>0.43194444444444446</v>
      </c>
      <c r="E741" s="46">
        <v>15.9</v>
      </c>
      <c r="F741" s="46">
        <v>17.3</v>
      </c>
      <c r="G741" s="46">
        <v>18.8</v>
      </c>
      <c r="H741" s="103">
        <f t="shared" si="30"/>
        <v>17.333333333333332</v>
      </c>
      <c r="I741" s="46">
        <v>38</v>
      </c>
      <c r="J741" s="46" t="s">
        <v>38</v>
      </c>
      <c r="K741" s="46" t="s">
        <v>86</v>
      </c>
    </row>
    <row r="742" spans="2:11" x14ac:dyDescent="0.2">
      <c r="B742" s="217">
        <v>737</v>
      </c>
      <c r="C742" s="222">
        <v>42536</v>
      </c>
      <c r="D742" s="16">
        <v>0.59375</v>
      </c>
      <c r="E742" s="46">
        <v>18.7</v>
      </c>
      <c r="F742" s="46">
        <v>20.100000000000001</v>
      </c>
      <c r="G742" s="46">
        <v>23.2</v>
      </c>
      <c r="H742" s="103">
        <f t="shared" si="30"/>
        <v>20.666666666666668</v>
      </c>
      <c r="I742" s="46">
        <v>31</v>
      </c>
      <c r="J742" s="46" t="s">
        <v>39</v>
      </c>
      <c r="K742" s="46" t="s">
        <v>83</v>
      </c>
    </row>
    <row r="743" spans="2:11" x14ac:dyDescent="0.2">
      <c r="B743" s="217">
        <v>738</v>
      </c>
      <c r="C743" s="222">
        <v>42536</v>
      </c>
      <c r="D743" s="16">
        <v>0.75</v>
      </c>
      <c r="E743" s="46">
        <v>14.3</v>
      </c>
      <c r="F743" s="46">
        <v>15.6</v>
      </c>
      <c r="G743" s="46">
        <v>18.100000000000001</v>
      </c>
      <c r="H743" s="103">
        <f t="shared" si="30"/>
        <v>16</v>
      </c>
      <c r="I743" s="46">
        <v>32</v>
      </c>
      <c r="J743" s="46" t="s">
        <v>39</v>
      </c>
      <c r="K743" s="46" t="s">
        <v>90</v>
      </c>
    </row>
    <row r="744" spans="2:11" x14ac:dyDescent="0.2">
      <c r="B744" s="217">
        <v>739</v>
      </c>
      <c r="C744" s="222">
        <v>42536</v>
      </c>
      <c r="D744" s="16">
        <v>0.96527777777777779</v>
      </c>
      <c r="E744" s="46">
        <v>11.6</v>
      </c>
      <c r="F744" s="46">
        <v>14.8</v>
      </c>
      <c r="G744" s="46">
        <v>17.7</v>
      </c>
      <c r="H744" s="103">
        <f t="shared" si="30"/>
        <v>14.699999999999998</v>
      </c>
      <c r="I744" s="46">
        <v>32</v>
      </c>
      <c r="J744" s="46" t="s">
        <v>38</v>
      </c>
      <c r="K744" s="46" t="s">
        <v>85</v>
      </c>
    </row>
    <row r="745" spans="2:11" x14ac:dyDescent="0.2">
      <c r="B745" s="217">
        <v>740</v>
      </c>
      <c r="C745" s="222">
        <v>42537</v>
      </c>
      <c r="D745" s="16">
        <v>0.1111111111111111</v>
      </c>
      <c r="E745" s="46">
        <v>13.8</v>
      </c>
      <c r="F745" s="46">
        <v>16.5</v>
      </c>
      <c r="G745" s="46">
        <v>20.399999999999999</v>
      </c>
      <c r="H745" s="103">
        <f t="shared" si="30"/>
        <v>16.900000000000002</v>
      </c>
      <c r="I745" s="46">
        <v>34</v>
      </c>
      <c r="J745" s="46" t="s">
        <v>39</v>
      </c>
      <c r="K745" s="46" t="s">
        <v>85</v>
      </c>
    </row>
    <row r="746" spans="2:11" x14ac:dyDescent="0.2">
      <c r="B746" s="217">
        <v>741</v>
      </c>
      <c r="C746" s="224">
        <v>42537</v>
      </c>
      <c r="D746" s="16">
        <v>0.47500000000000003</v>
      </c>
      <c r="E746" s="46">
        <v>11.8</v>
      </c>
      <c r="F746" s="46">
        <v>12.2</v>
      </c>
      <c r="G746" s="46">
        <v>14.6</v>
      </c>
      <c r="H746" s="103">
        <f t="shared" si="30"/>
        <v>12.866666666666667</v>
      </c>
      <c r="I746" s="46">
        <v>32</v>
      </c>
      <c r="J746" s="46" t="s">
        <v>38</v>
      </c>
      <c r="K746" s="46" t="s">
        <v>83</v>
      </c>
    </row>
    <row r="747" spans="2:11" x14ac:dyDescent="0.2">
      <c r="B747" s="217">
        <v>742</v>
      </c>
      <c r="C747" s="224">
        <v>42537</v>
      </c>
      <c r="D747" s="16">
        <v>0.625</v>
      </c>
      <c r="E747" s="46">
        <v>12.1</v>
      </c>
      <c r="F747" s="46">
        <v>14.2</v>
      </c>
      <c r="G747" s="46">
        <v>17.8</v>
      </c>
      <c r="H747" s="103">
        <f t="shared" si="30"/>
        <v>14.699999999999998</v>
      </c>
      <c r="I747" s="46">
        <v>34</v>
      </c>
      <c r="J747" s="46" t="s">
        <v>39</v>
      </c>
      <c r="K747" s="46" t="s">
        <v>86</v>
      </c>
    </row>
    <row r="748" spans="2:11" x14ac:dyDescent="0.2">
      <c r="B748" s="217">
        <v>743</v>
      </c>
      <c r="C748" s="224">
        <v>42537</v>
      </c>
      <c r="D748" s="16">
        <v>0.76041666666666663</v>
      </c>
      <c r="E748" s="46">
        <v>15.4</v>
      </c>
      <c r="F748" s="46">
        <v>17</v>
      </c>
      <c r="G748" s="46">
        <v>19.600000000000001</v>
      </c>
      <c r="H748" s="103">
        <f t="shared" si="30"/>
        <v>17.333333333333332</v>
      </c>
      <c r="I748" s="46">
        <v>39</v>
      </c>
      <c r="J748" s="46" t="s">
        <v>39</v>
      </c>
      <c r="K748" s="46" t="s">
        <v>83</v>
      </c>
    </row>
    <row r="749" spans="2:11" x14ac:dyDescent="0.2">
      <c r="B749" s="217">
        <v>744</v>
      </c>
      <c r="C749" s="224">
        <v>42537</v>
      </c>
      <c r="D749" s="16">
        <v>0.96527777777777779</v>
      </c>
      <c r="E749" s="46">
        <v>9.1</v>
      </c>
      <c r="F749" s="46">
        <v>10.7</v>
      </c>
      <c r="G749" s="46">
        <v>11</v>
      </c>
      <c r="H749" s="103">
        <f t="shared" si="30"/>
        <v>10.266666666666666</v>
      </c>
      <c r="I749" s="46">
        <v>33</v>
      </c>
      <c r="J749" s="46" t="s">
        <v>38</v>
      </c>
      <c r="K749" s="46" t="s">
        <v>85</v>
      </c>
    </row>
    <row r="750" spans="2:11" x14ac:dyDescent="0.2">
      <c r="B750" s="217">
        <v>745</v>
      </c>
      <c r="C750" s="224">
        <v>42538</v>
      </c>
      <c r="D750" s="16">
        <v>0.1111111111111111</v>
      </c>
      <c r="E750" s="46">
        <v>12</v>
      </c>
      <c r="F750" s="46">
        <v>14.9</v>
      </c>
      <c r="G750" s="46">
        <v>15.6</v>
      </c>
      <c r="H750" s="103">
        <f t="shared" si="30"/>
        <v>14.166666666666666</v>
      </c>
      <c r="I750" s="46">
        <v>40</v>
      </c>
      <c r="J750" s="46" t="s">
        <v>39</v>
      </c>
      <c r="K750" s="46" t="s">
        <v>85</v>
      </c>
    </row>
    <row r="751" spans="2:11" x14ac:dyDescent="0.2">
      <c r="B751" s="217">
        <v>746</v>
      </c>
      <c r="C751" s="226">
        <v>42538</v>
      </c>
      <c r="D751" s="16">
        <v>0.44791666666666669</v>
      </c>
      <c r="E751" s="46">
        <v>11.4</v>
      </c>
      <c r="F751" s="225">
        <v>14.6</v>
      </c>
      <c r="G751" s="46">
        <v>17.8</v>
      </c>
      <c r="H751" s="103">
        <f t="shared" si="30"/>
        <v>14.6</v>
      </c>
      <c r="I751" s="46">
        <v>39</v>
      </c>
      <c r="J751" s="46" t="s">
        <v>38</v>
      </c>
      <c r="K751" s="46" t="s">
        <v>86</v>
      </c>
    </row>
    <row r="752" spans="2:11" x14ac:dyDescent="0.2">
      <c r="B752" s="217">
        <v>747</v>
      </c>
      <c r="C752" s="226">
        <v>42538</v>
      </c>
      <c r="D752" s="16">
        <v>0.59375</v>
      </c>
      <c r="E752" s="46">
        <v>13.2</v>
      </c>
      <c r="F752" s="46">
        <v>13.6</v>
      </c>
      <c r="G752" s="46">
        <v>17.2</v>
      </c>
      <c r="H752" s="103">
        <f t="shared" si="30"/>
        <v>14.666666666666666</v>
      </c>
      <c r="I752" s="46">
        <v>42</v>
      </c>
      <c r="J752" s="46" t="s">
        <v>39</v>
      </c>
      <c r="K752" s="46" t="s">
        <v>86</v>
      </c>
    </row>
    <row r="753" spans="2:14" x14ac:dyDescent="0.2">
      <c r="B753" s="217">
        <v>748</v>
      </c>
      <c r="C753" s="226">
        <v>42538</v>
      </c>
      <c r="D753" s="16">
        <v>0.88888888888888884</v>
      </c>
      <c r="E753" s="46">
        <v>18.2</v>
      </c>
      <c r="F753" s="46">
        <v>20.6</v>
      </c>
      <c r="G753" s="46">
        <v>23.1</v>
      </c>
      <c r="H753" s="103">
        <f t="shared" si="30"/>
        <v>20.633333333333333</v>
      </c>
      <c r="I753" s="46">
        <v>37</v>
      </c>
      <c r="J753" s="46" t="s">
        <v>38</v>
      </c>
      <c r="K753" s="46" t="s">
        <v>85</v>
      </c>
    </row>
    <row r="754" spans="2:14" x14ac:dyDescent="0.2">
      <c r="B754" s="217">
        <v>749</v>
      </c>
      <c r="C754" s="226">
        <v>42539</v>
      </c>
      <c r="D754" s="16">
        <v>2.7777777777777776E-2</v>
      </c>
      <c r="E754" s="46">
        <v>10.7</v>
      </c>
      <c r="F754" s="46">
        <v>12.5</v>
      </c>
      <c r="G754" s="46">
        <v>13.4</v>
      </c>
      <c r="H754" s="103">
        <f t="shared" si="30"/>
        <v>12.200000000000001</v>
      </c>
      <c r="I754" s="46">
        <v>40</v>
      </c>
      <c r="J754" s="46" t="s">
        <v>39</v>
      </c>
      <c r="K754" s="46" t="s">
        <v>85</v>
      </c>
    </row>
    <row r="755" spans="2:14" x14ac:dyDescent="0.2">
      <c r="B755" s="217">
        <v>750</v>
      </c>
      <c r="C755" s="226">
        <v>42539</v>
      </c>
      <c r="D755" s="16">
        <v>0.18055555555555555</v>
      </c>
      <c r="E755" s="46">
        <v>8.6999999999999993</v>
      </c>
      <c r="F755" s="46">
        <v>11.1</v>
      </c>
      <c r="G755" s="46">
        <v>12</v>
      </c>
      <c r="H755" s="103">
        <f t="shared" si="30"/>
        <v>10.6</v>
      </c>
      <c r="I755" s="46">
        <v>31</v>
      </c>
      <c r="J755" s="46" t="s">
        <v>39</v>
      </c>
      <c r="K755" s="46" t="s">
        <v>85</v>
      </c>
    </row>
    <row r="756" spans="2:14" x14ac:dyDescent="0.2">
      <c r="B756" s="227">
        <v>751</v>
      </c>
      <c r="C756" s="228">
        <v>42539</v>
      </c>
      <c r="D756" s="16">
        <v>0.47222222222222227</v>
      </c>
      <c r="E756" s="46">
        <v>15.5</v>
      </c>
      <c r="F756" s="46">
        <v>17.7</v>
      </c>
      <c r="G756" s="46">
        <v>21.8</v>
      </c>
      <c r="H756" s="103">
        <f t="shared" si="30"/>
        <v>18.333333333333332</v>
      </c>
      <c r="I756" s="46">
        <v>35</v>
      </c>
      <c r="J756" s="46" t="s">
        <v>38</v>
      </c>
      <c r="K756" s="46" t="s">
        <v>57</v>
      </c>
    </row>
    <row r="757" spans="2:14" x14ac:dyDescent="0.2">
      <c r="B757" s="227">
        <v>752</v>
      </c>
      <c r="C757" s="228">
        <v>42539</v>
      </c>
      <c r="D757" s="16">
        <v>0.59722222222222221</v>
      </c>
      <c r="E757" s="46">
        <v>8.9</v>
      </c>
      <c r="F757" s="46">
        <v>12.3</v>
      </c>
      <c r="G757" s="46">
        <v>13.3</v>
      </c>
      <c r="H757" s="103">
        <f t="shared" si="30"/>
        <v>11.5</v>
      </c>
      <c r="I757" s="46">
        <v>34</v>
      </c>
      <c r="J757" s="46" t="s">
        <v>39</v>
      </c>
      <c r="K757" s="46" t="s">
        <v>83</v>
      </c>
    </row>
    <row r="758" spans="2:14" x14ac:dyDescent="0.2">
      <c r="B758" s="227">
        <v>753</v>
      </c>
      <c r="C758" s="228">
        <v>42539</v>
      </c>
      <c r="D758" s="16">
        <v>0.81597222222222221</v>
      </c>
      <c r="E758" s="46">
        <v>17.2</v>
      </c>
      <c r="F758" s="46">
        <v>20.100000000000001</v>
      </c>
      <c r="G758" s="46">
        <v>20.6</v>
      </c>
      <c r="H758" s="103">
        <f t="shared" si="30"/>
        <v>19.3</v>
      </c>
      <c r="I758" s="46">
        <v>33</v>
      </c>
      <c r="J758" s="46" t="s">
        <v>38</v>
      </c>
      <c r="K758" s="46" t="s">
        <v>85</v>
      </c>
    </row>
    <row r="759" spans="2:14" x14ac:dyDescent="0.2">
      <c r="B759" s="227">
        <v>754</v>
      </c>
      <c r="C759" s="228">
        <v>42539</v>
      </c>
      <c r="D759" s="16">
        <v>0.97222222222222221</v>
      </c>
      <c r="E759" s="46">
        <v>19.7</v>
      </c>
      <c r="F759" s="46">
        <v>21.9</v>
      </c>
      <c r="G759" s="46">
        <v>24.4</v>
      </c>
      <c r="H759" s="103">
        <f t="shared" si="30"/>
        <v>22</v>
      </c>
      <c r="I759" s="46">
        <v>43</v>
      </c>
      <c r="J759" s="46" t="s">
        <v>38</v>
      </c>
      <c r="K759" s="46" t="s">
        <v>85</v>
      </c>
    </row>
    <row r="760" spans="2:14" x14ac:dyDescent="0.2">
      <c r="B760" s="227">
        <v>755</v>
      </c>
      <c r="C760" s="229">
        <v>42540</v>
      </c>
      <c r="D760" s="16">
        <v>0.45833333333333331</v>
      </c>
      <c r="E760" s="46">
        <v>13.2</v>
      </c>
      <c r="F760" s="46">
        <v>13.9</v>
      </c>
      <c r="G760" s="46">
        <v>15.8</v>
      </c>
      <c r="H760" s="103">
        <f t="shared" si="30"/>
        <v>14.300000000000002</v>
      </c>
      <c r="I760" s="46">
        <v>39</v>
      </c>
      <c r="J760" s="46" t="s">
        <v>38</v>
      </c>
      <c r="K760" s="46" t="s">
        <v>86</v>
      </c>
    </row>
    <row r="761" spans="2:14" x14ac:dyDescent="0.2">
      <c r="B761" s="227">
        <v>756</v>
      </c>
      <c r="C761" s="229">
        <v>42540</v>
      </c>
      <c r="D761" s="16">
        <v>0.63541666666666663</v>
      </c>
      <c r="E761" s="46">
        <v>15.8</v>
      </c>
      <c r="F761" s="46">
        <v>18</v>
      </c>
      <c r="G761" s="46">
        <v>21.6</v>
      </c>
      <c r="H761" s="103">
        <f t="shared" si="30"/>
        <v>18.466666666666665</v>
      </c>
      <c r="I761" s="46">
        <v>35</v>
      </c>
      <c r="J761" s="46" t="s">
        <v>39</v>
      </c>
      <c r="K761" s="46" t="s">
        <v>86</v>
      </c>
    </row>
    <row r="762" spans="2:14" x14ac:dyDescent="0.2">
      <c r="B762" s="227">
        <v>757</v>
      </c>
      <c r="C762" s="229">
        <v>42540</v>
      </c>
      <c r="D762" s="16">
        <v>0.78125</v>
      </c>
      <c r="E762" s="46">
        <v>15.1</v>
      </c>
      <c r="F762" s="46">
        <v>17.2</v>
      </c>
      <c r="G762" s="46">
        <v>18.7</v>
      </c>
      <c r="H762" s="103">
        <f t="shared" si="30"/>
        <v>17</v>
      </c>
      <c r="I762" s="46">
        <v>49</v>
      </c>
      <c r="J762" s="46" t="s">
        <v>46</v>
      </c>
      <c r="K762" s="46" t="s">
        <v>86</v>
      </c>
    </row>
    <row r="763" spans="2:14" ht="15" customHeight="1" x14ac:dyDescent="0.2">
      <c r="B763" s="227">
        <v>758</v>
      </c>
      <c r="C763" s="231">
        <v>42540</v>
      </c>
      <c r="D763" s="16">
        <v>0.97222222222222221</v>
      </c>
      <c r="E763" s="46">
        <v>10.9</v>
      </c>
      <c r="F763" s="46">
        <v>14.7</v>
      </c>
      <c r="G763" s="46">
        <v>15.2</v>
      </c>
      <c r="H763" s="103">
        <f t="shared" si="30"/>
        <v>13.6</v>
      </c>
      <c r="I763" s="46">
        <v>28</v>
      </c>
      <c r="J763" s="46" t="s">
        <v>38</v>
      </c>
      <c r="K763" s="46" t="s">
        <v>85</v>
      </c>
      <c r="L763" s="1157" t="s">
        <v>96</v>
      </c>
      <c r="M763" s="233"/>
      <c r="N763" s="233"/>
    </row>
    <row r="764" spans="2:14" ht="15" customHeight="1" x14ac:dyDescent="0.2">
      <c r="B764" s="227">
        <v>759</v>
      </c>
      <c r="C764" s="231">
        <v>42541</v>
      </c>
      <c r="D764" s="16">
        <v>0.1111111111111111</v>
      </c>
      <c r="E764" s="46">
        <v>17.7</v>
      </c>
      <c r="F764" s="46">
        <v>19.100000000000001</v>
      </c>
      <c r="G764" s="46">
        <v>23.6</v>
      </c>
      <c r="H764" s="103">
        <v>21.1</v>
      </c>
      <c r="I764" s="46">
        <v>34</v>
      </c>
      <c r="J764" s="46" t="s">
        <v>39</v>
      </c>
      <c r="K764" s="46" t="s">
        <v>85</v>
      </c>
      <c r="L764" s="1157"/>
      <c r="M764" s="233"/>
      <c r="N764" s="233"/>
    </row>
    <row r="765" spans="2:14" x14ac:dyDescent="0.2">
      <c r="B765" s="227">
        <v>760</v>
      </c>
      <c r="C765" s="231">
        <v>42541</v>
      </c>
      <c r="D765" s="16">
        <v>0.45555555555555555</v>
      </c>
      <c r="E765" s="46">
        <v>15.7</v>
      </c>
      <c r="F765" s="46">
        <v>18.399999999999999</v>
      </c>
      <c r="G765" s="46">
        <v>20.3</v>
      </c>
      <c r="H765" s="103">
        <f t="shared" si="30"/>
        <v>18.133333333333329</v>
      </c>
      <c r="I765" s="46">
        <v>24</v>
      </c>
      <c r="J765" s="46" t="s">
        <v>38</v>
      </c>
      <c r="K765" s="46" t="s">
        <v>85</v>
      </c>
      <c r="L765" s="50" t="s">
        <v>92</v>
      </c>
    </row>
    <row r="766" spans="2:14" x14ac:dyDescent="0.2">
      <c r="B766" s="227">
        <v>761</v>
      </c>
      <c r="C766" s="231">
        <v>42541</v>
      </c>
      <c r="D766" s="16">
        <v>0.61111111111111105</v>
      </c>
      <c r="E766" s="46">
        <v>18.899999999999999</v>
      </c>
      <c r="F766" s="46">
        <v>20.6</v>
      </c>
      <c r="G766" s="46">
        <v>23.1</v>
      </c>
      <c r="H766" s="103">
        <f t="shared" si="30"/>
        <v>20.866666666666667</v>
      </c>
      <c r="I766" s="46">
        <v>30</v>
      </c>
      <c r="J766" s="46" t="s">
        <v>39</v>
      </c>
      <c r="K766" s="46" t="s">
        <v>90</v>
      </c>
      <c r="L766" s="50" t="s">
        <v>93</v>
      </c>
    </row>
    <row r="767" spans="2:14" x14ac:dyDescent="0.2">
      <c r="B767" s="227">
        <v>762</v>
      </c>
      <c r="C767" s="231">
        <v>42541</v>
      </c>
      <c r="D767" s="16">
        <v>0.74305555555555547</v>
      </c>
      <c r="E767" s="46">
        <v>17.100000000000001</v>
      </c>
      <c r="F767" s="46">
        <v>18.7</v>
      </c>
      <c r="G767" s="46">
        <v>23.2</v>
      </c>
      <c r="H767" s="103">
        <f t="shared" si="30"/>
        <v>19.666666666666668</v>
      </c>
      <c r="I767" s="46">
        <v>32</v>
      </c>
      <c r="J767" s="46" t="s">
        <v>46</v>
      </c>
      <c r="K767" s="46" t="s">
        <v>90</v>
      </c>
      <c r="L767" s="50" t="s">
        <v>94</v>
      </c>
    </row>
    <row r="768" spans="2:14" x14ac:dyDescent="0.2">
      <c r="B768" s="230">
        <v>763</v>
      </c>
      <c r="C768" s="231">
        <v>42541</v>
      </c>
      <c r="D768" s="16">
        <v>0.91666666666666663</v>
      </c>
      <c r="E768" s="46">
        <v>17.600000000000001</v>
      </c>
      <c r="F768" s="46">
        <v>18.2</v>
      </c>
      <c r="G768" s="46">
        <v>21.3</v>
      </c>
      <c r="H768" s="103">
        <f t="shared" si="30"/>
        <v>19.033333333333331</v>
      </c>
      <c r="I768" s="46">
        <v>33</v>
      </c>
      <c r="J768" s="46" t="s">
        <v>39</v>
      </c>
      <c r="K768" s="46" t="s">
        <v>86</v>
      </c>
      <c r="L768" s="50" t="s">
        <v>93</v>
      </c>
    </row>
    <row r="769" spans="2:12" x14ac:dyDescent="0.2">
      <c r="B769" s="230">
        <v>764</v>
      </c>
      <c r="C769" s="232">
        <v>42542</v>
      </c>
      <c r="D769" s="16">
        <v>0.1111111111111111</v>
      </c>
      <c r="E769" s="46">
        <v>13.8</v>
      </c>
      <c r="F769" s="46">
        <v>17.399999999999999</v>
      </c>
      <c r="G769" s="46">
        <v>18.7</v>
      </c>
      <c r="H769" s="103">
        <f t="shared" si="30"/>
        <v>16.633333333333333</v>
      </c>
      <c r="I769" s="46">
        <v>35</v>
      </c>
      <c r="J769" s="46" t="s">
        <v>39</v>
      </c>
      <c r="K769" s="46" t="s">
        <v>86</v>
      </c>
      <c r="L769" s="50" t="s">
        <v>95</v>
      </c>
    </row>
    <row r="770" spans="2:12" x14ac:dyDescent="0.2">
      <c r="B770" s="230">
        <v>765</v>
      </c>
      <c r="C770" s="232">
        <v>42543</v>
      </c>
      <c r="D770" s="16">
        <v>0.40625</v>
      </c>
      <c r="E770" s="46">
        <v>10.9</v>
      </c>
      <c r="F770" s="46">
        <v>12.6</v>
      </c>
      <c r="G770" s="46">
        <v>16.8</v>
      </c>
      <c r="H770" s="103">
        <f t="shared" si="30"/>
        <v>13.433333333333332</v>
      </c>
      <c r="I770" s="46">
        <v>37</v>
      </c>
      <c r="J770" s="46" t="s">
        <v>38</v>
      </c>
      <c r="K770" s="46" t="s">
        <v>90</v>
      </c>
      <c r="L770" s="51" t="s">
        <v>97</v>
      </c>
    </row>
    <row r="771" spans="2:12" x14ac:dyDescent="0.2">
      <c r="B771" s="230">
        <v>766</v>
      </c>
      <c r="C771" s="232">
        <v>42543</v>
      </c>
      <c r="D771" s="16">
        <v>0.55208333333333337</v>
      </c>
      <c r="E771" s="46">
        <v>17.2</v>
      </c>
      <c r="F771" s="46">
        <v>19.899999999999999</v>
      </c>
      <c r="G771" s="46">
        <v>23.2</v>
      </c>
      <c r="H771" s="103">
        <f t="shared" si="30"/>
        <v>20.099999999999998</v>
      </c>
      <c r="I771" s="46">
        <v>29</v>
      </c>
      <c r="J771" s="46" t="s">
        <v>38</v>
      </c>
      <c r="K771" s="46" t="s">
        <v>85</v>
      </c>
      <c r="L771" s="51" t="s">
        <v>97</v>
      </c>
    </row>
    <row r="772" spans="2:12" x14ac:dyDescent="0.2">
      <c r="B772" s="230">
        <v>767</v>
      </c>
      <c r="C772" s="232">
        <v>42543</v>
      </c>
      <c r="D772" s="16">
        <v>0.92499999999999993</v>
      </c>
      <c r="E772" s="46">
        <v>16.7</v>
      </c>
      <c r="F772" s="46">
        <v>17.8</v>
      </c>
      <c r="G772" s="46">
        <v>19.899999999999999</v>
      </c>
      <c r="H772" s="103">
        <f t="shared" si="30"/>
        <v>18.133333333333333</v>
      </c>
      <c r="I772" s="46">
        <v>40</v>
      </c>
      <c r="J772" s="46" t="s">
        <v>38</v>
      </c>
      <c r="K772" s="46" t="s">
        <v>86</v>
      </c>
      <c r="L772" s="51" t="s">
        <v>97</v>
      </c>
    </row>
    <row r="773" spans="2:12" x14ac:dyDescent="0.2">
      <c r="B773" s="230">
        <v>768</v>
      </c>
      <c r="C773" s="235">
        <v>42544</v>
      </c>
      <c r="D773" s="16">
        <v>0.4861111111111111</v>
      </c>
      <c r="E773" s="234">
        <v>10.9</v>
      </c>
      <c r="F773" s="234">
        <v>11.4</v>
      </c>
      <c r="G773" s="234">
        <v>14.9</v>
      </c>
      <c r="H773" s="103">
        <f t="shared" si="30"/>
        <v>12.4</v>
      </c>
      <c r="I773" s="234">
        <v>44</v>
      </c>
      <c r="J773" s="46" t="s">
        <v>38</v>
      </c>
      <c r="K773" s="46" t="s">
        <v>85</v>
      </c>
      <c r="L773" s="50" t="s">
        <v>98</v>
      </c>
    </row>
    <row r="774" spans="2:12" x14ac:dyDescent="0.2">
      <c r="B774" s="230">
        <v>769</v>
      </c>
      <c r="C774" s="235">
        <v>42544</v>
      </c>
      <c r="D774" s="16">
        <v>0.60763888888888895</v>
      </c>
      <c r="E774" s="234">
        <v>18.899999999999999</v>
      </c>
      <c r="F774" s="234">
        <v>20</v>
      </c>
      <c r="G774" s="234">
        <v>23.2</v>
      </c>
      <c r="H774" s="103">
        <f t="shared" si="30"/>
        <v>20.7</v>
      </c>
      <c r="I774" s="234">
        <v>33</v>
      </c>
      <c r="J774" s="46" t="s">
        <v>39</v>
      </c>
      <c r="K774" s="46" t="s">
        <v>85</v>
      </c>
      <c r="L774" s="50" t="s">
        <v>99</v>
      </c>
    </row>
    <row r="775" spans="2:12" x14ac:dyDescent="0.2">
      <c r="B775" s="230">
        <v>770</v>
      </c>
      <c r="C775" s="239">
        <v>42545</v>
      </c>
      <c r="D775" s="16">
        <v>2.7777777777777776E-2</v>
      </c>
      <c r="E775" s="234">
        <v>18.7</v>
      </c>
      <c r="F775" s="234">
        <v>20.2</v>
      </c>
      <c r="G775" s="234">
        <v>21.4</v>
      </c>
      <c r="H775" s="103">
        <f t="shared" si="30"/>
        <v>20.099999999999998</v>
      </c>
      <c r="I775" s="234">
        <v>36</v>
      </c>
      <c r="J775" s="46" t="s">
        <v>38</v>
      </c>
      <c r="K775" s="46" t="s">
        <v>86</v>
      </c>
      <c r="L775" s="51" t="s">
        <v>100</v>
      </c>
    </row>
    <row r="776" spans="2:12" x14ac:dyDescent="0.2">
      <c r="B776" s="230">
        <v>771</v>
      </c>
      <c r="C776" s="237">
        <v>42545</v>
      </c>
      <c r="D776" s="16">
        <v>0.43402777777777773</v>
      </c>
      <c r="E776" s="236">
        <v>19.3</v>
      </c>
      <c r="F776" s="236">
        <v>22.4</v>
      </c>
      <c r="G776" s="236">
        <v>23.6</v>
      </c>
      <c r="H776" s="103">
        <f t="shared" si="30"/>
        <v>21.766666666666669</v>
      </c>
      <c r="I776" s="236">
        <v>36</v>
      </c>
      <c r="J776" s="46" t="s">
        <v>38</v>
      </c>
      <c r="K776" s="46" t="s">
        <v>85</v>
      </c>
      <c r="L776" s="50" t="s">
        <v>98</v>
      </c>
    </row>
    <row r="777" spans="2:12" x14ac:dyDescent="0.2">
      <c r="B777" s="230">
        <v>772</v>
      </c>
      <c r="C777" s="237">
        <v>42545</v>
      </c>
      <c r="D777" s="16">
        <v>0.59722222222222221</v>
      </c>
      <c r="E777" s="236">
        <v>16.8</v>
      </c>
      <c r="F777" s="236">
        <v>17.600000000000001</v>
      </c>
      <c r="G777" s="236">
        <v>19.2</v>
      </c>
      <c r="H777" s="103">
        <f t="shared" si="30"/>
        <v>17.866666666666671</v>
      </c>
      <c r="I777" s="236">
        <v>39</v>
      </c>
      <c r="J777" s="46" t="s">
        <v>39</v>
      </c>
      <c r="K777" s="46" t="s">
        <v>85</v>
      </c>
      <c r="L777" s="50" t="s">
        <v>94</v>
      </c>
    </row>
    <row r="778" spans="2:12" x14ac:dyDescent="0.2">
      <c r="B778" s="230">
        <v>773</v>
      </c>
      <c r="C778" s="237">
        <v>42545</v>
      </c>
      <c r="D778" s="16">
        <v>0.77430555555555547</v>
      </c>
      <c r="E778" s="236">
        <v>11.6</v>
      </c>
      <c r="F778" s="236">
        <v>12.9</v>
      </c>
      <c r="G778" s="236">
        <v>14.8</v>
      </c>
      <c r="H778" s="103">
        <f t="shared" si="30"/>
        <v>13.1</v>
      </c>
      <c r="I778" s="236">
        <v>29</v>
      </c>
      <c r="J778" s="46" t="s">
        <v>46</v>
      </c>
      <c r="K778" s="46" t="s">
        <v>85</v>
      </c>
      <c r="L778" s="50" t="s">
        <v>99</v>
      </c>
    </row>
    <row r="779" spans="2:12" x14ac:dyDescent="0.2">
      <c r="B779" s="236">
        <v>774</v>
      </c>
      <c r="C779" s="239">
        <v>42546</v>
      </c>
      <c r="D779" s="16">
        <v>2.7777777777777776E-2</v>
      </c>
      <c r="E779" s="236">
        <v>18.600000000000001</v>
      </c>
      <c r="F779" s="236">
        <v>19.100000000000001</v>
      </c>
      <c r="G779" s="236">
        <v>21.8</v>
      </c>
      <c r="H779" s="103">
        <f t="shared" si="30"/>
        <v>19.833333333333332</v>
      </c>
      <c r="I779" s="236">
        <v>42</v>
      </c>
      <c r="J779" s="46" t="s">
        <v>38</v>
      </c>
      <c r="K779" s="46" t="s">
        <v>86</v>
      </c>
      <c r="L779" s="51" t="s">
        <v>100</v>
      </c>
    </row>
    <row r="780" spans="2:12" x14ac:dyDescent="0.2">
      <c r="B780" s="236">
        <v>775</v>
      </c>
      <c r="C780" s="239">
        <v>42546</v>
      </c>
      <c r="D780" s="16">
        <v>0.17361111111111113</v>
      </c>
      <c r="E780" s="236">
        <v>19.8</v>
      </c>
      <c r="F780" s="236">
        <v>20.5</v>
      </c>
      <c r="G780" s="236">
        <v>23.3</v>
      </c>
      <c r="H780" s="103">
        <f t="shared" si="30"/>
        <v>21.2</v>
      </c>
      <c r="I780" s="236">
        <v>40</v>
      </c>
      <c r="J780" s="46" t="s">
        <v>39</v>
      </c>
      <c r="K780" s="46" t="s">
        <v>57</v>
      </c>
      <c r="L780" s="50" t="s">
        <v>99</v>
      </c>
    </row>
    <row r="781" spans="2:12" x14ac:dyDescent="0.2">
      <c r="B781" s="238">
        <v>776</v>
      </c>
      <c r="C781" s="239">
        <v>42546</v>
      </c>
      <c r="D781" s="16">
        <v>0.44444444444444442</v>
      </c>
      <c r="E781" s="46">
        <v>17.100000000000001</v>
      </c>
      <c r="F781" s="46">
        <v>17.7</v>
      </c>
      <c r="G781" s="46">
        <v>18.100000000000001</v>
      </c>
      <c r="H781" s="103">
        <f t="shared" si="30"/>
        <v>17.633333333333333</v>
      </c>
      <c r="I781" s="46">
        <v>39</v>
      </c>
      <c r="J781" s="46" t="s">
        <v>38</v>
      </c>
      <c r="K781" s="46" t="s">
        <v>83</v>
      </c>
      <c r="L781" s="50" t="s">
        <v>99</v>
      </c>
    </row>
    <row r="782" spans="2:12" x14ac:dyDescent="0.2">
      <c r="B782" s="238">
        <v>777</v>
      </c>
      <c r="C782" s="239">
        <v>42546</v>
      </c>
      <c r="D782" s="16">
        <v>0.59375</v>
      </c>
      <c r="E782" s="46">
        <v>18.7</v>
      </c>
      <c r="F782" s="46">
        <v>19.600000000000001</v>
      </c>
      <c r="G782" s="46">
        <v>22.8</v>
      </c>
      <c r="H782" s="103">
        <f t="shared" si="30"/>
        <v>20.366666666666664</v>
      </c>
      <c r="I782" s="46">
        <v>33</v>
      </c>
      <c r="J782" s="46" t="s">
        <v>39</v>
      </c>
      <c r="K782" s="46" t="s">
        <v>85</v>
      </c>
      <c r="L782" s="50" t="s">
        <v>99</v>
      </c>
    </row>
    <row r="783" spans="2:12" x14ac:dyDescent="0.2">
      <c r="B783" s="238">
        <v>778</v>
      </c>
      <c r="C783" s="239">
        <v>42546</v>
      </c>
      <c r="D783" s="16">
        <v>0.73263888888888884</v>
      </c>
      <c r="E783" s="46">
        <v>18.7</v>
      </c>
      <c r="F783" s="46">
        <v>20.8</v>
      </c>
      <c r="G783" s="46">
        <v>22.1</v>
      </c>
      <c r="H783" s="103">
        <f t="shared" si="30"/>
        <v>20.533333333333335</v>
      </c>
      <c r="I783" s="46">
        <v>20</v>
      </c>
      <c r="J783" s="46" t="s">
        <v>39</v>
      </c>
      <c r="K783" s="46" t="s">
        <v>90</v>
      </c>
      <c r="L783" s="50" t="s">
        <v>99</v>
      </c>
    </row>
    <row r="784" spans="2:12" x14ac:dyDescent="0.2">
      <c r="B784" s="238">
        <v>779</v>
      </c>
      <c r="C784" s="239">
        <v>42546</v>
      </c>
      <c r="D784" s="16">
        <v>0.96527777777777779</v>
      </c>
      <c r="E784" s="46">
        <v>17.399999999999999</v>
      </c>
      <c r="F784" s="46">
        <v>18.2</v>
      </c>
      <c r="G784" s="46">
        <v>20.7</v>
      </c>
      <c r="H784" s="103">
        <f t="shared" si="30"/>
        <v>18.766666666666666</v>
      </c>
      <c r="I784" s="46">
        <v>36</v>
      </c>
      <c r="J784" s="46" t="s">
        <v>38</v>
      </c>
      <c r="K784" s="46" t="s">
        <v>86</v>
      </c>
      <c r="L784" s="50" t="s">
        <v>99</v>
      </c>
    </row>
    <row r="785" spans="2:12" x14ac:dyDescent="0.2">
      <c r="B785" s="238">
        <v>780</v>
      </c>
      <c r="C785" s="239">
        <v>42547</v>
      </c>
      <c r="D785" s="16">
        <v>0.13194444444444445</v>
      </c>
      <c r="E785" s="46">
        <v>16.600000000000001</v>
      </c>
      <c r="F785" s="46">
        <v>17.8</v>
      </c>
      <c r="G785" s="46">
        <v>18.5</v>
      </c>
      <c r="H785" s="103">
        <f t="shared" si="30"/>
        <v>17.633333333333336</v>
      </c>
      <c r="I785" s="46">
        <v>30</v>
      </c>
      <c r="J785" s="46" t="s">
        <v>39</v>
      </c>
      <c r="K785" s="46" t="s">
        <v>86</v>
      </c>
      <c r="L785" s="50" t="s">
        <v>99</v>
      </c>
    </row>
    <row r="786" spans="2:12" x14ac:dyDescent="0.2">
      <c r="B786" s="238">
        <v>781</v>
      </c>
      <c r="C786" s="241">
        <v>42547</v>
      </c>
      <c r="D786" s="16">
        <v>0.47569444444444442</v>
      </c>
      <c r="E786" s="46">
        <v>18.7</v>
      </c>
      <c r="F786" s="46">
        <v>21.9</v>
      </c>
      <c r="G786" s="46">
        <v>22.5</v>
      </c>
      <c r="H786" s="103">
        <f t="shared" si="30"/>
        <v>21.033333333333331</v>
      </c>
      <c r="I786" s="46">
        <v>43</v>
      </c>
      <c r="J786" s="46" t="s">
        <v>38</v>
      </c>
      <c r="K786" s="46" t="s">
        <v>85</v>
      </c>
      <c r="L786" s="50" t="s">
        <v>99</v>
      </c>
    </row>
    <row r="787" spans="2:12" x14ac:dyDescent="0.2">
      <c r="B787" s="240">
        <v>782</v>
      </c>
      <c r="C787" s="241">
        <v>42547</v>
      </c>
      <c r="D787" s="16">
        <v>0.63888888888888895</v>
      </c>
      <c r="E787" s="46">
        <v>19.2</v>
      </c>
      <c r="F787" s="46">
        <v>20.6</v>
      </c>
      <c r="G787" s="46">
        <v>22.8</v>
      </c>
      <c r="H787" s="103">
        <f t="shared" si="30"/>
        <v>20.866666666666664</v>
      </c>
      <c r="I787" s="46">
        <v>31</v>
      </c>
      <c r="J787" s="46" t="s">
        <v>101</v>
      </c>
      <c r="K787" s="46" t="s">
        <v>85</v>
      </c>
      <c r="L787" s="50" t="s">
        <v>99</v>
      </c>
    </row>
    <row r="788" spans="2:12" x14ac:dyDescent="0.2">
      <c r="B788" s="240">
        <v>783</v>
      </c>
      <c r="C788" s="241">
        <v>42547</v>
      </c>
      <c r="D788" s="16">
        <v>0.78125</v>
      </c>
      <c r="E788" s="46">
        <v>17.899999999999999</v>
      </c>
      <c r="F788" s="46">
        <v>19.7</v>
      </c>
      <c r="G788" s="46">
        <v>20.100000000000001</v>
      </c>
      <c r="H788" s="103">
        <f t="shared" si="30"/>
        <v>19.233333333333331</v>
      </c>
      <c r="I788" s="46">
        <v>29</v>
      </c>
      <c r="J788" s="46" t="s">
        <v>39</v>
      </c>
      <c r="K788" s="46" t="s">
        <v>90</v>
      </c>
      <c r="L788" s="50" t="s">
        <v>99</v>
      </c>
    </row>
    <row r="789" spans="2:12" x14ac:dyDescent="0.2">
      <c r="B789" s="240">
        <v>784</v>
      </c>
      <c r="C789" s="241">
        <v>42547</v>
      </c>
      <c r="D789" s="16">
        <v>0.96527777777777779</v>
      </c>
      <c r="E789" s="46">
        <v>17.7</v>
      </c>
      <c r="F789" s="46">
        <v>19.399999999999999</v>
      </c>
      <c r="G789" s="46">
        <v>20</v>
      </c>
      <c r="H789" s="103">
        <f t="shared" si="30"/>
        <v>19.033333333333331</v>
      </c>
      <c r="I789" s="46">
        <v>28</v>
      </c>
      <c r="J789" s="46" t="s">
        <v>38</v>
      </c>
      <c r="K789" s="46" t="s">
        <v>83</v>
      </c>
      <c r="L789" s="50" t="s">
        <v>99</v>
      </c>
    </row>
    <row r="790" spans="2:12" x14ac:dyDescent="0.2">
      <c r="B790" s="240">
        <v>785</v>
      </c>
      <c r="C790" s="241">
        <v>42548</v>
      </c>
      <c r="D790" s="16">
        <v>0.1111111111111111</v>
      </c>
      <c r="E790" s="46">
        <v>15.1</v>
      </c>
      <c r="F790" s="46">
        <v>20.2</v>
      </c>
      <c r="G790" s="46">
        <v>21.6</v>
      </c>
      <c r="H790" s="103">
        <f t="shared" si="30"/>
        <v>18.966666666666665</v>
      </c>
      <c r="I790" s="46">
        <v>35</v>
      </c>
      <c r="J790" s="46" t="s">
        <v>39</v>
      </c>
      <c r="K790" s="46" t="s">
        <v>86</v>
      </c>
      <c r="L790" s="50" t="s">
        <v>99</v>
      </c>
    </row>
    <row r="791" spans="2:12" x14ac:dyDescent="0.2">
      <c r="B791" s="240">
        <v>786</v>
      </c>
      <c r="C791" s="243">
        <v>42548</v>
      </c>
      <c r="D791" s="16">
        <v>0.43055555555555558</v>
      </c>
      <c r="E791" s="46">
        <v>18.600000000000001</v>
      </c>
      <c r="F791" s="46">
        <v>19.3</v>
      </c>
      <c r="G791" s="46">
        <v>21.7</v>
      </c>
      <c r="H791" s="103">
        <f t="shared" si="30"/>
        <v>19.866666666666671</v>
      </c>
      <c r="I791" s="46">
        <v>32</v>
      </c>
      <c r="J791" s="46" t="s">
        <v>38</v>
      </c>
      <c r="K791" s="46" t="s">
        <v>85</v>
      </c>
      <c r="L791" s="50" t="s">
        <v>99</v>
      </c>
    </row>
    <row r="792" spans="2:12" x14ac:dyDescent="0.2">
      <c r="B792" s="240">
        <v>787</v>
      </c>
      <c r="C792" s="243">
        <v>42548</v>
      </c>
      <c r="D792" s="16">
        <v>0.57986111111111105</v>
      </c>
      <c r="E792" s="46">
        <v>18.100000000000001</v>
      </c>
      <c r="F792" s="46">
        <v>19.7</v>
      </c>
      <c r="G792" s="46">
        <v>22.2</v>
      </c>
      <c r="H792" s="103">
        <f t="shared" ref="H792:H820" si="31">AVERAGE(E792:G792)</f>
        <v>20</v>
      </c>
      <c r="I792" s="46">
        <v>35</v>
      </c>
      <c r="J792" s="46" t="s">
        <v>39</v>
      </c>
      <c r="K792" s="46" t="s">
        <v>90</v>
      </c>
      <c r="L792" s="50" t="s">
        <v>99</v>
      </c>
    </row>
    <row r="793" spans="2:12" x14ac:dyDescent="0.2">
      <c r="B793" s="240">
        <v>788</v>
      </c>
      <c r="C793" s="243">
        <v>42548</v>
      </c>
      <c r="D793" s="16">
        <v>0.71875</v>
      </c>
      <c r="E793" s="46">
        <v>17.899999999999999</v>
      </c>
      <c r="F793" s="46">
        <v>18.600000000000001</v>
      </c>
      <c r="G793" s="46">
        <v>21.6</v>
      </c>
      <c r="H793" s="103">
        <f t="shared" si="31"/>
        <v>19.366666666666667</v>
      </c>
      <c r="I793" s="46">
        <v>33</v>
      </c>
      <c r="J793" s="46" t="s">
        <v>39</v>
      </c>
      <c r="K793" s="46" t="s">
        <v>90</v>
      </c>
      <c r="L793" s="50" t="s">
        <v>99</v>
      </c>
    </row>
    <row r="794" spans="2:12" x14ac:dyDescent="0.2">
      <c r="B794" s="240">
        <v>789</v>
      </c>
      <c r="C794" s="243">
        <v>42548</v>
      </c>
      <c r="D794" s="16">
        <v>0.96527777777777779</v>
      </c>
      <c r="E794" s="46">
        <v>17.399999999999999</v>
      </c>
      <c r="F794" s="46">
        <v>18</v>
      </c>
      <c r="G794" s="46">
        <v>19.100000000000001</v>
      </c>
      <c r="H794" s="103">
        <f t="shared" si="31"/>
        <v>18.166666666666668</v>
      </c>
      <c r="I794" s="46">
        <v>29</v>
      </c>
      <c r="J794" s="46" t="s">
        <v>38</v>
      </c>
      <c r="K794" s="46" t="s">
        <v>83</v>
      </c>
      <c r="L794" s="50" t="s">
        <v>99</v>
      </c>
    </row>
    <row r="795" spans="2:12" x14ac:dyDescent="0.2">
      <c r="B795" s="242">
        <v>790</v>
      </c>
      <c r="C795" s="243">
        <v>42549</v>
      </c>
      <c r="D795" s="16">
        <v>0.15277777777777776</v>
      </c>
      <c r="E795" s="46">
        <v>18.8</v>
      </c>
      <c r="F795" s="46">
        <v>20.7</v>
      </c>
      <c r="G795" s="46">
        <v>21.3</v>
      </c>
      <c r="H795" s="103">
        <f t="shared" si="31"/>
        <v>20.266666666666666</v>
      </c>
      <c r="I795" s="46">
        <v>31</v>
      </c>
      <c r="J795" s="46" t="s">
        <v>39</v>
      </c>
      <c r="K795" s="46" t="s">
        <v>86</v>
      </c>
      <c r="L795" s="50" t="s">
        <v>99</v>
      </c>
    </row>
    <row r="796" spans="2:12" x14ac:dyDescent="0.2">
      <c r="B796" s="242">
        <v>791</v>
      </c>
      <c r="C796" s="244">
        <v>42549</v>
      </c>
      <c r="D796" s="16">
        <v>0.46875</v>
      </c>
      <c r="E796" s="46">
        <v>17.600000000000001</v>
      </c>
      <c r="F796" s="46">
        <v>21.3</v>
      </c>
      <c r="G796" s="46">
        <v>21.8</v>
      </c>
      <c r="H796" s="103">
        <f t="shared" si="31"/>
        <v>20.233333333333334</v>
      </c>
      <c r="I796" s="46">
        <v>34</v>
      </c>
      <c r="J796" s="46" t="s">
        <v>38</v>
      </c>
      <c r="K796" s="46" t="s">
        <v>61</v>
      </c>
      <c r="L796" s="50" t="s">
        <v>102</v>
      </c>
    </row>
    <row r="797" spans="2:12" x14ac:dyDescent="0.2">
      <c r="B797" s="242">
        <v>792</v>
      </c>
      <c r="C797" s="244">
        <v>42549</v>
      </c>
      <c r="D797" s="16">
        <v>0.63541666666666663</v>
      </c>
      <c r="E797" s="46">
        <v>15.6</v>
      </c>
      <c r="F797" s="46">
        <v>17.2</v>
      </c>
      <c r="G797" s="46">
        <v>18.3</v>
      </c>
      <c r="H797" s="103">
        <f t="shared" si="31"/>
        <v>17.033333333333331</v>
      </c>
      <c r="I797" s="46">
        <v>31</v>
      </c>
      <c r="J797" s="46" t="s">
        <v>39</v>
      </c>
      <c r="K797" s="46" t="s">
        <v>50</v>
      </c>
      <c r="L797" s="50" t="s">
        <v>100</v>
      </c>
    </row>
    <row r="798" spans="2:12" x14ac:dyDescent="0.2">
      <c r="B798" s="242">
        <v>793</v>
      </c>
      <c r="C798" s="244">
        <v>42549</v>
      </c>
      <c r="D798" s="16">
        <v>0.76041666666666663</v>
      </c>
      <c r="E798" s="46">
        <v>18.100000000000001</v>
      </c>
      <c r="F798" s="46">
        <v>22</v>
      </c>
      <c r="G798" s="46">
        <v>23.6</v>
      </c>
      <c r="H798" s="103">
        <f t="shared" si="31"/>
        <v>21.233333333333334</v>
      </c>
      <c r="I798" s="46">
        <v>32</v>
      </c>
      <c r="J798" s="46" t="s">
        <v>46</v>
      </c>
      <c r="K798" s="46" t="s">
        <v>61</v>
      </c>
      <c r="L798" s="50" t="s">
        <v>99</v>
      </c>
    </row>
    <row r="799" spans="2:12" x14ac:dyDescent="0.2">
      <c r="B799" s="242">
        <v>794</v>
      </c>
      <c r="C799" s="244">
        <v>42549</v>
      </c>
      <c r="D799" s="16">
        <v>0.96527777777777779</v>
      </c>
      <c r="E799" s="46">
        <v>18.399999999999999</v>
      </c>
      <c r="F799" s="46">
        <v>21.4</v>
      </c>
      <c r="G799" s="46">
        <v>24.1</v>
      </c>
      <c r="H799" s="103">
        <f t="shared" si="31"/>
        <v>21.3</v>
      </c>
      <c r="I799" s="46">
        <v>32</v>
      </c>
      <c r="J799" s="46" t="s">
        <v>38</v>
      </c>
      <c r="K799" s="46" t="s">
        <v>57</v>
      </c>
      <c r="L799" s="50" t="s">
        <v>99</v>
      </c>
    </row>
    <row r="800" spans="2:12" x14ac:dyDescent="0.2">
      <c r="B800" s="242">
        <v>795</v>
      </c>
      <c r="C800" s="244">
        <v>42550</v>
      </c>
      <c r="D800" s="16">
        <v>0.1388888888888889</v>
      </c>
      <c r="E800" s="46">
        <v>15.6</v>
      </c>
      <c r="F800" s="46">
        <v>17.5</v>
      </c>
      <c r="G800" s="46">
        <v>19.100000000000001</v>
      </c>
      <c r="H800" s="103">
        <f t="shared" si="31"/>
        <v>17.400000000000002</v>
      </c>
      <c r="I800" s="46">
        <v>41</v>
      </c>
      <c r="J800" s="46" t="s">
        <v>39</v>
      </c>
      <c r="K800" s="46" t="s">
        <v>62</v>
      </c>
      <c r="L800" s="50" t="s">
        <v>99</v>
      </c>
    </row>
    <row r="801" spans="2:12" x14ac:dyDescent="0.2">
      <c r="B801" s="242">
        <v>796</v>
      </c>
      <c r="C801" s="245">
        <v>42550</v>
      </c>
      <c r="D801" s="16">
        <v>0.44791666666666669</v>
      </c>
      <c r="E801" s="46">
        <v>16.2</v>
      </c>
      <c r="F801" s="46">
        <v>16.8</v>
      </c>
      <c r="G801" s="46">
        <v>20.6</v>
      </c>
      <c r="H801" s="103">
        <f t="shared" si="31"/>
        <v>17.866666666666667</v>
      </c>
      <c r="I801" s="46">
        <v>27</v>
      </c>
      <c r="J801" s="46" t="s">
        <v>38</v>
      </c>
      <c r="K801" s="46" t="s">
        <v>85</v>
      </c>
      <c r="L801" s="50" t="s">
        <v>100</v>
      </c>
    </row>
    <row r="802" spans="2:12" x14ac:dyDescent="0.2">
      <c r="B802" s="242">
        <v>797</v>
      </c>
      <c r="C802" s="245">
        <v>42550</v>
      </c>
      <c r="D802" s="16">
        <v>0.59375</v>
      </c>
      <c r="E802" s="46">
        <v>18.2</v>
      </c>
      <c r="F802" s="46">
        <v>19.8</v>
      </c>
      <c r="G802" s="46">
        <v>21.6</v>
      </c>
      <c r="H802" s="103">
        <f t="shared" si="31"/>
        <v>19.866666666666667</v>
      </c>
      <c r="I802" s="46">
        <v>32</v>
      </c>
      <c r="J802" s="46" t="s">
        <v>39</v>
      </c>
      <c r="K802" s="46" t="s">
        <v>90</v>
      </c>
      <c r="L802" s="50" t="s">
        <v>103</v>
      </c>
    </row>
    <row r="803" spans="2:12" x14ac:dyDescent="0.2">
      <c r="B803" s="242">
        <v>798</v>
      </c>
      <c r="C803" s="245">
        <v>42550</v>
      </c>
      <c r="D803" s="16">
        <v>0.73958333333333337</v>
      </c>
      <c r="E803" s="46">
        <v>15.9</v>
      </c>
      <c r="F803" s="46">
        <v>17.2</v>
      </c>
      <c r="G803" s="46">
        <v>18.600000000000001</v>
      </c>
      <c r="H803" s="103">
        <f t="shared" si="31"/>
        <v>17.233333333333334</v>
      </c>
      <c r="I803" s="46">
        <v>29</v>
      </c>
      <c r="J803" s="46" t="s">
        <v>46</v>
      </c>
      <c r="K803" s="46" t="s">
        <v>90</v>
      </c>
      <c r="L803" s="50" t="s">
        <v>99</v>
      </c>
    </row>
    <row r="804" spans="2:12" x14ac:dyDescent="0.2">
      <c r="B804" s="242">
        <v>799</v>
      </c>
      <c r="C804" s="245">
        <v>42550</v>
      </c>
      <c r="D804" s="16">
        <v>0.96527777777777779</v>
      </c>
      <c r="E804" s="46">
        <v>14.6</v>
      </c>
      <c r="F804" s="46">
        <v>17.5</v>
      </c>
      <c r="G804" s="46">
        <v>21.4</v>
      </c>
      <c r="H804" s="103">
        <f t="shared" si="31"/>
        <v>17.833333333333332</v>
      </c>
      <c r="I804" s="46">
        <v>37</v>
      </c>
      <c r="J804" s="46" t="s">
        <v>38</v>
      </c>
      <c r="K804" s="46" t="s">
        <v>83</v>
      </c>
      <c r="L804" s="50" t="s">
        <v>99</v>
      </c>
    </row>
    <row r="805" spans="2:12" x14ac:dyDescent="0.2">
      <c r="B805" s="242">
        <v>800</v>
      </c>
      <c r="C805" s="245">
        <v>42551</v>
      </c>
      <c r="D805" s="16">
        <v>0.1111111111111111</v>
      </c>
      <c r="E805" s="46">
        <v>11.7</v>
      </c>
      <c r="F805" s="46">
        <v>13.2</v>
      </c>
      <c r="G805" s="46">
        <v>15</v>
      </c>
      <c r="H805" s="103">
        <f t="shared" si="31"/>
        <v>13.299999999999999</v>
      </c>
      <c r="I805" s="46">
        <v>38</v>
      </c>
      <c r="J805" s="46" t="s">
        <v>39</v>
      </c>
      <c r="K805" s="46" t="s">
        <v>83</v>
      </c>
      <c r="L805" s="50" t="s">
        <v>99</v>
      </c>
    </row>
    <row r="806" spans="2:12" x14ac:dyDescent="0.2">
      <c r="B806" s="242">
        <v>801</v>
      </c>
      <c r="C806" s="246">
        <v>42551</v>
      </c>
      <c r="D806" s="16">
        <v>0.40625</v>
      </c>
      <c r="E806" s="46">
        <v>18.899999999999999</v>
      </c>
      <c r="F806" s="46">
        <v>21.2</v>
      </c>
      <c r="G806" s="46">
        <v>23.8</v>
      </c>
      <c r="H806" s="103">
        <f t="shared" si="31"/>
        <v>21.299999999999997</v>
      </c>
      <c r="I806" s="46">
        <v>35</v>
      </c>
      <c r="J806" s="46" t="s">
        <v>38</v>
      </c>
      <c r="K806" s="46" t="s">
        <v>85</v>
      </c>
      <c r="L806" s="50" t="s">
        <v>100</v>
      </c>
    </row>
    <row r="807" spans="2:12" x14ac:dyDescent="0.2">
      <c r="B807" s="242">
        <v>802</v>
      </c>
      <c r="C807" s="246">
        <v>42551</v>
      </c>
      <c r="D807" s="16">
        <v>0.56597222222222221</v>
      </c>
      <c r="E807" s="46">
        <v>18.600000000000001</v>
      </c>
      <c r="F807" s="46">
        <v>20.8</v>
      </c>
      <c r="G807" s="46">
        <v>22.3</v>
      </c>
      <c r="H807" s="103">
        <f t="shared" si="31"/>
        <v>20.566666666666666</v>
      </c>
      <c r="I807" s="46">
        <v>37</v>
      </c>
      <c r="J807" s="46" t="s">
        <v>39</v>
      </c>
      <c r="K807" s="46" t="s">
        <v>83</v>
      </c>
      <c r="L807" s="50" t="s">
        <v>99</v>
      </c>
    </row>
    <row r="808" spans="2:12" x14ac:dyDescent="0.2">
      <c r="B808" s="242">
        <v>803</v>
      </c>
      <c r="C808" s="246">
        <v>42551</v>
      </c>
      <c r="D808" s="16">
        <v>0.73958333333333337</v>
      </c>
      <c r="E808" s="46">
        <v>15.7</v>
      </c>
      <c r="F808" s="46">
        <v>17.8</v>
      </c>
      <c r="G808" s="46">
        <v>20.5</v>
      </c>
      <c r="H808" s="103">
        <f t="shared" si="31"/>
        <v>18</v>
      </c>
      <c r="I808" s="46">
        <v>37</v>
      </c>
      <c r="J808" s="46" t="s">
        <v>46</v>
      </c>
      <c r="K808" s="46" t="s">
        <v>85</v>
      </c>
      <c r="L808" s="50" t="s">
        <v>99</v>
      </c>
    </row>
    <row r="809" spans="2:12" x14ac:dyDescent="0.2">
      <c r="B809" s="242">
        <v>804</v>
      </c>
      <c r="C809" s="246">
        <v>42551</v>
      </c>
      <c r="D809" s="16">
        <v>0.96527777777777779</v>
      </c>
      <c r="E809" s="46">
        <v>22.2</v>
      </c>
      <c r="F809" s="46">
        <v>23.3</v>
      </c>
      <c r="G809" s="46">
        <v>25.4</v>
      </c>
      <c r="H809" s="103">
        <f t="shared" si="31"/>
        <v>23.633333333333336</v>
      </c>
      <c r="I809" s="46">
        <v>36</v>
      </c>
      <c r="J809" s="46" t="s">
        <v>38</v>
      </c>
      <c r="K809" s="46" t="s">
        <v>62</v>
      </c>
      <c r="L809" s="50" t="s">
        <v>99</v>
      </c>
    </row>
    <row r="810" spans="2:12" x14ac:dyDescent="0.2">
      <c r="B810" s="242">
        <v>805</v>
      </c>
      <c r="C810" s="249">
        <v>42552</v>
      </c>
      <c r="D810" s="16">
        <v>0.13194444444444445</v>
      </c>
      <c r="E810" s="46">
        <v>15.4</v>
      </c>
      <c r="F810" s="46">
        <v>18.600000000000001</v>
      </c>
      <c r="G810" s="46">
        <v>19</v>
      </c>
      <c r="H810" s="103">
        <f t="shared" si="31"/>
        <v>17.666666666666668</v>
      </c>
      <c r="I810" s="46">
        <v>34</v>
      </c>
      <c r="J810" s="46" t="s">
        <v>39</v>
      </c>
      <c r="K810" s="46" t="s">
        <v>83</v>
      </c>
      <c r="L810" s="50" t="s">
        <v>99</v>
      </c>
    </row>
    <row r="811" spans="2:12" x14ac:dyDescent="0.2">
      <c r="B811" s="242">
        <v>806</v>
      </c>
      <c r="C811" s="248">
        <v>42552</v>
      </c>
      <c r="D811" s="16">
        <v>0.38541666666666669</v>
      </c>
      <c r="E811" s="247">
        <v>18.8</v>
      </c>
      <c r="F811" s="247">
        <v>20.7</v>
      </c>
      <c r="G811" s="247">
        <v>22.8</v>
      </c>
      <c r="H811" s="103">
        <f t="shared" si="31"/>
        <v>20.766666666666666</v>
      </c>
      <c r="I811" s="247">
        <v>42</v>
      </c>
      <c r="J811" s="46" t="s">
        <v>38</v>
      </c>
      <c r="K811" s="46" t="s">
        <v>85</v>
      </c>
      <c r="L811" s="50" t="s">
        <v>100</v>
      </c>
    </row>
    <row r="812" spans="2:12" x14ac:dyDescent="0.2">
      <c r="B812" s="242">
        <v>807</v>
      </c>
      <c r="C812" s="248">
        <v>42552</v>
      </c>
      <c r="D812" s="16">
        <v>0.63541666666666663</v>
      </c>
      <c r="E812" s="247">
        <v>17.100000000000001</v>
      </c>
      <c r="F812" s="247">
        <v>20.9</v>
      </c>
      <c r="G812" s="247">
        <v>23.2</v>
      </c>
      <c r="H812" s="103">
        <f t="shared" si="31"/>
        <v>20.400000000000002</v>
      </c>
      <c r="I812" s="247">
        <v>29</v>
      </c>
      <c r="J812" s="46" t="s">
        <v>39</v>
      </c>
      <c r="K812" s="46" t="s">
        <v>85</v>
      </c>
      <c r="L812" s="50" t="s">
        <v>99</v>
      </c>
    </row>
    <row r="813" spans="2:12" x14ac:dyDescent="0.2">
      <c r="B813" s="242">
        <v>808</v>
      </c>
      <c r="C813" s="248">
        <v>42552</v>
      </c>
      <c r="D813" s="16">
        <v>0.74305555555555547</v>
      </c>
      <c r="E813" s="247">
        <v>18.2</v>
      </c>
      <c r="F813" s="247">
        <v>20.9</v>
      </c>
      <c r="G813" s="247">
        <v>22.6</v>
      </c>
      <c r="H813" s="103">
        <f t="shared" si="31"/>
        <v>20.566666666666666</v>
      </c>
      <c r="I813" s="247">
        <v>37</v>
      </c>
      <c r="J813" s="46" t="s">
        <v>39</v>
      </c>
      <c r="K813" s="46" t="s">
        <v>90</v>
      </c>
      <c r="L813" s="50" t="s">
        <v>99</v>
      </c>
    </row>
    <row r="814" spans="2:12" x14ac:dyDescent="0.2">
      <c r="B814" s="242">
        <v>809</v>
      </c>
      <c r="C814" s="248">
        <v>42552</v>
      </c>
      <c r="D814" s="16">
        <v>0.98611111111111116</v>
      </c>
      <c r="E814" s="247">
        <v>19.2</v>
      </c>
      <c r="F814" s="247">
        <v>20.399999999999999</v>
      </c>
      <c r="G814" s="247">
        <v>23.6</v>
      </c>
      <c r="H814" s="103">
        <f t="shared" si="31"/>
        <v>21.066666666666666</v>
      </c>
      <c r="I814" s="247">
        <v>28</v>
      </c>
      <c r="J814" s="46" t="s">
        <v>38</v>
      </c>
      <c r="K814" s="46" t="s">
        <v>62</v>
      </c>
      <c r="L814" s="50" t="s">
        <v>99</v>
      </c>
    </row>
    <row r="815" spans="2:12" x14ac:dyDescent="0.2">
      <c r="B815" s="242">
        <v>810</v>
      </c>
      <c r="C815" s="248">
        <v>42553</v>
      </c>
      <c r="D815" s="16">
        <v>0.13194444444444445</v>
      </c>
      <c r="E815" s="247">
        <v>17.399999999999999</v>
      </c>
      <c r="F815" s="247">
        <v>18.8</v>
      </c>
      <c r="G815" s="247">
        <v>19.899999999999999</v>
      </c>
      <c r="H815" s="103">
        <f t="shared" si="31"/>
        <v>18.7</v>
      </c>
      <c r="I815" s="247">
        <v>32</v>
      </c>
      <c r="J815" s="46" t="s">
        <v>39</v>
      </c>
      <c r="K815" s="46" t="s">
        <v>62</v>
      </c>
      <c r="L815" s="50" t="s">
        <v>99</v>
      </c>
    </row>
    <row r="816" spans="2:12" x14ac:dyDescent="0.2">
      <c r="B816" s="242">
        <v>811</v>
      </c>
      <c r="C816" s="250">
        <v>42553</v>
      </c>
      <c r="D816" s="16">
        <v>0.5</v>
      </c>
      <c r="E816" s="46">
        <v>13.6</v>
      </c>
      <c r="F816" s="46">
        <v>15.4</v>
      </c>
      <c r="G816" s="46">
        <v>17.3</v>
      </c>
      <c r="H816" s="103">
        <f t="shared" si="31"/>
        <v>15.433333333333332</v>
      </c>
      <c r="I816" s="46">
        <v>36</v>
      </c>
      <c r="J816" s="46" t="s">
        <v>38</v>
      </c>
      <c r="K816" s="46" t="s">
        <v>50</v>
      </c>
      <c r="L816" s="50" t="s">
        <v>100</v>
      </c>
    </row>
    <row r="817" spans="2:12" x14ac:dyDescent="0.2">
      <c r="B817" s="242">
        <v>812</v>
      </c>
      <c r="C817" s="250">
        <v>42553</v>
      </c>
      <c r="D817" s="16">
        <v>0.71180555555555547</v>
      </c>
      <c r="E817" s="46">
        <v>17.100000000000001</v>
      </c>
      <c r="F817" s="46">
        <v>17.899999999999999</v>
      </c>
      <c r="G817" s="46">
        <v>18.5</v>
      </c>
      <c r="H817" s="103">
        <f t="shared" si="31"/>
        <v>17.833333333333332</v>
      </c>
      <c r="I817" s="46">
        <v>37</v>
      </c>
      <c r="J817" s="46" t="s">
        <v>38</v>
      </c>
      <c r="K817" s="46" t="s">
        <v>86</v>
      </c>
      <c r="L817" s="50" t="s">
        <v>99</v>
      </c>
    </row>
    <row r="818" spans="2:12" x14ac:dyDescent="0.2">
      <c r="B818" s="242">
        <v>813</v>
      </c>
      <c r="C818" s="250">
        <v>42553</v>
      </c>
      <c r="D818" s="16">
        <v>0.86458333333333337</v>
      </c>
      <c r="E818" s="46">
        <v>15.8</v>
      </c>
      <c r="F818" s="46">
        <v>17.899999999999999</v>
      </c>
      <c r="G818" s="46">
        <v>20.3</v>
      </c>
      <c r="H818" s="103">
        <f t="shared" si="31"/>
        <v>18</v>
      </c>
      <c r="I818" s="46">
        <v>34</v>
      </c>
      <c r="J818" s="46" t="s">
        <v>39</v>
      </c>
      <c r="K818" s="46" t="s">
        <v>83</v>
      </c>
      <c r="L818" s="50" t="s">
        <v>99</v>
      </c>
    </row>
    <row r="819" spans="2:12" x14ac:dyDescent="0.2">
      <c r="B819" s="242">
        <v>814</v>
      </c>
      <c r="C819" s="250">
        <v>42553</v>
      </c>
      <c r="D819" s="16">
        <v>0.97222222222222221</v>
      </c>
      <c r="E819" s="46">
        <v>20.3</v>
      </c>
      <c r="F819" s="46">
        <v>23.6</v>
      </c>
      <c r="G819" s="46">
        <v>24.5</v>
      </c>
      <c r="H819" s="103">
        <f t="shared" si="31"/>
        <v>22.8</v>
      </c>
      <c r="I819" s="46">
        <v>34</v>
      </c>
      <c r="J819" s="46" t="s">
        <v>39</v>
      </c>
      <c r="K819" s="46" t="s">
        <v>86</v>
      </c>
      <c r="L819" s="50" t="s">
        <v>99</v>
      </c>
    </row>
    <row r="820" spans="2:12" x14ac:dyDescent="0.2">
      <c r="B820" s="242">
        <v>815</v>
      </c>
      <c r="C820" s="250">
        <v>42554</v>
      </c>
      <c r="D820" s="16">
        <v>0.1076388888888889</v>
      </c>
      <c r="E820" s="46">
        <v>15.9</v>
      </c>
      <c r="F820" s="46">
        <v>17.600000000000001</v>
      </c>
      <c r="G820" s="46">
        <v>20.3</v>
      </c>
      <c r="H820" s="103">
        <f t="shared" si="31"/>
        <v>17.933333333333334</v>
      </c>
      <c r="I820" s="46">
        <v>38</v>
      </c>
      <c r="J820" s="46" t="s">
        <v>38</v>
      </c>
      <c r="K820" s="46" t="s">
        <v>83</v>
      </c>
      <c r="L820" s="50" t="s">
        <v>99</v>
      </c>
    </row>
    <row r="821" spans="2:12" x14ac:dyDescent="0.2">
      <c r="B821" s="242">
        <v>816</v>
      </c>
      <c r="C821" s="251">
        <v>42554</v>
      </c>
      <c r="D821" s="16">
        <v>0.49305555555555558</v>
      </c>
      <c r="E821" s="46">
        <v>15.9</v>
      </c>
      <c r="F821" s="46">
        <v>17.600000000000001</v>
      </c>
      <c r="G821" s="46">
        <v>20.3</v>
      </c>
      <c r="H821" s="103">
        <f t="shared" ref="H821:H885" si="32">AVERAGE(E821:G821)</f>
        <v>17.933333333333334</v>
      </c>
      <c r="I821" s="46">
        <v>38</v>
      </c>
      <c r="J821" s="46" t="s">
        <v>38</v>
      </c>
      <c r="K821" s="46" t="s">
        <v>83</v>
      </c>
      <c r="L821" s="50" t="s">
        <v>99</v>
      </c>
    </row>
    <row r="822" spans="2:12" x14ac:dyDescent="0.2">
      <c r="B822" s="242">
        <v>817</v>
      </c>
      <c r="C822" s="251">
        <v>42554</v>
      </c>
      <c r="D822" s="16">
        <v>0.64930555555555558</v>
      </c>
      <c r="E822" s="46">
        <v>15.9</v>
      </c>
      <c r="F822" s="46">
        <v>17.600000000000001</v>
      </c>
      <c r="G822" s="46">
        <v>20.3</v>
      </c>
      <c r="H822" s="103">
        <f t="shared" si="32"/>
        <v>17.933333333333334</v>
      </c>
      <c r="I822" s="46">
        <v>38</v>
      </c>
      <c r="J822" s="46" t="s">
        <v>38</v>
      </c>
      <c r="K822" s="46" t="s">
        <v>83</v>
      </c>
      <c r="L822" s="50" t="s">
        <v>99</v>
      </c>
    </row>
    <row r="823" spans="2:12" x14ac:dyDescent="0.2">
      <c r="B823" s="242">
        <v>818</v>
      </c>
      <c r="C823" s="251">
        <v>42554</v>
      </c>
      <c r="D823" s="16">
        <v>0.79861111111111116</v>
      </c>
      <c r="E823" s="46">
        <v>15.9</v>
      </c>
      <c r="F823" s="46">
        <v>17.600000000000001</v>
      </c>
      <c r="G823" s="46">
        <v>20.3</v>
      </c>
      <c r="H823" s="103">
        <f t="shared" si="32"/>
        <v>17.933333333333334</v>
      </c>
      <c r="I823" s="46">
        <v>38</v>
      </c>
      <c r="J823" s="46" t="s">
        <v>38</v>
      </c>
      <c r="K823" s="46" t="s">
        <v>83</v>
      </c>
      <c r="L823" s="50" t="s">
        <v>99</v>
      </c>
    </row>
    <row r="824" spans="2:12" x14ac:dyDescent="0.2">
      <c r="B824" s="242">
        <v>819</v>
      </c>
      <c r="C824" s="251">
        <v>42555</v>
      </c>
      <c r="D824" s="16">
        <v>0.48958333333333331</v>
      </c>
      <c r="E824" s="46">
        <v>21</v>
      </c>
      <c r="F824" s="46">
        <v>22</v>
      </c>
      <c r="G824" s="46">
        <v>23</v>
      </c>
      <c r="H824" s="103">
        <f t="shared" si="32"/>
        <v>22</v>
      </c>
      <c r="I824" s="46">
        <v>31.3</v>
      </c>
      <c r="J824" s="46" t="s">
        <v>38</v>
      </c>
      <c r="K824" s="46" t="s">
        <v>83</v>
      </c>
      <c r="L824" s="51" t="s">
        <v>104</v>
      </c>
    </row>
    <row r="825" spans="2:12" x14ac:dyDescent="0.2">
      <c r="B825" s="242">
        <v>820</v>
      </c>
      <c r="C825" s="251">
        <v>42555</v>
      </c>
      <c r="D825" s="16">
        <v>0.63541666666666663</v>
      </c>
      <c r="E825" s="46">
        <v>13.2</v>
      </c>
      <c r="F825" s="46">
        <v>16.899999999999999</v>
      </c>
      <c r="G825" s="46">
        <v>18.600000000000001</v>
      </c>
      <c r="H825" s="103">
        <f t="shared" si="32"/>
        <v>16.233333333333334</v>
      </c>
      <c r="I825" s="46">
        <v>36</v>
      </c>
      <c r="J825" s="46" t="s">
        <v>39</v>
      </c>
      <c r="K825" s="46" t="s">
        <v>83</v>
      </c>
      <c r="L825" s="50" t="s">
        <v>99</v>
      </c>
    </row>
    <row r="826" spans="2:12" x14ac:dyDescent="0.2">
      <c r="B826" s="46">
        <v>821</v>
      </c>
      <c r="C826" s="251">
        <v>42555</v>
      </c>
      <c r="D826" s="16">
        <v>0.79861111111111116</v>
      </c>
      <c r="E826" s="46">
        <v>18.3</v>
      </c>
      <c r="F826" s="46">
        <v>20.100000000000001</v>
      </c>
      <c r="G826" s="46">
        <v>22.7</v>
      </c>
      <c r="H826" s="103">
        <f t="shared" si="32"/>
        <v>20.366666666666671</v>
      </c>
      <c r="I826" s="46">
        <v>32</v>
      </c>
      <c r="J826" s="46" t="s">
        <v>38</v>
      </c>
      <c r="K826" s="46" t="s">
        <v>50</v>
      </c>
      <c r="L826" s="51" t="s">
        <v>104</v>
      </c>
    </row>
    <row r="827" spans="2:12" x14ac:dyDescent="0.2">
      <c r="B827" s="46">
        <v>822</v>
      </c>
      <c r="C827" s="251">
        <v>42555</v>
      </c>
      <c r="D827" s="16">
        <v>0.96527777777777779</v>
      </c>
      <c r="E827" s="46">
        <v>12.4</v>
      </c>
      <c r="F827" s="46">
        <v>13.2</v>
      </c>
      <c r="G827" s="46">
        <v>17.399999999999999</v>
      </c>
      <c r="H827" s="103">
        <f t="shared" si="32"/>
        <v>14.333333333333334</v>
      </c>
      <c r="I827" s="46">
        <v>30</v>
      </c>
      <c r="J827" s="46" t="s">
        <v>39</v>
      </c>
      <c r="K827" s="46" t="s">
        <v>50</v>
      </c>
      <c r="L827" s="50" t="s">
        <v>99</v>
      </c>
    </row>
    <row r="828" spans="2:12" x14ac:dyDescent="0.2">
      <c r="B828" s="46">
        <v>823</v>
      </c>
      <c r="C828" s="251">
        <v>42556</v>
      </c>
      <c r="D828" s="16">
        <v>0.1111111111111111</v>
      </c>
      <c r="E828" s="46">
        <v>14.5</v>
      </c>
      <c r="F828" s="46">
        <v>16.100000000000001</v>
      </c>
      <c r="G828" s="46">
        <v>19.899999999999999</v>
      </c>
      <c r="H828" s="103">
        <f t="shared" si="32"/>
        <v>16.833333333333332</v>
      </c>
      <c r="I828" s="46">
        <v>27</v>
      </c>
      <c r="J828" s="46" t="s">
        <v>38</v>
      </c>
      <c r="K828" s="46" t="s">
        <v>50</v>
      </c>
      <c r="L828" s="50" t="s">
        <v>99</v>
      </c>
    </row>
    <row r="829" spans="2:12" x14ac:dyDescent="0.2">
      <c r="B829" s="46">
        <v>824</v>
      </c>
      <c r="C829" s="251">
        <v>42556</v>
      </c>
      <c r="D829" s="16">
        <v>0.51041666666666663</v>
      </c>
      <c r="E829" s="252">
        <v>18.600000000000001</v>
      </c>
      <c r="F829" s="252">
        <v>19.7</v>
      </c>
      <c r="G829" s="252">
        <v>20.399999999999999</v>
      </c>
      <c r="H829" s="254">
        <f t="shared" si="32"/>
        <v>19.566666666666666</v>
      </c>
      <c r="I829" s="252">
        <v>37.700000000000003</v>
      </c>
      <c r="J829" s="46" t="s">
        <v>38</v>
      </c>
      <c r="K829" s="252" t="s">
        <v>61</v>
      </c>
      <c r="L829" s="51" t="s">
        <v>104</v>
      </c>
    </row>
    <row r="830" spans="2:12" x14ac:dyDescent="0.2">
      <c r="B830" s="252">
        <v>825</v>
      </c>
      <c r="C830" s="253">
        <v>42556</v>
      </c>
      <c r="D830" s="16">
        <v>0.71875</v>
      </c>
      <c r="E830" s="252">
        <v>18.2</v>
      </c>
      <c r="F830" s="46">
        <v>18.600000000000001</v>
      </c>
      <c r="G830" s="252">
        <v>20.3</v>
      </c>
      <c r="H830" s="254">
        <f t="shared" si="32"/>
        <v>19.033333333333331</v>
      </c>
      <c r="I830" s="252">
        <v>36</v>
      </c>
      <c r="J830" s="46" t="s">
        <v>39</v>
      </c>
      <c r="K830" s="46" t="s">
        <v>50</v>
      </c>
      <c r="L830" s="51" t="s">
        <v>104</v>
      </c>
    </row>
    <row r="831" spans="2:12" x14ac:dyDescent="0.2">
      <c r="B831" s="252">
        <v>826</v>
      </c>
      <c r="C831" s="253">
        <v>42556</v>
      </c>
      <c r="D831" s="16">
        <v>0.86458333333333337</v>
      </c>
      <c r="E831" s="252">
        <v>14.7</v>
      </c>
      <c r="F831" s="46">
        <v>16.899999999999999</v>
      </c>
      <c r="G831" s="252">
        <v>18.600000000000001</v>
      </c>
      <c r="H831" s="254">
        <f t="shared" si="32"/>
        <v>16.733333333333334</v>
      </c>
      <c r="I831" s="252">
        <v>39</v>
      </c>
      <c r="J831" s="46" t="s">
        <v>38</v>
      </c>
      <c r="K831" s="46" t="s">
        <v>83</v>
      </c>
      <c r="L831" s="51" t="s">
        <v>104</v>
      </c>
    </row>
    <row r="832" spans="2:12" x14ac:dyDescent="0.2">
      <c r="B832" s="252">
        <v>827</v>
      </c>
      <c r="C832" s="253">
        <v>42557</v>
      </c>
      <c r="D832" s="16">
        <v>9.0277777777777776E-2</v>
      </c>
      <c r="E832" s="252">
        <v>14.7</v>
      </c>
      <c r="F832" s="46">
        <v>18.3</v>
      </c>
      <c r="G832" s="252">
        <v>22.2</v>
      </c>
      <c r="H832" s="254">
        <f t="shared" si="32"/>
        <v>18.400000000000002</v>
      </c>
      <c r="I832" s="252">
        <v>41</v>
      </c>
      <c r="J832" s="46" t="s">
        <v>38</v>
      </c>
      <c r="K832" s="46" t="s">
        <v>83</v>
      </c>
      <c r="L832" s="50" t="s">
        <v>99</v>
      </c>
    </row>
    <row r="833" spans="2:12" x14ac:dyDescent="0.2">
      <c r="B833" s="252">
        <v>828</v>
      </c>
      <c r="C833" s="253">
        <v>42557</v>
      </c>
      <c r="D833" s="16">
        <v>0.1875</v>
      </c>
      <c r="E833" s="252">
        <v>10.7</v>
      </c>
      <c r="F833" s="46">
        <v>11.9</v>
      </c>
      <c r="G833" s="252">
        <v>13.6</v>
      </c>
      <c r="H833" s="254">
        <f t="shared" si="32"/>
        <v>12.066666666666668</v>
      </c>
      <c r="I833" s="252">
        <v>33</v>
      </c>
      <c r="J833" s="46" t="s">
        <v>46</v>
      </c>
      <c r="K833" s="46" t="s">
        <v>86</v>
      </c>
      <c r="L833" s="51" t="s">
        <v>104</v>
      </c>
    </row>
    <row r="834" spans="2:12" x14ac:dyDescent="0.2">
      <c r="B834" s="255">
        <v>829</v>
      </c>
      <c r="C834" s="256">
        <v>42557</v>
      </c>
      <c r="D834" s="16">
        <v>0.48958333333333331</v>
      </c>
      <c r="E834" s="255">
        <v>18.600000000000001</v>
      </c>
      <c r="F834" s="255">
        <v>19.7</v>
      </c>
      <c r="G834" s="255">
        <v>20.399999999999999</v>
      </c>
      <c r="H834" s="103">
        <f t="shared" si="32"/>
        <v>19.566666666666666</v>
      </c>
      <c r="I834" s="255">
        <v>37.700000000000003</v>
      </c>
      <c r="J834" s="46" t="s">
        <v>38</v>
      </c>
      <c r="K834" s="255" t="s">
        <v>61</v>
      </c>
      <c r="L834" s="51" t="s">
        <v>104</v>
      </c>
    </row>
    <row r="835" spans="2:12" x14ac:dyDescent="0.2">
      <c r="B835" s="255">
        <v>830</v>
      </c>
      <c r="C835" s="256">
        <v>42557</v>
      </c>
      <c r="D835" s="16">
        <v>0.63541666666666663</v>
      </c>
      <c r="E835" s="255">
        <v>18.600000000000001</v>
      </c>
      <c r="F835" s="255">
        <v>20.9</v>
      </c>
      <c r="G835" s="255">
        <v>22.7</v>
      </c>
      <c r="H835" s="103">
        <f t="shared" si="32"/>
        <v>20.733333333333334</v>
      </c>
      <c r="I835" s="255">
        <v>33</v>
      </c>
      <c r="J835" s="46" t="s">
        <v>39</v>
      </c>
      <c r="K835" s="46" t="s">
        <v>50</v>
      </c>
      <c r="L835" s="50" t="s">
        <v>105</v>
      </c>
    </row>
    <row r="836" spans="2:12" x14ac:dyDescent="0.2">
      <c r="B836" s="255">
        <v>831</v>
      </c>
      <c r="C836" s="256">
        <v>42557</v>
      </c>
      <c r="D836" s="16">
        <v>0.77777777777777779</v>
      </c>
      <c r="E836" s="255">
        <v>15.8</v>
      </c>
      <c r="F836" s="255">
        <v>16.3</v>
      </c>
      <c r="G836" s="255">
        <v>18.2</v>
      </c>
      <c r="H836" s="103">
        <f t="shared" si="32"/>
        <v>16.766666666666666</v>
      </c>
      <c r="I836" s="255">
        <v>32</v>
      </c>
      <c r="J836" s="46" t="s">
        <v>39</v>
      </c>
      <c r="K836" s="46" t="s">
        <v>50</v>
      </c>
      <c r="L836" s="50" t="s">
        <v>105</v>
      </c>
    </row>
    <row r="837" spans="2:12" x14ac:dyDescent="0.2">
      <c r="B837" s="255">
        <v>832</v>
      </c>
      <c r="C837" s="256">
        <v>42557</v>
      </c>
      <c r="D837" s="16">
        <v>0.91666666666666663</v>
      </c>
      <c r="E837" s="255">
        <v>18.3</v>
      </c>
      <c r="F837" s="255">
        <v>19.600000000000001</v>
      </c>
      <c r="G837" s="255">
        <v>21.5</v>
      </c>
      <c r="H837" s="103">
        <f t="shared" si="32"/>
        <v>19.8</v>
      </c>
      <c r="I837" s="255">
        <v>38</v>
      </c>
      <c r="J837" s="46" t="s">
        <v>38</v>
      </c>
      <c r="K837" s="46" t="s">
        <v>83</v>
      </c>
      <c r="L837" s="51" t="s">
        <v>104</v>
      </c>
    </row>
    <row r="838" spans="2:12" x14ac:dyDescent="0.2">
      <c r="B838" s="255">
        <v>833</v>
      </c>
      <c r="C838" s="256">
        <v>42558</v>
      </c>
      <c r="D838" s="16">
        <v>9.0277777777777776E-2</v>
      </c>
      <c r="E838" s="255">
        <v>14.4</v>
      </c>
      <c r="F838" s="255">
        <v>15</v>
      </c>
      <c r="G838" s="255">
        <v>16.899999999999999</v>
      </c>
      <c r="H838" s="103">
        <f t="shared" si="32"/>
        <v>15.433333333333332</v>
      </c>
      <c r="I838" s="255">
        <v>35</v>
      </c>
      <c r="J838" s="46" t="s">
        <v>39</v>
      </c>
      <c r="K838" s="46" t="s">
        <v>83</v>
      </c>
      <c r="L838" s="51" t="s">
        <v>104</v>
      </c>
    </row>
    <row r="839" spans="2:12" x14ac:dyDescent="0.2">
      <c r="B839" s="255">
        <v>834</v>
      </c>
      <c r="C839" s="259">
        <v>42558</v>
      </c>
      <c r="D839" s="16">
        <v>0.4826388888888889</v>
      </c>
      <c r="E839" s="255">
        <v>13.8</v>
      </c>
      <c r="F839" s="255">
        <v>16.600000000000001</v>
      </c>
      <c r="G839" s="255">
        <v>18.899999999999999</v>
      </c>
      <c r="H839" s="103">
        <f t="shared" si="32"/>
        <v>16.433333333333334</v>
      </c>
      <c r="I839" s="255">
        <v>36</v>
      </c>
      <c r="J839" s="46" t="s">
        <v>38</v>
      </c>
      <c r="K839" s="46" t="s">
        <v>50</v>
      </c>
      <c r="L839" s="50" t="s">
        <v>105</v>
      </c>
    </row>
    <row r="840" spans="2:12" x14ac:dyDescent="0.2">
      <c r="B840" s="255">
        <v>835</v>
      </c>
      <c r="C840" s="259">
        <v>42558</v>
      </c>
      <c r="D840" s="16">
        <v>0.63541666666666663</v>
      </c>
      <c r="E840" s="255">
        <v>18.100000000000001</v>
      </c>
      <c r="F840" s="255">
        <v>19.7</v>
      </c>
      <c r="G840" s="255">
        <v>22.3</v>
      </c>
      <c r="H840" s="103">
        <f t="shared" si="32"/>
        <v>20.033333333333331</v>
      </c>
      <c r="I840" s="255">
        <v>29</v>
      </c>
      <c r="J840" s="46" t="s">
        <v>39</v>
      </c>
      <c r="K840" s="46" t="s">
        <v>50</v>
      </c>
      <c r="L840" s="50" t="s">
        <v>94</v>
      </c>
    </row>
    <row r="841" spans="2:12" x14ac:dyDescent="0.2">
      <c r="B841" s="255">
        <v>836</v>
      </c>
      <c r="C841" s="259">
        <v>42558</v>
      </c>
      <c r="D841" s="16">
        <v>0.77777777777777779</v>
      </c>
      <c r="E841" s="255">
        <v>22.2</v>
      </c>
      <c r="F841" s="255">
        <v>23.2</v>
      </c>
      <c r="G841" s="255">
        <v>24.3</v>
      </c>
      <c r="H841" s="103">
        <f t="shared" si="32"/>
        <v>23.233333333333334</v>
      </c>
      <c r="I841" s="255">
        <v>32</v>
      </c>
      <c r="J841" s="46" t="s">
        <v>39</v>
      </c>
      <c r="K841" s="46" t="s">
        <v>50</v>
      </c>
      <c r="L841" s="50" t="s">
        <v>94</v>
      </c>
    </row>
    <row r="842" spans="2:12" x14ac:dyDescent="0.2">
      <c r="B842" s="255">
        <v>837</v>
      </c>
      <c r="C842" s="259">
        <v>42558</v>
      </c>
      <c r="D842" s="16">
        <v>0.93055555555555547</v>
      </c>
      <c r="E842" s="255">
        <v>14.6</v>
      </c>
      <c r="F842" s="255">
        <v>18</v>
      </c>
      <c r="G842" s="255">
        <v>19.5</v>
      </c>
      <c r="H842" s="103">
        <f t="shared" si="32"/>
        <v>17.366666666666667</v>
      </c>
      <c r="I842" s="255">
        <v>36</v>
      </c>
      <c r="J842" s="46" t="s">
        <v>38</v>
      </c>
      <c r="K842" s="46" t="s">
        <v>83</v>
      </c>
      <c r="L842" s="50" t="s">
        <v>103</v>
      </c>
    </row>
    <row r="843" spans="2:12" x14ac:dyDescent="0.2">
      <c r="B843" s="258">
        <v>838</v>
      </c>
      <c r="C843" s="259">
        <v>42559</v>
      </c>
      <c r="D843" s="16">
        <v>0.1111111111111111</v>
      </c>
      <c r="E843" s="258">
        <v>11.9</v>
      </c>
      <c r="F843" s="258">
        <v>15.1</v>
      </c>
      <c r="G843" s="258">
        <v>17.3</v>
      </c>
      <c r="H843" s="103">
        <f t="shared" si="32"/>
        <v>14.766666666666666</v>
      </c>
      <c r="I843" s="258">
        <v>39</v>
      </c>
      <c r="J843" s="46" t="s">
        <v>39</v>
      </c>
      <c r="K843" s="46" t="s">
        <v>83</v>
      </c>
      <c r="L843" s="50" t="s">
        <v>94</v>
      </c>
    </row>
    <row r="844" spans="2:12" x14ac:dyDescent="0.2">
      <c r="B844" s="260">
        <v>839</v>
      </c>
      <c r="C844" s="261">
        <v>42559</v>
      </c>
      <c r="D844" s="16">
        <v>0.4826388888888889</v>
      </c>
      <c r="E844" s="260">
        <v>18.2</v>
      </c>
      <c r="F844" s="260">
        <v>21.1</v>
      </c>
      <c r="G844" s="260">
        <v>22.6</v>
      </c>
      <c r="H844" s="103">
        <f t="shared" si="32"/>
        <v>20.633333333333333</v>
      </c>
      <c r="I844" s="260">
        <v>34</v>
      </c>
      <c r="J844" s="46" t="s">
        <v>38</v>
      </c>
      <c r="K844" s="46" t="s">
        <v>50</v>
      </c>
      <c r="L844" s="50" t="s">
        <v>103</v>
      </c>
    </row>
    <row r="845" spans="2:12" x14ac:dyDescent="0.2">
      <c r="B845" s="260">
        <v>840</v>
      </c>
      <c r="C845" s="261">
        <v>42559</v>
      </c>
      <c r="D845" s="16">
        <v>0.69791666666666663</v>
      </c>
      <c r="E845" s="260">
        <v>17.600000000000001</v>
      </c>
      <c r="F845" s="260">
        <v>18.899999999999999</v>
      </c>
      <c r="G845" s="260">
        <v>21.3</v>
      </c>
      <c r="H845" s="103">
        <f t="shared" si="32"/>
        <v>19.266666666666666</v>
      </c>
      <c r="I845" s="260">
        <v>33</v>
      </c>
      <c r="J845" s="46" t="s">
        <v>39</v>
      </c>
      <c r="K845" s="46" t="s">
        <v>50</v>
      </c>
      <c r="L845" s="50" t="s">
        <v>106</v>
      </c>
    </row>
    <row r="846" spans="2:12" x14ac:dyDescent="0.2">
      <c r="B846" s="260">
        <v>841</v>
      </c>
      <c r="C846" s="261">
        <v>42559</v>
      </c>
      <c r="D846" s="16">
        <v>0.86111111111111116</v>
      </c>
      <c r="E846" s="260">
        <v>17.3</v>
      </c>
      <c r="F846" s="260">
        <v>18.899999999999999</v>
      </c>
      <c r="G846" s="260">
        <v>19.600000000000001</v>
      </c>
      <c r="H846" s="103">
        <f t="shared" si="32"/>
        <v>18.600000000000001</v>
      </c>
      <c r="I846" s="260">
        <v>36</v>
      </c>
      <c r="J846" s="46" t="s">
        <v>39</v>
      </c>
      <c r="K846" s="46" t="s">
        <v>50</v>
      </c>
      <c r="L846" s="50" t="s">
        <v>106</v>
      </c>
    </row>
    <row r="847" spans="2:12" x14ac:dyDescent="0.2">
      <c r="B847" s="260">
        <v>842</v>
      </c>
      <c r="C847" s="261">
        <v>42560</v>
      </c>
      <c r="D847" s="16">
        <v>6.9444444444444441E-3</v>
      </c>
      <c r="E847" s="260">
        <v>18.399999999999999</v>
      </c>
      <c r="F847" s="260">
        <v>22</v>
      </c>
      <c r="G847" s="260">
        <v>23.3</v>
      </c>
      <c r="H847" s="103">
        <f t="shared" si="32"/>
        <v>21.233333333333334</v>
      </c>
      <c r="I847" s="260">
        <v>35</v>
      </c>
      <c r="J847" s="46" t="s">
        <v>38</v>
      </c>
      <c r="K847" s="46" t="s">
        <v>83</v>
      </c>
      <c r="L847" s="50" t="s">
        <v>98</v>
      </c>
    </row>
    <row r="848" spans="2:12" x14ac:dyDescent="0.2">
      <c r="B848" s="260">
        <v>843</v>
      </c>
      <c r="C848" s="261">
        <v>42560</v>
      </c>
      <c r="D848" s="16">
        <v>0.15277777777777776</v>
      </c>
      <c r="E848" s="260">
        <v>10.5</v>
      </c>
      <c r="F848" s="260">
        <v>13.4</v>
      </c>
      <c r="G848" s="260">
        <v>15</v>
      </c>
      <c r="H848" s="103">
        <f t="shared" si="32"/>
        <v>12.966666666666667</v>
      </c>
      <c r="I848" s="260">
        <v>40</v>
      </c>
      <c r="J848" s="46" t="s">
        <v>38</v>
      </c>
      <c r="K848" s="46" t="s">
        <v>83</v>
      </c>
      <c r="L848" s="50" t="s">
        <v>106</v>
      </c>
    </row>
    <row r="849" spans="2:12" x14ac:dyDescent="0.2">
      <c r="B849" s="262">
        <v>844</v>
      </c>
      <c r="C849" s="263">
        <v>42560</v>
      </c>
      <c r="D849" s="16">
        <v>0.41666666666666669</v>
      </c>
      <c r="E849" s="262">
        <v>18.2</v>
      </c>
      <c r="F849" s="262">
        <v>19.600000000000001</v>
      </c>
      <c r="G849" s="262">
        <v>22.7</v>
      </c>
      <c r="H849" s="103">
        <f t="shared" si="32"/>
        <v>20.166666666666668</v>
      </c>
      <c r="I849" s="262">
        <v>34</v>
      </c>
      <c r="J849" s="46" t="s">
        <v>38</v>
      </c>
      <c r="K849" s="46" t="s">
        <v>86</v>
      </c>
      <c r="L849" s="50" t="s">
        <v>107</v>
      </c>
    </row>
    <row r="850" spans="2:12" x14ac:dyDescent="0.2">
      <c r="B850" s="262">
        <v>845</v>
      </c>
      <c r="C850" s="263">
        <v>42560</v>
      </c>
      <c r="D850" s="16">
        <v>0.60763888888888895</v>
      </c>
      <c r="E850" s="262">
        <v>15.3</v>
      </c>
      <c r="F850" s="262">
        <v>17.8</v>
      </c>
      <c r="G850" s="262">
        <v>19.600000000000001</v>
      </c>
      <c r="H850" s="103">
        <f t="shared" si="32"/>
        <v>17.566666666666666</v>
      </c>
      <c r="I850" s="262">
        <v>35</v>
      </c>
      <c r="J850" s="46" t="s">
        <v>39</v>
      </c>
      <c r="K850" s="46" t="s">
        <v>86</v>
      </c>
      <c r="L850" s="50" t="s">
        <v>107</v>
      </c>
    </row>
    <row r="851" spans="2:12" x14ac:dyDescent="0.2">
      <c r="B851" s="262">
        <v>846</v>
      </c>
      <c r="C851" s="263">
        <v>42560</v>
      </c>
      <c r="D851" s="16">
        <v>0.70833333333333337</v>
      </c>
      <c r="E851" s="262">
        <v>15.7</v>
      </c>
      <c r="F851" s="262">
        <v>16.2</v>
      </c>
      <c r="G851" s="262">
        <v>19.8</v>
      </c>
      <c r="H851" s="103">
        <f t="shared" si="32"/>
        <v>17.233333333333334</v>
      </c>
      <c r="I851" s="262">
        <v>36</v>
      </c>
      <c r="J851" s="46" t="s">
        <v>38</v>
      </c>
      <c r="K851" s="46" t="s">
        <v>50</v>
      </c>
      <c r="L851" s="50" t="s">
        <v>108</v>
      </c>
    </row>
    <row r="852" spans="2:12" x14ac:dyDescent="0.2">
      <c r="B852" s="262">
        <v>847</v>
      </c>
      <c r="C852" s="263">
        <v>42560</v>
      </c>
      <c r="D852" s="16">
        <v>0.86111111111111116</v>
      </c>
      <c r="E852" s="262">
        <v>11.9</v>
      </c>
      <c r="F852" s="262">
        <v>12.7</v>
      </c>
      <c r="G852" s="262">
        <v>14.8</v>
      </c>
      <c r="H852" s="103">
        <f t="shared" si="32"/>
        <v>13.133333333333335</v>
      </c>
      <c r="I852" s="262">
        <v>45</v>
      </c>
      <c r="J852" s="46" t="s">
        <v>39</v>
      </c>
      <c r="K852" s="46" t="s">
        <v>50</v>
      </c>
      <c r="L852" s="50" t="s">
        <v>108</v>
      </c>
    </row>
    <row r="853" spans="2:12" x14ac:dyDescent="0.2">
      <c r="B853" s="262">
        <v>848</v>
      </c>
      <c r="C853" s="263">
        <v>42561</v>
      </c>
      <c r="D853" s="16">
        <v>3.125E-2</v>
      </c>
      <c r="E853" s="262">
        <v>15.8</v>
      </c>
      <c r="F853" s="262">
        <v>16.100000000000001</v>
      </c>
      <c r="G853" s="262">
        <v>17.2</v>
      </c>
      <c r="H853" s="103">
        <f t="shared" si="32"/>
        <v>16.366666666666667</v>
      </c>
      <c r="I853" s="262">
        <v>36</v>
      </c>
      <c r="J853" s="46" t="s">
        <v>46</v>
      </c>
      <c r="K853" s="46" t="s">
        <v>50</v>
      </c>
      <c r="L853" s="50" t="s">
        <v>94</v>
      </c>
    </row>
    <row r="854" spans="2:12" x14ac:dyDescent="0.2">
      <c r="B854" s="264">
        <v>849</v>
      </c>
      <c r="C854" s="265">
        <v>42561</v>
      </c>
      <c r="D854" s="16">
        <v>0.4375</v>
      </c>
      <c r="E854" s="264">
        <v>16.8</v>
      </c>
      <c r="F854" s="264">
        <v>17</v>
      </c>
      <c r="G854" s="264">
        <v>19.2</v>
      </c>
      <c r="H854" s="103">
        <f t="shared" si="32"/>
        <v>17.666666666666668</v>
      </c>
      <c r="I854" s="264">
        <v>35</v>
      </c>
      <c r="J854" s="46" t="s">
        <v>38</v>
      </c>
      <c r="K854" s="46" t="s">
        <v>50</v>
      </c>
      <c r="L854" s="50" t="s">
        <v>94</v>
      </c>
    </row>
    <row r="855" spans="2:12" x14ac:dyDescent="0.2">
      <c r="B855" s="264">
        <v>850</v>
      </c>
      <c r="C855" s="265">
        <v>42561</v>
      </c>
      <c r="D855" s="16">
        <v>0.61111111111111105</v>
      </c>
      <c r="E855" s="264">
        <v>18.7</v>
      </c>
      <c r="F855" s="264">
        <v>19.399999999999999</v>
      </c>
      <c r="G855" s="264">
        <v>20.100000000000001</v>
      </c>
      <c r="H855" s="103">
        <f t="shared" si="32"/>
        <v>19.399999999999999</v>
      </c>
      <c r="I855" s="264">
        <v>33</v>
      </c>
      <c r="J855" s="46" t="s">
        <v>39</v>
      </c>
      <c r="K855" s="46" t="s">
        <v>83</v>
      </c>
      <c r="L855" s="50" t="s">
        <v>107</v>
      </c>
    </row>
    <row r="856" spans="2:12" x14ac:dyDescent="0.2">
      <c r="B856" s="264">
        <v>851</v>
      </c>
      <c r="C856" s="265">
        <v>42561</v>
      </c>
      <c r="D856" s="16">
        <v>0.76736111111111116</v>
      </c>
      <c r="E856" s="264">
        <v>15.6</v>
      </c>
      <c r="F856" s="264">
        <v>16.600000000000001</v>
      </c>
      <c r="G856" s="264">
        <v>17.600000000000001</v>
      </c>
      <c r="H856" s="103">
        <f t="shared" si="32"/>
        <v>16.600000000000001</v>
      </c>
      <c r="I856" s="264">
        <v>32</v>
      </c>
      <c r="J856" s="46" t="s">
        <v>38</v>
      </c>
      <c r="K856" s="46" t="s">
        <v>62</v>
      </c>
      <c r="L856" s="50" t="s">
        <v>107</v>
      </c>
    </row>
    <row r="857" spans="2:12" x14ac:dyDescent="0.2">
      <c r="B857" s="264">
        <v>852</v>
      </c>
      <c r="C857" s="265">
        <v>42561</v>
      </c>
      <c r="D857" s="16">
        <v>0.91666666666666663</v>
      </c>
      <c r="E857" s="264">
        <v>18.2</v>
      </c>
      <c r="F857" s="264">
        <v>19.399999999999999</v>
      </c>
      <c r="G857" s="264">
        <v>21.4</v>
      </c>
      <c r="H857" s="103">
        <f t="shared" si="32"/>
        <v>19.666666666666664</v>
      </c>
      <c r="I857" s="264">
        <v>27</v>
      </c>
      <c r="J857" s="46" t="s">
        <v>39</v>
      </c>
      <c r="K857" s="46" t="s">
        <v>83</v>
      </c>
      <c r="L857" s="50" t="s">
        <v>94</v>
      </c>
    </row>
    <row r="858" spans="2:12" x14ac:dyDescent="0.2">
      <c r="B858" s="264">
        <v>853</v>
      </c>
      <c r="C858" s="265">
        <v>42562</v>
      </c>
      <c r="D858" s="16">
        <v>6.9444444444444434E-2</v>
      </c>
      <c r="E858" s="264">
        <v>17.899999999999999</v>
      </c>
      <c r="F858" s="264">
        <v>18.2</v>
      </c>
      <c r="G858" s="264">
        <v>22.5</v>
      </c>
      <c r="H858" s="103">
        <f t="shared" si="32"/>
        <v>19.533333333333331</v>
      </c>
      <c r="I858" s="264">
        <v>30</v>
      </c>
      <c r="J858" s="46" t="s">
        <v>39</v>
      </c>
      <c r="K858" s="46" t="s">
        <v>50</v>
      </c>
      <c r="L858" s="50" t="s">
        <v>106</v>
      </c>
    </row>
    <row r="859" spans="2:12" x14ac:dyDescent="0.2">
      <c r="B859" s="266">
        <v>854</v>
      </c>
      <c r="C859" s="267">
        <v>42562</v>
      </c>
      <c r="D859" s="16">
        <v>0.46875</v>
      </c>
      <c r="E859" s="266">
        <v>17.8</v>
      </c>
      <c r="F859" s="266">
        <v>19</v>
      </c>
      <c r="G859" s="266">
        <v>21.3</v>
      </c>
      <c r="H859" s="103">
        <f t="shared" si="32"/>
        <v>19.366666666666664</v>
      </c>
      <c r="I859" s="266">
        <v>33</v>
      </c>
      <c r="J859" s="266" t="s">
        <v>38</v>
      </c>
      <c r="K859" s="266" t="s">
        <v>86</v>
      </c>
      <c r="L859" s="266" t="s">
        <v>107</v>
      </c>
    </row>
    <row r="860" spans="2:12" x14ac:dyDescent="0.2">
      <c r="B860" s="266">
        <v>855</v>
      </c>
      <c r="C860" s="267">
        <v>42562</v>
      </c>
      <c r="D860" s="16">
        <v>0.64166666666666672</v>
      </c>
      <c r="E860" s="266">
        <v>15.6</v>
      </c>
      <c r="F860" s="266">
        <v>17.399999999999999</v>
      </c>
      <c r="G860" s="266">
        <v>26.4</v>
      </c>
      <c r="H860" s="103">
        <f t="shared" si="32"/>
        <v>19.8</v>
      </c>
      <c r="I860" s="266">
        <v>33</v>
      </c>
      <c r="J860" s="266" t="s">
        <v>39</v>
      </c>
      <c r="K860" s="266" t="s">
        <v>86</v>
      </c>
      <c r="L860" s="266" t="s">
        <v>100</v>
      </c>
    </row>
    <row r="861" spans="2:12" x14ac:dyDescent="0.2">
      <c r="B861" s="266">
        <v>856</v>
      </c>
      <c r="C861" s="269">
        <v>42562</v>
      </c>
      <c r="D861" s="16">
        <v>0.77777777777777779</v>
      </c>
      <c r="E861" s="46">
        <v>17.8</v>
      </c>
      <c r="F861" s="46">
        <v>18.100000000000001</v>
      </c>
      <c r="G861" s="46">
        <v>22.2</v>
      </c>
      <c r="H861" s="103">
        <f t="shared" si="32"/>
        <v>19.366666666666671</v>
      </c>
      <c r="I861" s="46">
        <v>42</v>
      </c>
      <c r="J861" s="268" t="s">
        <v>39</v>
      </c>
      <c r="K861" s="46" t="s">
        <v>83</v>
      </c>
      <c r="L861" s="46" t="s">
        <v>94</v>
      </c>
    </row>
    <row r="862" spans="2:12" x14ac:dyDescent="0.2">
      <c r="B862" s="266">
        <v>857</v>
      </c>
      <c r="C862" s="269">
        <v>42562</v>
      </c>
      <c r="D862" s="16">
        <v>0.90625</v>
      </c>
      <c r="E862" s="46">
        <v>18.8</v>
      </c>
      <c r="F862" s="46">
        <v>23.5</v>
      </c>
      <c r="G862" s="46">
        <v>25.4</v>
      </c>
      <c r="H862" s="103">
        <f t="shared" si="32"/>
        <v>22.566666666666663</v>
      </c>
      <c r="I862" s="46">
        <v>32</v>
      </c>
      <c r="J862" s="268" t="s">
        <v>39</v>
      </c>
      <c r="K862" s="46" t="s">
        <v>85</v>
      </c>
      <c r="L862" s="268" t="s">
        <v>99</v>
      </c>
    </row>
    <row r="863" spans="2:12" x14ac:dyDescent="0.2">
      <c r="B863" s="266">
        <v>858</v>
      </c>
      <c r="C863" s="269">
        <v>42563</v>
      </c>
      <c r="D863" s="16">
        <v>6.9444444444444434E-2</v>
      </c>
      <c r="E863" s="46">
        <v>17.600000000000001</v>
      </c>
      <c r="F863" s="46">
        <v>20.3</v>
      </c>
      <c r="G863" s="46">
        <v>24.9</v>
      </c>
      <c r="H863" s="103">
        <f t="shared" si="32"/>
        <v>20.933333333333334</v>
      </c>
      <c r="I863" s="46">
        <v>32</v>
      </c>
      <c r="J863" s="268" t="s">
        <v>39</v>
      </c>
      <c r="K863" s="46" t="s">
        <v>85</v>
      </c>
      <c r="L863" s="268" t="s">
        <v>99</v>
      </c>
    </row>
    <row r="864" spans="2:12" x14ac:dyDescent="0.2">
      <c r="B864" s="266">
        <v>859</v>
      </c>
      <c r="C864" s="269">
        <v>42563</v>
      </c>
      <c r="D864" s="16">
        <v>0.51041666666666663</v>
      </c>
      <c r="E864" s="46">
        <v>15.1</v>
      </c>
      <c r="F864" s="46">
        <v>15.4</v>
      </c>
      <c r="G864" s="46">
        <v>16.600000000000001</v>
      </c>
      <c r="H864" s="103">
        <f t="shared" si="32"/>
        <v>15.700000000000001</v>
      </c>
      <c r="I864" s="46">
        <v>35</v>
      </c>
      <c r="J864" s="46" t="s">
        <v>38</v>
      </c>
      <c r="K864" s="46" t="s">
        <v>62</v>
      </c>
      <c r="L864" s="268" t="s">
        <v>107</v>
      </c>
    </row>
    <row r="865" spans="2:12" x14ac:dyDescent="0.2">
      <c r="B865" s="268">
        <v>860</v>
      </c>
      <c r="C865" s="269">
        <v>42563</v>
      </c>
      <c r="D865" s="16">
        <v>0.63194444444444442</v>
      </c>
      <c r="E865" s="46">
        <v>17.899999999999999</v>
      </c>
      <c r="F865" s="46">
        <v>18.3</v>
      </c>
      <c r="G865" s="46">
        <v>19.399999999999999</v>
      </c>
      <c r="H865" s="103">
        <f t="shared" si="32"/>
        <v>18.533333333333335</v>
      </c>
      <c r="I865" s="46">
        <v>32</v>
      </c>
      <c r="J865" s="46" t="s">
        <v>39</v>
      </c>
      <c r="K865" s="46" t="s">
        <v>86</v>
      </c>
      <c r="L865" s="268" t="s">
        <v>107</v>
      </c>
    </row>
    <row r="866" spans="2:12" x14ac:dyDescent="0.2">
      <c r="B866" s="268">
        <v>861</v>
      </c>
      <c r="C866" s="269">
        <v>42563</v>
      </c>
      <c r="D866" s="16">
        <v>0.77777777777777779</v>
      </c>
      <c r="E866" s="46">
        <v>16.3</v>
      </c>
      <c r="F866" s="46">
        <v>17.600000000000001</v>
      </c>
      <c r="G866" s="46">
        <v>18.2</v>
      </c>
      <c r="H866" s="103">
        <f t="shared" si="32"/>
        <v>17.366666666666671</v>
      </c>
      <c r="I866" s="46">
        <v>28</v>
      </c>
      <c r="J866" s="46" t="s">
        <v>39</v>
      </c>
      <c r="K866" s="46" t="s">
        <v>86</v>
      </c>
      <c r="L866" s="268" t="s">
        <v>116</v>
      </c>
    </row>
    <row r="867" spans="2:12" x14ac:dyDescent="0.2">
      <c r="B867" s="268">
        <v>862</v>
      </c>
      <c r="C867" s="269">
        <v>42563</v>
      </c>
      <c r="D867" s="16">
        <v>0.92708333333333337</v>
      </c>
      <c r="E867" s="46">
        <v>20.399999999999999</v>
      </c>
      <c r="F867" s="46">
        <v>21.8</v>
      </c>
      <c r="G867" s="46">
        <v>24.9</v>
      </c>
      <c r="H867" s="103">
        <f t="shared" si="32"/>
        <v>22.366666666666664</v>
      </c>
      <c r="I867" s="46">
        <v>40</v>
      </c>
      <c r="J867" s="46" t="s">
        <v>38</v>
      </c>
      <c r="K867" s="46" t="s">
        <v>90</v>
      </c>
      <c r="L867" s="50" t="s">
        <v>117</v>
      </c>
    </row>
    <row r="868" spans="2:12" x14ac:dyDescent="0.2">
      <c r="B868" s="268">
        <v>863</v>
      </c>
      <c r="C868" s="269">
        <v>42564</v>
      </c>
      <c r="D868" s="16">
        <v>9.375E-2</v>
      </c>
      <c r="E868" s="46">
        <v>17.5</v>
      </c>
      <c r="F868" s="46">
        <v>21.5</v>
      </c>
      <c r="G868" s="46">
        <v>22</v>
      </c>
      <c r="H868" s="103">
        <f t="shared" si="32"/>
        <v>20.333333333333332</v>
      </c>
      <c r="I868" s="46">
        <v>26</v>
      </c>
      <c r="J868" s="46" t="s">
        <v>39</v>
      </c>
      <c r="K868" s="46" t="s">
        <v>85</v>
      </c>
      <c r="L868" s="50" t="s">
        <v>117</v>
      </c>
    </row>
    <row r="869" spans="2:12" x14ac:dyDescent="0.2">
      <c r="B869" s="290">
        <v>864</v>
      </c>
      <c r="C869" s="291">
        <v>42564</v>
      </c>
      <c r="D869" s="16">
        <v>0.46875</v>
      </c>
      <c r="E869" s="290">
        <v>13.7</v>
      </c>
      <c r="F869" s="290">
        <v>14.2</v>
      </c>
      <c r="G869" s="290">
        <v>14.9</v>
      </c>
      <c r="H869" s="103">
        <f t="shared" si="32"/>
        <v>14.266666666666666</v>
      </c>
      <c r="I869" s="290">
        <v>14.2</v>
      </c>
      <c r="J869" s="46" t="s">
        <v>38</v>
      </c>
      <c r="K869" s="46" t="s">
        <v>86</v>
      </c>
      <c r="L869" s="290" t="s">
        <v>107</v>
      </c>
    </row>
    <row r="870" spans="2:12" x14ac:dyDescent="0.2">
      <c r="B870" s="290">
        <v>865</v>
      </c>
      <c r="C870" s="291">
        <v>42564</v>
      </c>
      <c r="D870" s="16">
        <v>0.61111111111111105</v>
      </c>
      <c r="E870" s="290">
        <v>18.100000000000001</v>
      </c>
      <c r="F870" s="290">
        <v>19.5</v>
      </c>
      <c r="G870" s="290">
        <v>20.399999999999999</v>
      </c>
      <c r="H870" s="103">
        <f t="shared" si="32"/>
        <v>19.333333333333332</v>
      </c>
      <c r="I870" s="290">
        <v>19.3</v>
      </c>
      <c r="J870" s="46" t="s">
        <v>39</v>
      </c>
      <c r="K870" s="46" t="s">
        <v>86</v>
      </c>
      <c r="L870" s="290" t="s">
        <v>99</v>
      </c>
    </row>
    <row r="871" spans="2:12" x14ac:dyDescent="0.2">
      <c r="B871" s="290">
        <v>866</v>
      </c>
      <c r="C871" s="291">
        <v>42564</v>
      </c>
      <c r="D871" s="16">
        <v>0.75694444444444453</v>
      </c>
      <c r="E871" s="290">
        <v>17.899999999999999</v>
      </c>
      <c r="F871" s="290">
        <v>18.100000000000001</v>
      </c>
      <c r="G871" s="290">
        <v>19.399999999999999</v>
      </c>
      <c r="H871" s="103">
        <f t="shared" si="32"/>
        <v>18.466666666666665</v>
      </c>
      <c r="I871" s="290">
        <v>18.399999999999999</v>
      </c>
      <c r="J871" s="46" t="s">
        <v>39</v>
      </c>
      <c r="K871" s="46" t="s">
        <v>86</v>
      </c>
      <c r="L871" s="290" t="s">
        <v>107</v>
      </c>
    </row>
    <row r="872" spans="2:12" x14ac:dyDescent="0.2">
      <c r="B872" s="290">
        <v>867</v>
      </c>
      <c r="C872" s="291">
        <v>42564</v>
      </c>
      <c r="D872" s="16">
        <v>0.92361111111111116</v>
      </c>
      <c r="E872" s="290">
        <v>18.100000000000001</v>
      </c>
      <c r="F872" s="290">
        <v>22.6</v>
      </c>
      <c r="G872" s="290">
        <v>23</v>
      </c>
      <c r="H872" s="103">
        <f t="shared" si="32"/>
        <v>21.233333333333334</v>
      </c>
      <c r="I872" s="290">
        <v>21.2</v>
      </c>
      <c r="J872" s="46" t="s">
        <v>38</v>
      </c>
      <c r="K872" s="46" t="s">
        <v>90</v>
      </c>
      <c r="L872" s="290" t="s">
        <v>98</v>
      </c>
    </row>
    <row r="873" spans="2:12" x14ac:dyDescent="0.2">
      <c r="B873" s="290">
        <v>868</v>
      </c>
      <c r="C873" s="291">
        <v>42565</v>
      </c>
      <c r="D873" s="16">
        <v>9.0277777777777776E-2</v>
      </c>
      <c r="E873" s="290">
        <v>16.3</v>
      </c>
      <c r="F873" s="290">
        <v>17.399999999999999</v>
      </c>
      <c r="G873" s="290">
        <v>20.7</v>
      </c>
      <c r="H873" s="103">
        <f t="shared" si="32"/>
        <v>18.133333333333336</v>
      </c>
      <c r="I873" s="290">
        <v>18.100000000000001</v>
      </c>
      <c r="J873" s="46" t="s">
        <v>39</v>
      </c>
      <c r="K873" s="46" t="s">
        <v>118</v>
      </c>
      <c r="L873" s="290" t="s">
        <v>98</v>
      </c>
    </row>
    <row r="874" spans="2:12" x14ac:dyDescent="0.2">
      <c r="B874" s="290">
        <v>869</v>
      </c>
      <c r="C874" s="291">
        <v>42565</v>
      </c>
      <c r="D874" s="16">
        <v>0.46875</v>
      </c>
      <c r="E874" s="290">
        <v>18.100000000000001</v>
      </c>
      <c r="F874" s="290">
        <v>18.7</v>
      </c>
      <c r="G874" s="290">
        <v>20.3</v>
      </c>
      <c r="H874" s="103">
        <f t="shared" si="32"/>
        <v>19.033333333333331</v>
      </c>
      <c r="I874" s="290">
        <v>33</v>
      </c>
      <c r="J874" s="46" t="s">
        <v>38</v>
      </c>
      <c r="K874" s="46" t="s">
        <v>86</v>
      </c>
      <c r="L874" s="290" t="s">
        <v>103</v>
      </c>
    </row>
    <row r="875" spans="2:12" x14ac:dyDescent="0.2">
      <c r="B875" s="290">
        <v>870</v>
      </c>
      <c r="C875" s="291">
        <v>42565</v>
      </c>
      <c r="D875" s="16">
        <v>0.61111111111111105</v>
      </c>
      <c r="E875" s="290">
        <v>17.5</v>
      </c>
      <c r="F875" s="290">
        <v>18.7</v>
      </c>
      <c r="G875" s="290">
        <v>19.3</v>
      </c>
      <c r="H875" s="103">
        <f t="shared" si="32"/>
        <v>18.5</v>
      </c>
      <c r="I875" s="290">
        <v>31</v>
      </c>
      <c r="J875" s="46" t="s">
        <v>39</v>
      </c>
      <c r="K875" s="46" t="s">
        <v>86</v>
      </c>
      <c r="L875" s="290" t="s">
        <v>104</v>
      </c>
    </row>
    <row r="876" spans="2:12" x14ac:dyDescent="0.2">
      <c r="B876" s="290">
        <v>871</v>
      </c>
      <c r="C876" s="291">
        <v>42565</v>
      </c>
      <c r="D876" s="16">
        <v>0.75694444444444453</v>
      </c>
      <c r="E876" s="290">
        <v>16.899999999999999</v>
      </c>
      <c r="F876" s="290">
        <v>17.2</v>
      </c>
      <c r="G876" s="290">
        <v>18.399999999999999</v>
      </c>
      <c r="H876" s="103">
        <f t="shared" si="32"/>
        <v>17.499999999999996</v>
      </c>
      <c r="I876" s="290">
        <v>41</v>
      </c>
      <c r="J876" s="46" t="s">
        <v>39</v>
      </c>
      <c r="K876" s="46" t="s">
        <v>86</v>
      </c>
      <c r="L876" s="290" t="s">
        <v>116</v>
      </c>
    </row>
    <row r="877" spans="2:12" x14ac:dyDescent="0.2">
      <c r="B877" s="46">
        <v>872</v>
      </c>
      <c r="C877" s="291">
        <v>42565</v>
      </c>
      <c r="D877" s="16">
        <v>0.9375</v>
      </c>
      <c r="E877" s="290">
        <v>11.8</v>
      </c>
      <c r="F877" s="290">
        <v>14.6</v>
      </c>
      <c r="G877" s="290">
        <v>17.100000000000001</v>
      </c>
      <c r="H877" s="103">
        <f t="shared" si="32"/>
        <v>14.5</v>
      </c>
      <c r="I877" s="290">
        <v>36</v>
      </c>
      <c r="J877" s="46" t="s">
        <v>38</v>
      </c>
      <c r="K877" s="46" t="s">
        <v>85</v>
      </c>
      <c r="L877" s="290" t="s">
        <v>94</v>
      </c>
    </row>
    <row r="878" spans="2:12" x14ac:dyDescent="0.2">
      <c r="B878" s="290">
        <v>873</v>
      </c>
      <c r="C878" s="291">
        <v>42566</v>
      </c>
      <c r="D878" s="16">
        <v>9.0277777777777776E-2</v>
      </c>
      <c r="E878" s="290">
        <v>11.2</v>
      </c>
      <c r="F878" s="290">
        <v>12.2</v>
      </c>
      <c r="G878" s="290">
        <v>13.6</v>
      </c>
      <c r="H878" s="103">
        <f t="shared" si="32"/>
        <v>12.333333333333334</v>
      </c>
      <c r="I878" s="290">
        <v>31</v>
      </c>
      <c r="J878" s="46" t="s">
        <v>39</v>
      </c>
      <c r="K878" s="46" t="s">
        <v>85</v>
      </c>
      <c r="L878" s="290" t="s">
        <v>119</v>
      </c>
    </row>
    <row r="879" spans="2:12" x14ac:dyDescent="0.2">
      <c r="B879" s="292">
        <v>874</v>
      </c>
      <c r="C879" s="293">
        <v>42566</v>
      </c>
      <c r="D879" s="16">
        <v>0.46875</v>
      </c>
      <c r="E879" s="292">
        <v>18.100000000000001</v>
      </c>
      <c r="F879" s="292">
        <v>18.7</v>
      </c>
      <c r="G879" s="292">
        <v>20.3</v>
      </c>
      <c r="H879" s="103">
        <f t="shared" si="32"/>
        <v>19.033333333333331</v>
      </c>
      <c r="I879" s="292">
        <v>33</v>
      </c>
      <c r="J879" s="46" t="s">
        <v>38</v>
      </c>
      <c r="K879" s="46" t="s">
        <v>86</v>
      </c>
      <c r="L879" s="292" t="s">
        <v>103</v>
      </c>
    </row>
    <row r="880" spans="2:12" x14ac:dyDescent="0.2">
      <c r="B880" s="292">
        <v>875</v>
      </c>
      <c r="C880" s="293">
        <v>42566</v>
      </c>
      <c r="D880" s="16">
        <v>0.61111111111111105</v>
      </c>
      <c r="E880" s="292">
        <v>17.5</v>
      </c>
      <c r="F880" s="292">
        <v>18.7</v>
      </c>
      <c r="G880" s="292">
        <v>19.3</v>
      </c>
      <c r="H880" s="103">
        <f t="shared" si="32"/>
        <v>18.5</v>
      </c>
      <c r="I880" s="292">
        <v>31</v>
      </c>
      <c r="J880" s="46" t="s">
        <v>39</v>
      </c>
      <c r="K880" s="46" t="s">
        <v>86</v>
      </c>
      <c r="L880" s="292" t="s">
        <v>104</v>
      </c>
    </row>
    <row r="881" spans="2:12" x14ac:dyDescent="0.2">
      <c r="B881" s="292">
        <v>876</v>
      </c>
      <c r="C881" s="293">
        <v>42566</v>
      </c>
      <c r="D881" s="16">
        <v>0.67361111111111116</v>
      </c>
      <c r="E881" s="292">
        <v>16.899999999999999</v>
      </c>
      <c r="F881" s="292">
        <v>17.600000000000001</v>
      </c>
      <c r="G881" s="292">
        <v>18.5</v>
      </c>
      <c r="H881" s="103">
        <f t="shared" si="32"/>
        <v>17.666666666666668</v>
      </c>
      <c r="I881" s="292">
        <v>39</v>
      </c>
      <c r="J881" s="46" t="s">
        <v>39</v>
      </c>
      <c r="K881" s="46" t="s">
        <v>83</v>
      </c>
      <c r="L881" s="292" t="s">
        <v>116</v>
      </c>
    </row>
    <row r="882" spans="2:12" x14ac:dyDescent="0.2">
      <c r="B882" s="292">
        <v>877</v>
      </c>
      <c r="C882" s="293">
        <v>42566</v>
      </c>
      <c r="D882" s="16">
        <v>0.82291666666666663</v>
      </c>
      <c r="E882" s="292">
        <v>13.9</v>
      </c>
      <c r="F882" s="292">
        <v>15.8</v>
      </c>
      <c r="G882" s="292">
        <v>18.399999999999999</v>
      </c>
      <c r="H882" s="103">
        <f t="shared" si="32"/>
        <v>16.033333333333335</v>
      </c>
      <c r="I882" s="292">
        <v>31.9</v>
      </c>
      <c r="J882" s="46" t="s">
        <v>39</v>
      </c>
      <c r="K882" s="46" t="s">
        <v>83</v>
      </c>
      <c r="L882" s="292" t="s">
        <v>104</v>
      </c>
    </row>
    <row r="883" spans="2:12" x14ac:dyDescent="0.2">
      <c r="B883" s="292">
        <v>878</v>
      </c>
      <c r="C883" s="293">
        <v>42566</v>
      </c>
      <c r="D883" s="16">
        <v>0.98611111111111116</v>
      </c>
      <c r="E883" s="292">
        <v>13.7</v>
      </c>
      <c r="F883" s="292">
        <v>17.600000000000001</v>
      </c>
      <c r="G883" s="292">
        <v>20.9</v>
      </c>
      <c r="H883" s="103">
        <f t="shared" si="32"/>
        <v>17.400000000000002</v>
      </c>
      <c r="I883" s="292">
        <v>32</v>
      </c>
      <c r="J883" s="46" t="s">
        <v>39</v>
      </c>
      <c r="K883" s="46" t="s">
        <v>83</v>
      </c>
      <c r="L883" s="292" t="s">
        <v>104</v>
      </c>
    </row>
    <row r="884" spans="2:12" x14ac:dyDescent="0.2">
      <c r="B884" s="292">
        <v>879</v>
      </c>
      <c r="C884" s="293">
        <v>42567</v>
      </c>
      <c r="D884" s="16">
        <v>0.15277777777777776</v>
      </c>
      <c r="E884" s="292">
        <v>19.399999999999999</v>
      </c>
      <c r="F884" s="292">
        <v>20.2</v>
      </c>
      <c r="G884" s="292">
        <v>23.7</v>
      </c>
      <c r="H884" s="103">
        <f t="shared" si="32"/>
        <v>21.099999999999998</v>
      </c>
      <c r="I884" s="292">
        <v>36</v>
      </c>
      <c r="J884" s="292" t="s">
        <v>46</v>
      </c>
      <c r="K884" s="46" t="s">
        <v>83</v>
      </c>
      <c r="L884" s="292" t="s">
        <v>104</v>
      </c>
    </row>
    <row r="885" spans="2:12" x14ac:dyDescent="0.2">
      <c r="B885" s="294">
        <v>880</v>
      </c>
      <c r="C885" s="295">
        <v>42567</v>
      </c>
      <c r="D885" s="16">
        <v>0.47916666666666669</v>
      </c>
      <c r="E885" s="46">
        <v>17.2</v>
      </c>
      <c r="F885" s="46">
        <v>19.7</v>
      </c>
      <c r="G885" s="46">
        <v>22.6</v>
      </c>
      <c r="H885" s="103">
        <f t="shared" si="32"/>
        <v>19.833333333333332</v>
      </c>
      <c r="I885" s="46">
        <v>34</v>
      </c>
      <c r="J885" s="46" t="s">
        <v>38</v>
      </c>
      <c r="K885" s="46" t="s">
        <v>61</v>
      </c>
      <c r="L885" s="294" t="s">
        <v>103</v>
      </c>
    </row>
    <row r="886" spans="2:12" x14ac:dyDescent="0.2">
      <c r="B886" s="294">
        <v>881</v>
      </c>
      <c r="C886" s="295">
        <v>42567</v>
      </c>
      <c r="D886" s="16">
        <v>0.71527777777777779</v>
      </c>
      <c r="E886" s="46">
        <v>18.100000000000001</v>
      </c>
      <c r="F886" s="46">
        <v>19.5</v>
      </c>
      <c r="G886" s="46">
        <v>20.3</v>
      </c>
      <c r="H886" s="103">
        <f t="shared" ref="H886:H949" si="33">AVERAGE(E886:G886)</f>
        <v>19.3</v>
      </c>
      <c r="I886" s="46">
        <v>31</v>
      </c>
      <c r="J886" s="46" t="s">
        <v>39</v>
      </c>
      <c r="K886" s="46" t="s">
        <v>86</v>
      </c>
      <c r="L886" s="46" t="s">
        <v>94</v>
      </c>
    </row>
    <row r="887" spans="2:12" x14ac:dyDescent="0.2">
      <c r="B887" s="294">
        <v>882</v>
      </c>
      <c r="C887" s="295">
        <v>42567</v>
      </c>
      <c r="D887" s="16">
        <v>0.91666666666666663</v>
      </c>
      <c r="E887" s="46">
        <v>20.7</v>
      </c>
      <c r="F887" s="46">
        <v>21.4</v>
      </c>
      <c r="G887" s="46">
        <v>22.1</v>
      </c>
      <c r="H887" s="103">
        <f t="shared" si="33"/>
        <v>21.399999999999995</v>
      </c>
      <c r="I887" s="46">
        <v>31</v>
      </c>
      <c r="J887" s="46" t="s">
        <v>39</v>
      </c>
      <c r="K887" s="46" t="s">
        <v>85</v>
      </c>
      <c r="L887" s="46" t="s">
        <v>94</v>
      </c>
    </row>
    <row r="888" spans="2:12" x14ac:dyDescent="0.2">
      <c r="B888" s="294">
        <v>883</v>
      </c>
      <c r="C888" s="295">
        <v>42568</v>
      </c>
      <c r="D888" s="16">
        <v>6.9444444444444434E-2</v>
      </c>
      <c r="E888" s="46">
        <v>10.199999999999999</v>
      </c>
      <c r="F888" s="46">
        <v>13.9</v>
      </c>
      <c r="G888" s="46">
        <v>14.3</v>
      </c>
      <c r="H888" s="103">
        <f t="shared" si="33"/>
        <v>12.800000000000002</v>
      </c>
      <c r="I888" s="46">
        <v>38</v>
      </c>
      <c r="J888" s="46" t="s">
        <v>38</v>
      </c>
      <c r="K888" s="46" t="s">
        <v>85</v>
      </c>
      <c r="L888" s="294" t="s">
        <v>119</v>
      </c>
    </row>
    <row r="889" spans="2:12" x14ac:dyDescent="0.2">
      <c r="B889" s="294">
        <v>884</v>
      </c>
      <c r="C889" s="295">
        <v>42568</v>
      </c>
      <c r="D889" s="16">
        <v>0.23611111111111113</v>
      </c>
      <c r="E889" s="46">
        <v>14.5</v>
      </c>
      <c r="F889" s="46">
        <v>20.8</v>
      </c>
      <c r="G889" s="46">
        <v>22.1</v>
      </c>
      <c r="H889" s="103">
        <f t="shared" si="33"/>
        <v>19.133333333333333</v>
      </c>
      <c r="I889" s="46">
        <v>43</v>
      </c>
      <c r="J889" s="46" t="s">
        <v>39</v>
      </c>
      <c r="K889" s="46" t="s">
        <v>85</v>
      </c>
      <c r="L889" s="294" t="s">
        <v>99</v>
      </c>
    </row>
    <row r="890" spans="2:12" x14ac:dyDescent="0.2">
      <c r="B890" s="296">
        <v>885</v>
      </c>
      <c r="C890" s="297">
        <v>42568</v>
      </c>
      <c r="D890" s="16">
        <v>0.46527777777777773</v>
      </c>
      <c r="E890" s="46">
        <v>13.7</v>
      </c>
      <c r="F890" s="46">
        <v>13.2</v>
      </c>
      <c r="G890" s="46">
        <v>17.5</v>
      </c>
      <c r="H890" s="103">
        <f t="shared" si="33"/>
        <v>14.799999999999999</v>
      </c>
      <c r="I890" s="46">
        <v>32</v>
      </c>
      <c r="J890" s="46" t="s">
        <v>38</v>
      </c>
      <c r="K890" s="46" t="s">
        <v>50</v>
      </c>
      <c r="L890" s="296" t="s">
        <v>103</v>
      </c>
    </row>
    <row r="891" spans="2:12" x14ac:dyDescent="0.2">
      <c r="B891" s="296">
        <v>886</v>
      </c>
      <c r="C891" s="297">
        <v>42568</v>
      </c>
      <c r="D891" s="16">
        <v>0.61111111111111105</v>
      </c>
      <c r="E891" s="46">
        <v>20.100000000000001</v>
      </c>
      <c r="F891" s="46">
        <v>21.5</v>
      </c>
      <c r="G891" s="46">
        <v>22.1</v>
      </c>
      <c r="H891" s="103">
        <f t="shared" si="33"/>
        <v>21.233333333333334</v>
      </c>
      <c r="I891" s="46">
        <v>29</v>
      </c>
      <c r="J891" s="46" t="s">
        <v>39</v>
      </c>
      <c r="K891" s="46" t="s">
        <v>85</v>
      </c>
      <c r="L891" s="46" t="s">
        <v>94</v>
      </c>
    </row>
    <row r="892" spans="2:12" x14ac:dyDescent="0.2">
      <c r="B892" s="296">
        <v>887</v>
      </c>
      <c r="C892" s="297">
        <v>42568</v>
      </c>
      <c r="D892" s="16">
        <v>0.88194444444444453</v>
      </c>
      <c r="E892" s="46">
        <v>20.399999999999999</v>
      </c>
      <c r="F892" s="46">
        <v>21.5</v>
      </c>
      <c r="G892" s="46">
        <v>23.7</v>
      </c>
      <c r="H892" s="103">
        <f t="shared" si="33"/>
        <v>21.866666666666664</v>
      </c>
      <c r="I892" s="46">
        <v>28</v>
      </c>
      <c r="J892" s="46" t="s">
        <v>39</v>
      </c>
      <c r="K892" s="46" t="s">
        <v>85</v>
      </c>
      <c r="L892" s="46" t="s">
        <v>121</v>
      </c>
    </row>
    <row r="893" spans="2:12" x14ac:dyDescent="0.2">
      <c r="B893" s="296">
        <v>888</v>
      </c>
      <c r="C893" s="297">
        <v>42569</v>
      </c>
      <c r="D893" s="16">
        <v>0.23611111111111113</v>
      </c>
      <c r="E893" s="46">
        <v>19</v>
      </c>
      <c r="F893" s="46">
        <v>22.2</v>
      </c>
      <c r="G893" s="46">
        <v>26.3</v>
      </c>
      <c r="H893" s="103">
        <f t="shared" si="33"/>
        <v>22.5</v>
      </c>
      <c r="I893" s="46">
        <v>26</v>
      </c>
      <c r="J893" s="46" t="s">
        <v>46</v>
      </c>
      <c r="K893" s="46" t="s">
        <v>85</v>
      </c>
      <c r="L893" s="46" t="s">
        <v>121</v>
      </c>
    </row>
    <row r="894" spans="2:12" x14ac:dyDescent="0.2">
      <c r="B894" s="296">
        <v>889</v>
      </c>
      <c r="C894" s="299">
        <v>42569</v>
      </c>
      <c r="D894" s="16">
        <v>0.5625</v>
      </c>
      <c r="E894" s="46">
        <v>15.8</v>
      </c>
      <c r="F894" s="46">
        <v>17.2</v>
      </c>
      <c r="G894" s="46">
        <v>19.3</v>
      </c>
      <c r="H894" s="103">
        <f t="shared" si="33"/>
        <v>17.433333333333334</v>
      </c>
      <c r="I894" s="46">
        <v>34</v>
      </c>
      <c r="J894" s="46" t="s">
        <v>38</v>
      </c>
      <c r="K894" s="46" t="s">
        <v>90</v>
      </c>
      <c r="L894" s="298" t="s">
        <v>103</v>
      </c>
    </row>
    <row r="895" spans="2:12" x14ac:dyDescent="0.2">
      <c r="B895" s="296">
        <v>890</v>
      </c>
      <c r="C895" s="299">
        <v>42569</v>
      </c>
      <c r="D895" s="16">
        <v>0.72916666666666663</v>
      </c>
      <c r="E895" s="46">
        <v>18.3</v>
      </c>
      <c r="F895" s="46">
        <v>20.6</v>
      </c>
      <c r="G895" s="46">
        <v>22.1</v>
      </c>
      <c r="H895" s="103">
        <f t="shared" si="33"/>
        <v>20.333333333333336</v>
      </c>
      <c r="I895" s="46">
        <v>33</v>
      </c>
      <c r="J895" s="46" t="s">
        <v>39</v>
      </c>
      <c r="K895" s="46" t="s">
        <v>85</v>
      </c>
      <c r="L895" s="46" t="s">
        <v>122</v>
      </c>
    </row>
    <row r="896" spans="2:12" x14ac:dyDescent="0.2">
      <c r="B896" s="296">
        <v>891</v>
      </c>
      <c r="C896" s="299">
        <v>42569</v>
      </c>
      <c r="D896" s="16">
        <v>0.88194444444444453</v>
      </c>
      <c r="E896" s="46">
        <v>19.7</v>
      </c>
      <c r="F896" s="46">
        <v>20.5</v>
      </c>
      <c r="G896" s="46">
        <v>22.1</v>
      </c>
      <c r="H896" s="103">
        <f t="shared" si="33"/>
        <v>20.766666666666669</v>
      </c>
      <c r="I896" s="46">
        <v>31</v>
      </c>
      <c r="J896" s="46" t="s">
        <v>39</v>
      </c>
      <c r="K896" s="46" t="s">
        <v>85</v>
      </c>
      <c r="L896" s="46" t="s">
        <v>123</v>
      </c>
    </row>
    <row r="897" spans="2:12" x14ac:dyDescent="0.2">
      <c r="B897" s="296">
        <v>892</v>
      </c>
      <c r="C897" s="299">
        <v>42570</v>
      </c>
      <c r="D897" s="16">
        <v>0.1111111111111111</v>
      </c>
      <c r="E897" s="46">
        <v>20.7</v>
      </c>
      <c r="F897" s="46">
        <v>23.2</v>
      </c>
      <c r="G897" s="46">
        <v>24.8</v>
      </c>
      <c r="H897" s="103">
        <f t="shared" si="33"/>
        <v>22.900000000000002</v>
      </c>
      <c r="I897" s="46">
        <v>34</v>
      </c>
      <c r="J897" s="46" t="s">
        <v>39</v>
      </c>
      <c r="K897" s="46" t="s">
        <v>85</v>
      </c>
      <c r="L897" s="46" t="s">
        <v>124</v>
      </c>
    </row>
    <row r="898" spans="2:12" x14ac:dyDescent="0.2">
      <c r="B898" s="296">
        <v>893</v>
      </c>
      <c r="C898" s="302">
        <v>42570</v>
      </c>
      <c r="D898" s="16">
        <v>0.54513888888888895</v>
      </c>
      <c r="E898" s="46">
        <v>18.7</v>
      </c>
      <c r="F898" s="46">
        <v>19.2</v>
      </c>
      <c r="G898" s="46">
        <v>21.6</v>
      </c>
      <c r="H898" s="103">
        <f t="shared" si="33"/>
        <v>19.833333333333332</v>
      </c>
      <c r="I898" s="46">
        <v>32</v>
      </c>
      <c r="J898" s="46" t="s">
        <v>38</v>
      </c>
      <c r="K898" s="46" t="s">
        <v>85</v>
      </c>
      <c r="L898" s="301" t="s">
        <v>103</v>
      </c>
    </row>
    <row r="899" spans="2:12" x14ac:dyDescent="0.2">
      <c r="B899" s="296">
        <v>894</v>
      </c>
      <c r="C899" s="302">
        <v>42570</v>
      </c>
      <c r="D899" s="16">
        <v>0.69444444444444453</v>
      </c>
      <c r="E899" s="46">
        <v>20.7</v>
      </c>
      <c r="F899" s="46">
        <v>21.4</v>
      </c>
      <c r="G899" s="46">
        <v>22.4</v>
      </c>
      <c r="H899" s="103">
        <f t="shared" si="33"/>
        <v>21.5</v>
      </c>
      <c r="I899" s="46">
        <v>29</v>
      </c>
      <c r="J899" s="46" t="s">
        <v>39</v>
      </c>
      <c r="K899" s="46" t="s">
        <v>85</v>
      </c>
      <c r="L899" s="46" t="s">
        <v>94</v>
      </c>
    </row>
    <row r="900" spans="2:12" x14ac:dyDescent="0.2">
      <c r="B900" s="296">
        <v>895</v>
      </c>
      <c r="C900" s="302">
        <v>42570</v>
      </c>
      <c r="D900" s="16">
        <v>0.86111111111111116</v>
      </c>
      <c r="E900" s="46">
        <v>20.3</v>
      </c>
      <c r="F900" s="46">
        <v>22.3</v>
      </c>
      <c r="G900" s="46">
        <v>23.1</v>
      </c>
      <c r="H900" s="103">
        <f t="shared" si="33"/>
        <v>21.900000000000002</v>
      </c>
      <c r="I900" s="46">
        <v>29</v>
      </c>
      <c r="J900" s="46" t="s">
        <v>39</v>
      </c>
      <c r="K900" s="46" t="s">
        <v>85</v>
      </c>
      <c r="L900" s="46" t="s">
        <v>94</v>
      </c>
    </row>
    <row r="901" spans="2:12" x14ac:dyDescent="0.2">
      <c r="B901" s="296">
        <v>896</v>
      </c>
      <c r="C901" s="302">
        <v>42571</v>
      </c>
      <c r="D901" s="16">
        <v>6.9444444444444441E-3</v>
      </c>
      <c r="E901" s="46">
        <v>11.6</v>
      </c>
      <c r="F901" s="46">
        <v>14.2</v>
      </c>
      <c r="G901" s="46">
        <v>25.6</v>
      </c>
      <c r="H901" s="103">
        <f t="shared" si="33"/>
        <v>17.133333333333333</v>
      </c>
      <c r="I901" s="46">
        <v>30</v>
      </c>
      <c r="J901" s="46" t="s">
        <v>46</v>
      </c>
      <c r="K901" s="46" t="s">
        <v>85</v>
      </c>
      <c r="L901" s="46" t="s">
        <v>119</v>
      </c>
    </row>
    <row r="902" spans="2:12" x14ac:dyDescent="0.2">
      <c r="B902" s="301">
        <v>897</v>
      </c>
      <c r="C902" s="302">
        <v>42571</v>
      </c>
      <c r="D902" s="16">
        <v>0.15277777777777776</v>
      </c>
      <c r="E902" s="46">
        <v>11.4</v>
      </c>
      <c r="F902" s="46">
        <v>12.2</v>
      </c>
      <c r="G902" s="46">
        <v>14</v>
      </c>
      <c r="H902" s="103">
        <f t="shared" si="33"/>
        <v>12.533333333333333</v>
      </c>
      <c r="I902" s="46">
        <v>32</v>
      </c>
      <c r="J902" s="46" t="s">
        <v>46</v>
      </c>
      <c r="K902" s="46" t="s">
        <v>85</v>
      </c>
      <c r="L902" s="46" t="s">
        <v>98</v>
      </c>
    </row>
    <row r="903" spans="2:12" x14ac:dyDescent="0.2">
      <c r="B903" s="301">
        <v>898</v>
      </c>
      <c r="C903" s="304">
        <v>42571</v>
      </c>
      <c r="D903" s="16">
        <v>0.53472222222222221</v>
      </c>
      <c r="E903" s="46">
        <v>15.2</v>
      </c>
      <c r="F903" s="46">
        <v>18.7</v>
      </c>
      <c r="G903" s="46">
        <v>20.3</v>
      </c>
      <c r="H903" s="103">
        <f t="shared" si="33"/>
        <v>18.066666666666666</v>
      </c>
      <c r="I903" s="46">
        <v>33</v>
      </c>
      <c r="J903" s="46" t="s">
        <v>38</v>
      </c>
      <c r="K903" s="46" t="s">
        <v>85</v>
      </c>
      <c r="L903" s="303" t="s">
        <v>103</v>
      </c>
    </row>
    <row r="904" spans="2:12" x14ac:dyDescent="0.2">
      <c r="B904" s="301">
        <v>899</v>
      </c>
      <c r="C904" s="304">
        <v>42572</v>
      </c>
      <c r="D904" s="16">
        <v>0</v>
      </c>
      <c r="E904" s="46">
        <v>16.2</v>
      </c>
      <c r="F904" s="46">
        <v>16.899999999999999</v>
      </c>
      <c r="G904" s="46">
        <v>16.7</v>
      </c>
      <c r="H904" s="103">
        <f t="shared" si="33"/>
        <v>16.599999999999998</v>
      </c>
      <c r="I904" s="46">
        <v>34</v>
      </c>
      <c r="J904" s="46" t="s">
        <v>46</v>
      </c>
      <c r="K904" s="46" t="s">
        <v>85</v>
      </c>
      <c r="L904" s="46" t="s">
        <v>119</v>
      </c>
    </row>
    <row r="905" spans="2:12" x14ac:dyDescent="0.2">
      <c r="B905" s="301">
        <v>900</v>
      </c>
      <c r="C905" s="306">
        <v>42573</v>
      </c>
      <c r="D905" s="16">
        <v>0.52083333333333337</v>
      </c>
      <c r="E905" s="46">
        <v>18.899999999999999</v>
      </c>
      <c r="F905" s="46">
        <v>19.2</v>
      </c>
      <c r="G905" s="46">
        <v>21.6</v>
      </c>
      <c r="H905" s="103">
        <f t="shared" si="33"/>
        <v>19.899999999999999</v>
      </c>
      <c r="I905" s="46">
        <v>35</v>
      </c>
      <c r="J905" s="46" t="s">
        <v>38</v>
      </c>
      <c r="K905" s="46" t="s">
        <v>57</v>
      </c>
      <c r="L905" s="305" t="s">
        <v>103</v>
      </c>
    </row>
    <row r="906" spans="2:12" x14ac:dyDescent="0.2">
      <c r="B906" s="301">
        <v>901</v>
      </c>
      <c r="C906" s="306">
        <v>42573</v>
      </c>
      <c r="D906" s="16">
        <v>0.63194444444444442</v>
      </c>
      <c r="E906" s="46">
        <v>19.8</v>
      </c>
      <c r="F906" s="46">
        <v>20.2</v>
      </c>
      <c r="G906" s="46">
        <v>21.5</v>
      </c>
      <c r="H906" s="103">
        <f t="shared" si="33"/>
        <v>20.5</v>
      </c>
      <c r="I906" s="46">
        <v>31</v>
      </c>
      <c r="J906" s="46" t="s">
        <v>39</v>
      </c>
      <c r="K906" s="46" t="s">
        <v>57</v>
      </c>
      <c r="L906" s="305" t="s">
        <v>103</v>
      </c>
    </row>
    <row r="907" spans="2:12" x14ac:dyDescent="0.2">
      <c r="B907" s="301">
        <v>902</v>
      </c>
      <c r="C907" s="306">
        <v>42573</v>
      </c>
      <c r="D907" s="16">
        <v>0.78125</v>
      </c>
      <c r="E907" s="46">
        <v>17.899999999999999</v>
      </c>
      <c r="F907" s="46">
        <v>18.5</v>
      </c>
      <c r="G907" s="46">
        <v>19.899999999999999</v>
      </c>
      <c r="H907" s="103">
        <f t="shared" si="33"/>
        <v>18.766666666666666</v>
      </c>
      <c r="I907" s="46">
        <v>25</v>
      </c>
      <c r="J907" s="46" t="s">
        <v>39</v>
      </c>
      <c r="K907" s="46" t="s">
        <v>62</v>
      </c>
      <c r="L907" s="305" t="s">
        <v>103</v>
      </c>
    </row>
    <row r="908" spans="2:12" x14ac:dyDescent="0.2">
      <c r="B908" s="301">
        <v>903</v>
      </c>
      <c r="C908" s="306">
        <v>42573</v>
      </c>
      <c r="D908" s="16">
        <v>0.93402777777777779</v>
      </c>
      <c r="E908" s="46">
        <v>19</v>
      </c>
      <c r="F908" s="46">
        <v>20.5</v>
      </c>
      <c r="G908" s="46">
        <v>22.3</v>
      </c>
      <c r="H908" s="103">
        <f t="shared" si="33"/>
        <v>20.599999999999998</v>
      </c>
      <c r="I908" s="46">
        <v>40</v>
      </c>
      <c r="J908" s="46" t="s">
        <v>38</v>
      </c>
      <c r="K908" s="46" t="s">
        <v>50</v>
      </c>
      <c r="L908" s="46" t="s">
        <v>119</v>
      </c>
    </row>
    <row r="909" spans="2:12" x14ac:dyDescent="0.2">
      <c r="B909" s="301">
        <v>904</v>
      </c>
      <c r="C909" s="306">
        <v>42574</v>
      </c>
      <c r="D909" s="16">
        <v>0.46875</v>
      </c>
      <c r="E909" s="305">
        <v>17.899999999999999</v>
      </c>
      <c r="F909" s="305">
        <v>19.2</v>
      </c>
      <c r="G909" s="305">
        <v>19.5</v>
      </c>
      <c r="H909" s="103">
        <f t="shared" si="33"/>
        <v>18.866666666666664</v>
      </c>
      <c r="I909" s="305">
        <v>38</v>
      </c>
      <c r="J909" s="305" t="s">
        <v>39</v>
      </c>
      <c r="K909" s="46" t="s">
        <v>62</v>
      </c>
      <c r="L909" s="46" t="s">
        <v>98</v>
      </c>
    </row>
    <row r="910" spans="2:12" x14ac:dyDescent="0.2">
      <c r="B910" s="301">
        <v>905</v>
      </c>
      <c r="C910" s="306">
        <v>42574</v>
      </c>
      <c r="D910" s="16">
        <v>0.59375</v>
      </c>
      <c r="E910" s="305">
        <v>18.7</v>
      </c>
      <c r="F910" s="305">
        <v>19.2</v>
      </c>
      <c r="G910" s="305">
        <v>19.8</v>
      </c>
      <c r="H910" s="103">
        <f t="shared" si="33"/>
        <v>19.233333333333334</v>
      </c>
      <c r="I910" s="305">
        <v>37</v>
      </c>
      <c r="J910" s="305" t="s">
        <v>39</v>
      </c>
      <c r="K910" s="46" t="s">
        <v>57</v>
      </c>
      <c r="L910" s="305" t="s">
        <v>103</v>
      </c>
    </row>
    <row r="911" spans="2:12" x14ac:dyDescent="0.2">
      <c r="B911" s="301">
        <v>906</v>
      </c>
      <c r="C911" s="306">
        <v>42574</v>
      </c>
      <c r="D911" s="16">
        <v>0.93055555555555547</v>
      </c>
      <c r="E911" s="305">
        <v>12.9</v>
      </c>
      <c r="F911" s="305">
        <v>17.100000000000001</v>
      </c>
      <c r="G911" s="305">
        <v>19.100000000000001</v>
      </c>
      <c r="H911" s="103">
        <f t="shared" si="33"/>
        <v>16.366666666666667</v>
      </c>
      <c r="I911" s="305">
        <v>28</v>
      </c>
      <c r="J911" s="305" t="s">
        <v>38</v>
      </c>
      <c r="K911" s="46" t="s">
        <v>57</v>
      </c>
      <c r="L911" s="305" t="s">
        <v>103</v>
      </c>
    </row>
    <row r="912" spans="2:12" x14ac:dyDescent="0.2">
      <c r="B912" s="301">
        <v>907</v>
      </c>
      <c r="C912" s="306">
        <v>42575</v>
      </c>
      <c r="D912" s="16">
        <v>9.0277777777777776E-2</v>
      </c>
      <c r="E912" s="305">
        <v>20.7</v>
      </c>
      <c r="F912" s="305">
        <v>21.8</v>
      </c>
      <c r="G912" s="305">
        <v>22.4</v>
      </c>
      <c r="H912" s="103">
        <f t="shared" si="33"/>
        <v>21.633333333333336</v>
      </c>
      <c r="I912" s="305">
        <v>36</v>
      </c>
      <c r="J912" s="305" t="s">
        <v>39</v>
      </c>
      <c r="K912" s="46" t="s">
        <v>61</v>
      </c>
      <c r="L912" s="46" t="s">
        <v>125</v>
      </c>
    </row>
    <row r="913" spans="2:12" x14ac:dyDescent="0.2">
      <c r="B913" s="307">
        <v>908</v>
      </c>
      <c r="C913" s="308">
        <v>42575</v>
      </c>
      <c r="D913" s="16">
        <v>0.46875</v>
      </c>
      <c r="E913" s="46">
        <v>19.600000000000001</v>
      </c>
      <c r="F913" s="46">
        <v>23.4</v>
      </c>
      <c r="G913" s="46">
        <v>24.2</v>
      </c>
      <c r="H913" s="103">
        <f t="shared" si="33"/>
        <v>22.400000000000002</v>
      </c>
      <c r="I913" s="46">
        <v>32</v>
      </c>
      <c r="J913" s="46" t="s">
        <v>38</v>
      </c>
      <c r="K913" s="46" t="s">
        <v>86</v>
      </c>
      <c r="L913" s="46" t="s">
        <v>98</v>
      </c>
    </row>
    <row r="914" spans="2:12" x14ac:dyDescent="0.2">
      <c r="B914" s="307">
        <v>909</v>
      </c>
      <c r="C914" s="308">
        <v>42575</v>
      </c>
      <c r="D914" s="16">
        <v>0.59375</v>
      </c>
      <c r="E914" s="46">
        <v>16.899999999999999</v>
      </c>
      <c r="F914" s="46">
        <v>17.2</v>
      </c>
      <c r="G914" s="46">
        <v>19.7</v>
      </c>
      <c r="H914" s="103">
        <f t="shared" si="33"/>
        <v>17.933333333333334</v>
      </c>
      <c r="I914" s="46">
        <v>38</v>
      </c>
      <c r="J914" s="46" t="s">
        <v>39</v>
      </c>
      <c r="K914" s="46" t="s">
        <v>83</v>
      </c>
      <c r="L914" s="307" t="s">
        <v>103</v>
      </c>
    </row>
    <row r="915" spans="2:12" x14ac:dyDescent="0.2">
      <c r="B915" s="307">
        <v>910</v>
      </c>
      <c r="C915" s="308">
        <v>42575</v>
      </c>
      <c r="D915" s="16">
        <v>0.78125</v>
      </c>
      <c r="E915" s="46">
        <v>17.3</v>
      </c>
      <c r="F915" s="46">
        <v>19.2</v>
      </c>
      <c r="G915" s="46">
        <v>22.8</v>
      </c>
      <c r="H915" s="103">
        <f t="shared" si="33"/>
        <v>19.766666666666666</v>
      </c>
      <c r="I915" s="46">
        <v>36</v>
      </c>
      <c r="J915" s="46" t="s">
        <v>46</v>
      </c>
      <c r="K915" s="46" t="s">
        <v>85</v>
      </c>
      <c r="L915" s="46" t="s">
        <v>99</v>
      </c>
    </row>
    <row r="916" spans="2:12" x14ac:dyDescent="0.2">
      <c r="B916" s="307">
        <v>911</v>
      </c>
      <c r="C916" s="308">
        <v>42575</v>
      </c>
      <c r="D916" s="16">
        <v>0.93055555555555547</v>
      </c>
      <c r="E916" s="46">
        <v>11.9</v>
      </c>
      <c r="F916" s="46">
        <v>15.4</v>
      </c>
      <c r="G916" s="46">
        <v>17.5</v>
      </c>
      <c r="H916" s="103">
        <f t="shared" si="33"/>
        <v>14.933333333333332</v>
      </c>
      <c r="I916" s="46">
        <v>32</v>
      </c>
      <c r="J916" s="46" t="s">
        <v>38</v>
      </c>
      <c r="K916" s="46" t="s">
        <v>90</v>
      </c>
      <c r="L916" s="46" t="s">
        <v>98</v>
      </c>
    </row>
    <row r="917" spans="2:12" x14ac:dyDescent="0.2">
      <c r="B917" s="307">
        <v>912</v>
      </c>
      <c r="C917" s="310">
        <v>42576</v>
      </c>
      <c r="D917" s="16">
        <v>9.0277777777777776E-2</v>
      </c>
      <c r="E917" s="46">
        <v>10.7</v>
      </c>
      <c r="F917" s="46">
        <v>11.1</v>
      </c>
      <c r="G917" s="46">
        <v>14.5</v>
      </c>
      <c r="H917" s="103">
        <f t="shared" si="33"/>
        <v>12.1</v>
      </c>
      <c r="I917" s="46">
        <v>40</v>
      </c>
      <c r="J917" s="46" t="s">
        <v>38</v>
      </c>
      <c r="K917" s="46" t="s">
        <v>85</v>
      </c>
      <c r="L917" s="46" t="s">
        <v>98</v>
      </c>
    </row>
    <row r="918" spans="2:12" x14ac:dyDescent="0.2">
      <c r="B918" s="309">
        <v>913</v>
      </c>
      <c r="C918" s="310">
        <v>42576</v>
      </c>
      <c r="D918" s="16">
        <v>0.47222222222222227</v>
      </c>
      <c r="E918" s="309">
        <v>15.4</v>
      </c>
      <c r="F918" s="309">
        <v>16.8</v>
      </c>
      <c r="G918" s="309">
        <v>19.600000000000001</v>
      </c>
      <c r="H918" s="103">
        <f t="shared" si="33"/>
        <v>17.266666666666669</v>
      </c>
      <c r="I918" s="309">
        <v>32</v>
      </c>
      <c r="J918" s="309" t="s">
        <v>38</v>
      </c>
      <c r="K918" s="309" t="s">
        <v>86</v>
      </c>
      <c r="L918" s="46" t="s">
        <v>98</v>
      </c>
    </row>
    <row r="919" spans="2:12" x14ac:dyDescent="0.2">
      <c r="B919" s="309">
        <v>914</v>
      </c>
      <c r="C919" s="312">
        <v>42576</v>
      </c>
      <c r="D919" s="16">
        <v>0.60763888888888895</v>
      </c>
      <c r="E919" s="46">
        <v>18.2</v>
      </c>
      <c r="F919" s="46">
        <v>18.899999999999999</v>
      </c>
      <c r="G919" s="46">
        <v>19.3</v>
      </c>
      <c r="H919" s="103">
        <f t="shared" si="33"/>
        <v>18.799999999999997</v>
      </c>
      <c r="I919" s="46">
        <v>33</v>
      </c>
      <c r="J919" s="46" t="s">
        <v>39</v>
      </c>
      <c r="K919" s="46" t="s">
        <v>83</v>
      </c>
      <c r="L919" s="46" t="s">
        <v>99</v>
      </c>
    </row>
    <row r="920" spans="2:12" x14ac:dyDescent="0.2">
      <c r="B920" s="309">
        <v>915</v>
      </c>
      <c r="C920" s="312">
        <v>42576</v>
      </c>
      <c r="D920" s="16">
        <v>0.78125</v>
      </c>
      <c r="E920" s="46">
        <v>18.3</v>
      </c>
      <c r="F920" s="46">
        <v>19.7</v>
      </c>
      <c r="G920" s="46">
        <v>21.2</v>
      </c>
      <c r="H920" s="103">
        <f t="shared" si="33"/>
        <v>19.733333333333334</v>
      </c>
      <c r="I920" s="46">
        <v>35</v>
      </c>
      <c r="J920" s="46" t="s">
        <v>46</v>
      </c>
      <c r="K920" s="46" t="s">
        <v>83</v>
      </c>
      <c r="L920" s="311" t="s">
        <v>94</v>
      </c>
    </row>
    <row r="921" spans="2:12" x14ac:dyDescent="0.2">
      <c r="B921" s="309">
        <v>916</v>
      </c>
      <c r="C921" s="312">
        <v>42576</v>
      </c>
      <c r="D921" s="16">
        <v>0.93055555555555547</v>
      </c>
      <c r="E921" s="46">
        <v>15.8</v>
      </c>
      <c r="F921" s="46">
        <v>18.7</v>
      </c>
      <c r="G921" s="46">
        <v>21.6</v>
      </c>
      <c r="H921" s="103">
        <f t="shared" si="33"/>
        <v>18.7</v>
      </c>
      <c r="I921" s="46">
        <v>28</v>
      </c>
      <c r="J921" s="46" t="s">
        <v>38</v>
      </c>
      <c r="K921" s="46" t="s">
        <v>85</v>
      </c>
      <c r="L921" s="46" t="s">
        <v>94</v>
      </c>
    </row>
    <row r="922" spans="2:12" x14ac:dyDescent="0.2">
      <c r="B922" s="309">
        <v>917</v>
      </c>
      <c r="C922" s="312">
        <v>42577</v>
      </c>
      <c r="D922" s="16">
        <v>9.0277777777777776E-2</v>
      </c>
      <c r="E922" s="46">
        <v>13</v>
      </c>
      <c r="F922" s="46">
        <v>14.1</v>
      </c>
      <c r="G922" s="46">
        <v>17</v>
      </c>
      <c r="H922" s="103">
        <f t="shared" si="33"/>
        <v>14.700000000000001</v>
      </c>
      <c r="I922" s="46">
        <v>31</v>
      </c>
      <c r="J922" s="46" t="s">
        <v>39</v>
      </c>
      <c r="K922" s="46" t="s">
        <v>85</v>
      </c>
      <c r="L922" s="46" t="s">
        <v>98</v>
      </c>
    </row>
    <row r="923" spans="2:12" x14ac:dyDescent="0.2">
      <c r="B923" s="309">
        <v>918</v>
      </c>
      <c r="C923" s="312">
        <v>42577</v>
      </c>
      <c r="D923" s="16">
        <v>0.47222222222222227</v>
      </c>
      <c r="E923" s="46">
        <v>15.8</v>
      </c>
      <c r="F923" s="46">
        <v>18.7</v>
      </c>
      <c r="G923" s="46">
        <v>21.6</v>
      </c>
      <c r="H923" s="103">
        <f t="shared" si="33"/>
        <v>18.7</v>
      </c>
      <c r="I923" s="46">
        <v>28</v>
      </c>
      <c r="J923" s="46" t="s">
        <v>38</v>
      </c>
      <c r="K923" s="46" t="s">
        <v>86</v>
      </c>
      <c r="L923" s="311" t="s">
        <v>94</v>
      </c>
    </row>
    <row r="924" spans="2:12" x14ac:dyDescent="0.2">
      <c r="B924" s="309">
        <v>919</v>
      </c>
      <c r="C924" s="312">
        <v>42577</v>
      </c>
      <c r="D924" s="16">
        <v>0.68055555555555547</v>
      </c>
      <c r="E924" s="46">
        <v>18.899999999999999</v>
      </c>
      <c r="F924" s="46">
        <v>19.899999999999999</v>
      </c>
      <c r="G924" s="46">
        <v>21.3</v>
      </c>
      <c r="H924" s="103">
        <f t="shared" si="33"/>
        <v>20.033333333333331</v>
      </c>
      <c r="I924" s="46">
        <v>32</v>
      </c>
      <c r="J924" s="46" t="s">
        <v>39</v>
      </c>
      <c r="K924" s="46" t="s">
        <v>83</v>
      </c>
      <c r="L924" s="311" t="s">
        <v>128</v>
      </c>
    </row>
    <row r="925" spans="2:12" x14ac:dyDescent="0.2">
      <c r="B925" s="311">
        <v>920</v>
      </c>
      <c r="C925" s="312">
        <v>42577</v>
      </c>
      <c r="D925" s="16">
        <v>0.78125</v>
      </c>
      <c r="E925" s="46">
        <v>16.399999999999999</v>
      </c>
      <c r="F925" s="46">
        <v>18.7</v>
      </c>
      <c r="G925" s="46">
        <v>19.2</v>
      </c>
      <c r="H925" s="103">
        <f t="shared" si="33"/>
        <v>18.099999999999998</v>
      </c>
      <c r="I925" s="46">
        <v>30</v>
      </c>
      <c r="J925" s="46" t="s">
        <v>46</v>
      </c>
      <c r="K925" s="46" t="s">
        <v>86</v>
      </c>
      <c r="L925" s="311" t="s">
        <v>94</v>
      </c>
    </row>
    <row r="926" spans="2:12" x14ac:dyDescent="0.2">
      <c r="B926" s="311">
        <v>921</v>
      </c>
      <c r="C926" s="312">
        <v>42577</v>
      </c>
      <c r="D926" s="16">
        <v>0.92708333333333337</v>
      </c>
      <c r="E926" s="46">
        <v>14.2</v>
      </c>
      <c r="F926" s="46">
        <v>14.6</v>
      </c>
      <c r="G926" s="46">
        <v>15</v>
      </c>
      <c r="H926" s="103">
        <f t="shared" si="33"/>
        <v>14.6</v>
      </c>
      <c r="I926" s="46">
        <v>29</v>
      </c>
      <c r="J926" s="46" t="s">
        <v>38</v>
      </c>
      <c r="K926" s="46" t="s">
        <v>85</v>
      </c>
      <c r="L926" s="46" t="s">
        <v>99</v>
      </c>
    </row>
    <row r="927" spans="2:12" x14ac:dyDescent="0.2">
      <c r="B927" s="311">
        <v>922</v>
      </c>
      <c r="C927" s="312">
        <v>42578</v>
      </c>
      <c r="D927" s="16">
        <v>9.0277777777777776E-2</v>
      </c>
      <c r="E927" s="46">
        <v>14.6</v>
      </c>
      <c r="F927" s="46">
        <v>19.899999999999999</v>
      </c>
      <c r="G927" s="46">
        <v>20.5</v>
      </c>
      <c r="H927" s="103">
        <f t="shared" si="33"/>
        <v>18.333333333333332</v>
      </c>
      <c r="I927" s="46">
        <v>41</v>
      </c>
      <c r="J927" s="46" t="s">
        <v>39</v>
      </c>
      <c r="K927" s="46" t="s">
        <v>85</v>
      </c>
      <c r="L927" s="46" t="s">
        <v>99</v>
      </c>
    </row>
    <row r="928" spans="2:12" x14ac:dyDescent="0.2">
      <c r="B928" s="311">
        <v>923</v>
      </c>
      <c r="C928" s="314">
        <v>42578</v>
      </c>
      <c r="D928" s="16">
        <v>0.48958333333333331</v>
      </c>
      <c r="E928" s="46">
        <v>17.5</v>
      </c>
      <c r="F928" s="46">
        <v>20.2</v>
      </c>
      <c r="G928" s="46">
        <v>22</v>
      </c>
      <c r="H928" s="103">
        <f t="shared" si="33"/>
        <v>19.900000000000002</v>
      </c>
      <c r="I928" s="46">
        <v>34</v>
      </c>
      <c r="J928" s="46" t="s">
        <v>38</v>
      </c>
      <c r="K928" s="46" t="s">
        <v>86</v>
      </c>
      <c r="L928" s="46" t="s">
        <v>98</v>
      </c>
    </row>
    <row r="929" spans="2:12" x14ac:dyDescent="0.2">
      <c r="B929" s="311">
        <v>924</v>
      </c>
      <c r="C929" s="314">
        <v>42578</v>
      </c>
      <c r="D929" s="16">
        <v>0.65625</v>
      </c>
      <c r="E929" s="46">
        <v>17.8</v>
      </c>
      <c r="F929" s="46">
        <v>20</v>
      </c>
      <c r="G929" s="46">
        <v>21.3</v>
      </c>
      <c r="H929" s="103">
        <f t="shared" si="33"/>
        <v>19.7</v>
      </c>
      <c r="I929" s="46">
        <v>31</v>
      </c>
      <c r="J929" s="46" t="s">
        <v>39</v>
      </c>
      <c r="K929" s="46" t="s">
        <v>86</v>
      </c>
      <c r="L929" s="46" t="s">
        <v>94</v>
      </c>
    </row>
    <row r="930" spans="2:12" x14ac:dyDescent="0.2">
      <c r="B930" s="313">
        <v>925</v>
      </c>
      <c r="C930" s="314">
        <v>42578</v>
      </c>
      <c r="D930" s="16">
        <v>0.86458333333333337</v>
      </c>
      <c r="E930" s="46">
        <v>15.9</v>
      </c>
      <c r="F930" s="46">
        <v>17.2</v>
      </c>
      <c r="G930" s="46">
        <v>18.3</v>
      </c>
      <c r="H930" s="103">
        <f t="shared" si="33"/>
        <v>17.133333333333336</v>
      </c>
      <c r="I930" s="46">
        <v>30</v>
      </c>
      <c r="J930" s="46" t="s">
        <v>38</v>
      </c>
      <c r="K930" s="46" t="s">
        <v>85</v>
      </c>
      <c r="L930" s="46" t="s">
        <v>99</v>
      </c>
    </row>
    <row r="931" spans="2:12" x14ac:dyDescent="0.2">
      <c r="B931" s="313">
        <v>926</v>
      </c>
      <c r="C931" s="314">
        <v>42579</v>
      </c>
      <c r="D931" s="16">
        <v>1.0416666666666666E-2</v>
      </c>
      <c r="E931" s="46">
        <v>17</v>
      </c>
      <c r="F931" s="46">
        <v>20.2</v>
      </c>
      <c r="G931" s="46">
        <v>20.6</v>
      </c>
      <c r="H931" s="103">
        <f t="shared" si="33"/>
        <v>19.266666666666669</v>
      </c>
      <c r="I931" s="46">
        <v>36</v>
      </c>
      <c r="J931" s="46" t="s">
        <v>38</v>
      </c>
      <c r="K931" s="46" t="s">
        <v>85</v>
      </c>
      <c r="L931" s="46" t="s">
        <v>99</v>
      </c>
    </row>
    <row r="932" spans="2:12" x14ac:dyDescent="0.2">
      <c r="B932" s="313">
        <v>927</v>
      </c>
      <c r="C932" s="314">
        <v>42579</v>
      </c>
      <c r="D932" s="16">
        <v>9.0277777777777776E-2</v>
      </c>
      <c r="E932" s="46">
        <v>20</v>
      </c>
      <c r="F932" s="46">
        <v>19</v>
      </c>
      <c r="G932" s="46">
        <v>21.8</v>
      </c>
      <c r="H932" s="103">
        <f t="shared" si="33"/>
        <v>20.266666666666666</v>
      </c>
      <c r="I932" s="46">
        <v>29</v>
      </c>
      <c r="J932" s="46" t="s">
        <v>39</v>
      </c>
      <c r="K932" s="46" t="s">
        <v>85</v>
      </c>
      <c r="L932" s="46" t="s">
        <v>99</v>
      </c>
    </row>
    <row r="933" spans="2:12" x14ac:dyDescent="0.2">
      <c r="B933" s="313">
        <v>928</v>
      </c>
      <c r="C933" s="316">
        <v>42579</v>
      </c>
      <c r="D933" s="16">
        <v>0.49305555555555558</v>
      </c>
      <c r="E933" s="315">
        <v>17.5</v>
      </c>
      <c r="F933" s="315">
        <v>18.7</v>
      </c>
      <c r="G933" s="315">
        <v>19.3</v>
      </c>
      <c r="H933" s="103">
        <f t="shared" si="33"/>
        <v>18.5</v>
      </c>
      <c r="I933" s="315">
        <v>38</v>
      </c>
      <c r="J933" s="46" t="s">
        <v>38</v>
      </c>
      <c r="K933" s="46" t="s">
        <v>86</v>
      </c>
      <c r="L933" s="46" t="s">
        <v>99</v>
      </c>
    </row>
    <row r="934" spans="2:12" x14ac:dyDescent="0.2">
      <c r="B934" s="313">
        <v>929</v>
      </c>
      <c r="C934" s="316">
        <v>42579</v>
      </c>
      <c r="D934" s="16">
        <v>0.63888888888888895</v>
      </c>
      <c r="E934" s="315">
        <v>16.3</v>
      </c>
      <c r="F934" s="315">
        <v>17.899999999999999</v>
      </c>
      <c r="G934" s="315">
        <v>19.2</v>
      </c>
      <c r="H934" s="103">
        <f t="shared" si="33"/>
        <v>17.8</v>
      </c>
      <c r="I934" s="315">
        <v>31</v>
      </c>
      <c r="J934" s="46" t="s">
        <v>39</v>
      </c>
      <c r="K934" s="46" t="s">
        <v>86</v>
      </c>
      <c r="L934" s="315" t="s">
        <v>104</v>
      </c>
    </row>
    <row r="935" spans="2:12" x14ac:dyDescent="0.2">
      <c r="B935" s="313">
        <v>930</v>
      </c>
      <c r="C935" s="316">
        <v>42579</v>
      </c>
      <c r="D935" s="16">
        <v>0.83333333333333337</v>
      </c>
      <c r="E935" s="315">
        <v>14.9</v>
      </c>
      <c r="F935" s="315">
        <v>17.2</v>
      </c>
      <c r="G935" s="315">
        <v>18.3</v>
      </c>
      <c r="H935" s="103">
        <f t="shared" si="33"/>
        <v>16.8</v>
      </c>
      <c r="I935" s="315">
        <v>30</v>
      </c>
      <c r="J935" s="46" t="s">
        <v>38</v>
      </c>
      <c r="K935" s="46" t="s">
        <v>85</v>
      </c>
      <c r="L935" s="46" t="s">
        <v>99</v>
      </c>
    </row>
    <row r="936" spans="2:12" x14ac:dyDescent="0.2">
      <c r="B936" s="313">
        <v>931</v>
      </c>
      <c r="C936" s="316">
        <v>42580</v>
      </c>
      <c r="D936" s="16">
        <v>1.0416666666666666E-2</v>
      </c>
      <c r="E936" s="315">
        <v>18.399999999999999</v>
      </c>
      <c r="F936" s="315">
        <v>19.7</v>
      </c>
      <c r="G936" s="315">
        <v>24.2</v>
      </c>
      <c r="H936" s="103">
        <f t="shared" si="33"/>
        <v>20.766666666666666</v>
      </c>
      <c r="I936" s="315">
        <v>45</v>
      </c>
      <c r="J936" s="46" t="s">
        <v>38</v>
      </c>
      <c r="K936" s="46" t="s">
        <v>85</v>
      </c>
      <c r="L936" s="46" t="s">
        <v>99</v>
      </c>
    </row>
    <row r="937" spans="2:12" x14ac:dyDescent="0.2">
      <c r="B937" s="313">
        <v>932</v>
      </c>
      <c r="C937" s="316">
        <v>42580</v>
      </c>
      <c r="D937" s="16">
        <v>0.15277777777777776</v>
      </c>
      <c r="E937" s="315">
        <v>14.1</v>
      </c>
      <c r="F937" s="315">
        <v>16.600000000000001</v>
      </c>
      <c r="G937" s="315">
        <v>17.600000000000001</v>
      </c>
      <c r="H937" s="103">
        <f t="shared" si="33"/>
        <v>16.100000000000001</v>
      </c>
      <c r="I937" s="315">
        <v>37</v>
      </c>
      <c r="J937" s="46" t="s">
        <v>39</v>
      </c>
      <c r="K937" s="46" t="s">
        <v>85</v>
      </c>
      <c r="L937" s="46" t="s">
        <v>99</v>
      </c>
    </row>
    <row r="938" spans="2:12" x14ac:dyDescent="0.2">
      <c r="B938" s="317">
        <v>933</v>
      </c>
      <c r="C938" s="318">
        <v>42580</v>
      </c>
      <c r="D938" s="16">
        <v>0.51041666666666663</v>
      </c>
      <c r="E938" s="317">
        <v>17.899999999999999</v>
      </c>
      <c r="F938" s="317">
        <v>18.5</v>
      </c>
      <c r="G938" s="317">
        <v>19.2</v>
      </c>
      <c r="H938" s="103">
        <f t="shared" si="33"/>
        <v>18.533333333333331</v>
      </c>
      <c r="I938" s="317">
        <v>36</v>
      </c>
      <c r="J938" s="46" t="s">
        <v>38</v>
      </c>
      <c r="K938" s="46" t="s">
        <v>86</v>
      </c>
      <c r="L938" s="46" t="s">
        <v>99</v>
      </c>
    </row>
    <row r="939" spans="2:12" x14ac:dyDescent="0.2">
      <c r="B939" s="317">
        <v>934</v>
      </c>
      <c r="C939" s="318">
        <v>42580</v>
      </c>
      <c r="D939" s="16">
        <v>0.63541666666666663</v>
      </c>
      <c r="E939" s="317">
        <v>18.899999999999999</v>
      </c>
      <c r="F939" s="317">
        <v>17.899999999999999</v>
      </c>
      <c r="G939" s="317">
        <v>20.3</v>
      </c>
      <c r="H939" s="103">
        <f t="shared" si="33"/>
        <v>19.033333333333331</v>
      </c>
      <c r="I939" s="317">
        <v>35</v>
      </c>
      <c r="J939" s="46" t="s">
        <v>39</v>
      </c>
      <c r="K939" s="46" t="s">
        <v>83</v>
      </c>
      <c r="L939" s="317" t="s">
        <v>104</v>
      </c>
    </row>
    <row r="940" spans="2:12" x14ac:dyDescent="0.2">
      <c r="B940" s="317">
        <v>935</v>
      </c>
      <c r="C940" s="318">
        <v>42580</v>
      </c>
      <c r="D940" s="16">
        <v>0.76041666666666663</v>
      </c>
      <c r="E940" s="317">
        <v>16.2</v>
      </c>
      <c r="F940" s="317">
        <v>18.3</v>
      </c>
      <c r="G940" s="317">
        <v>19.899999999999999</v>
      </c>
      <c r="H940" s="103">
        <f t="shared" si="33"/>
        <v>18.133333333333333</v>
      </c>
      <c r="I940" s="317">
        <v>38</v>
      </c>
      <c r="J940" s="46" t="s">
        <v>46</v>
      </c>
      <c r="K940" s="46" t="s">
        <v>86</v>
      </c>
      <c r="L940" s="46" t="s">
        <v>94</v>
      </c>
    </row>
    <row r="941" spans="2:12" x14ac:dyDescent="0.2">
      <c r="B941" s="317">
        <v>936</v>
      </c>
      <c r="C941" s="318">
        <v>42580</v>
      </c>
      <c r="D941" s="16">
        <v>0.88888888888888884</v>
      </c>
      <c r="E941" s="317">
        <v>16.899999999999999</v>
      </c>
      <c r="F941" s="317">
        <v>18.7</v>
      </c>
      <c r="G941" s="317">
        <v>19</v>
      </c>
      <c r="H941" s="103">
        <f t="shared" si="33"/>
        <v>18.2</v>
      </c>
      <c r="I941" s="317">
        <v>31</v>
      </c>
      <c r="J941" s="46" t="s">
        <v>38</v>
      </c>
      <c r="K941" s="46" t="s">
        <v>85</v>
      </c>
      <c r="L941" s="317" t="s">
        <v>104</v>
      </c>
    </row>
    <row r="942" spans="2:12" x14ac:dyDescent="0.2">
      <c r="B942" s="317">
        <v>937</v>
      </c>
      <c r="C942" s="318">
        <v>42581</v>
      </c>
      <c r="D942" s="16">
        <v>6.9444444444444434E-2</v>
      </c>
      <c r="E942" s="317">
        <v>19.100000000000001</v>
      </c>
      <c r="F942" s="317">
        <v>19.5</v>
      </c>
      <c r="G942" s="317">
        <v>22.6</v>
      </c>
      <c r="H942" s="103">
        <f t="shared" si="33"/>
        <v>20.400000000000002</v>
      </c>
      <c r="I942" s="317">
        <v>32</v>
      </c>
      <c r="J942" s="46" t="s">
        <v>39</v>
      </c>
      <c r="K942" s="46" t="s">
        <v>85</v>
      </c>
      <c r="L942" s="46" t="s">
        <v>98</v>
      </c>
    </row>
    <row r="943" spans="2:12" x14ac:dyDescent="0.2">
      <c r="B943" s="319">
        <v>938</v>
      </c>
      <c r="C943" s="320">
        <v>42581</v>
      </c>
      <c r="D943" s="16">
        <v>0.54861111111111105</v>
      </c>
      <c r="E943" s="46">
        <v>16.100000000000001</v>
      </c>
      <c r="F943" s="46">
        <v>18.5</v>
      </c>
      <c r="G943" s="46">
        <v>18.5</v>
      </c>
      <c r="H943" s="103">
        <f t="shared" si="33"/>
        <v>17.7</v>
      </c>
      <c r="I943" s="46">
        <v>32</v>
      </c>
      <c r="J943" s="46" t="s">
        <v>39</v>
      </c>
      <c r="K943" s="46" t="s">
        <v>86</v>
      </c>
      <c r="L943" s="46" t="s">
        <v>129</v>
      </c>
    </row>
    <row r="944" spans="2:12" x14ac:dyDescent="0.2">
      <c r="B944" s="319">
        <v>939</v>
      </c>
      <c r="C944" s="320">
        <v>42581</v>
      </c>
      <c r="D944" s="16">
        <v>0.69791666666666663</v>
      </c>
      <c r="E944" s="46">
        <v>16.8</v>
      </c>
      <c r="F944" s="46">
        <v>19.3</v>
      </c>
      <c r="G944" s="46">
        <v>19.3</v>
      </c>
      <c r="H944" s="103">
        <f t="shared" si="33"/>
        <v>18.466666666666669</v>
      </c>
      <c r="I944" s="46">
        <v>36</v>
      </c>
      <c r="J944" s="46" t="s">
        <v>39</v>
      </c>
      <c r="K944" s="46" t="s">
        <v>83</v>
      </c>
      <c r="L944" s="46" t="s">
        <v>108</v>
      </c>
    </row>
    <row r="945" spans="2:12" x14ac:dyDescent="0.2">
      <c r="B945" s="319">
        <v>940</v>
      </c>
      <c r="C945" s="320">
        <v>42581</v>
      </c>
      <c r="D945" s="16">
        <v>0.92708333333333337</v>
      </c>
      <c r="E945" s="46">
        <v>11.5</v>
      </c>
      <c r="F945" s="46">
        <v>15.6</v>
      </c>
      <c r="G945" s="46">
        <v>15.6</v>
      </c>
      <c r="H945" s="103">
        <f t="shared" si="33"/>
        <v>14.233333333333334</v>
      </c>
      <c r="I945" s="46">
        <v>30</v>
      </c>
      <c r="J945" s="46" t="s">
        <v>38</v>
      </c>
      <c r="K945" s="46" t="s">
        <v>85</v>
      </c>
      <c r="L945" s="46" t="s">
        <v>130</v>
      </c>
    </row>
    <row r="946" spans="2:12" x14ac:dyDescent="0.2">
      <c r="B946" s="319">
        <v>941</v>
      </c>
      <c r="C946" s="320">
        <v>42582</v>
      </c>
      <c r="D946" s="16">
        <v>9.0277777777777776E-2</v>
      </c>
      <c r="E946" s="46">
        <v>17.600000000000001</v>
      </c>
      <c r="F946" s="46">
        <v>18.8</v>
      </c>
      <c r="G946" s="46">
        <v>18.8</v>
      </c>
      <c r="H946" s="103">
        <f t="shared" si="33"/>
        <v>18.400000000000002</v>
      </c>
      <c r="I946" s="46">
        <v>38</v>
      </c>
      <c r="J946" s="46" t="s">
        <v>39</v>
      </c>
      <c r="K946" s="46" t="s">
        <v>85</v>
      </c>
      <c r="L946" s="46" t="s">
        <v>98</v>
      </c>
    </row>
    <row r="947" spans="2:12" x14ac:dyDescent="0.2">
      <c r="B947" s="321">
        <v>942</v>
      </c>
      <c r="C947" s="322">
        <v>42582</v>
      </c>
      <c r="D947" s="16">
        <v>0.54513888888888895</v>
      </c>
      <c r="E947" s="46">
        <v>24.1</v>
      </c>
      <c r="F947" s="46">
        <v>24.4</v>
      </c>
      <c r="G947" s="46">
        <v>25.2</v>
      </c>
      <c r="H947" s="103">
        <f t="shared" si="33"/>
        <v>24.566666666666666</v>
      </c>
      <c r="I947" s="46">
        <v>34</v>
      </c>
      <c r="J947" s="46" t="s">
        <v>38</v>
      </c>
      <c r="K947" s="46" t="s">
        <v>83</v>
      </c>
      <c r="L947" s="46" t="s">
        <v>129</v>
      </c>
    </row>
    <row r="948" spans="2:12" x14ac:dyDescent="0.2">
      <c r="B948" s="321">
        <v>943</v>
      </c>
      <c r="C948" s="322">
        <v>42582</v>
      </c>
      <c r="D948" s="16">
        <v>0.69791666666666663</v>
      </c>
      <c r="E948" s="46">
        <v>16.899999999999999</v>
      </c>
      <c r="F948" s="46">
        <v>18.2</v>
      </c>
      <c r="G948" s="46">
        <v>21.3</v>
      </c>
      <c r="H948" s="103">
        <f t="shared" si="33"/>
        <v>18.799999999999997</v>
      </c>
      <c r="I948" s="46">
        <v>30</v>
      </c>
      <c r="J948" s="46" t="s">
        <v>39</v>
      </c>
      <c r="K948" s="46" t="s">
        <v>86</v>
      </c>
      <c r="L948" s="46" t="s">
        <v>129</v>
      </c>
    </row>
    <row r="949" spans="2:12" x14ac:dyDescent="0.2">
      <c r="B949" s="321">
        <v>944</v>
      </c>
      <c r="C949" s="322">
        <v>42582</v>
      </c>
      <c r="D949" s="16">
        <v>0.82291666666666663</v>
      </c>
      <c r="E949" s="46">
        <v>16.3</v>
      </c>
      <c r="F949" s="46">
        <v>18.899999999999999</v>
      </c>
      <c r="G949" s="46">
        <v>22.2</v>
      </c>
      <c r="H949" s="103">
        <f t="shared" si="33"/>
        <v>19.133333333333336</v>
      </c>
      <c r="I949" s="46">
        <v>32</v>
      </c>
      <c r="J949" s="46" t="s">
        <v>38</v>
      </c>
      <c r="K949" s="46" t="s">
        <v>85</v>
      </c>
      <c r="L949" s="321" t="s">
        <v>104</v>
      </c>
    </row>
    <row r="950" spans="2:12" x14ac:dyDescent="0.2">
      <c r="B950" s="321">
        <v>945</v>
      </c>
      <c r="C950" s="322">
        <v>42583</v>
      </c>
      <c r="D950" s="16">
        <v>6.9444444444444441E-3</v>
      </c>
      <c r="E950" s="46">
        <v>18.5</v>
      </c>
      <c r="F950" s="46">
        <v>21.8</v>
      </c>
      <c r="G950" s="46">
        <v>22.2</v>
      </c>
      <c r="H950" s="103">
        <f t="shared" ref="H950:H1013" si="34">AVERAGE(E950:G950)</f>
        <v>20.833333333333332</v>
      </c>
      <c r="I950" s="46">
        <v>36</v>
      </c>
      <c r="J950" s="46" t="s">
        <v>39</v>
      </c>
      <c r="K950" s="46" t="s">
        <v>85</v>
      </c>
      <c r="L950" s="46" t="s">
        <v>99</v>
      </c>
    </row>
    <row r="951" spans="2:12" x14ac:dyDescent="0.2">
      <c r="B951" s="321">
        <v>946</v>
      </c>
      <c r="C951" s="322">
        <v>42583</v>
      </c>
      <c r="D951" s="16">
        <v>0.13194444444444445</v>
      </c>
      <c r="E951" s="46">
        <v>17.5</v>
      </c>
      <c r="F951" s="46">
        <v>19.600000000000001</v>
      </c>
      <c r="G951" s="46">
        <v>21.3</v>
      </c>
      <c r="H951" s="103">
        <f t="shared" si="34"/>
        <v>19.466666666666669</v>
      </c>
      <c r="I951" s="46">
        <v>38</v>
      </c>
      <c r="J951" s="46" t="s">
        <v>38</v>
      </c>
      <c r="K951" s="46" t="s">
        <v>90</v>
      </c>
      <c r="L951" s="46" t="s">
        <v>99</v>
      </c>
    </row>
    <row r="952" spans="2:12" x14ac:dyDescent="0.2">
      <c r="B952" s="321">
        <v>947</v>
      </c>
      <c r="C952" s="322">
        <v>42583</v>
      </c>
      <c r="D952" s="16">
        <v>0.63541666666666663</v>
      </c>
      <c r="E952" s="46">
        <v>11.8</v>
      </c>
      <c r="F952" s="46">
        <v>12.4</v>
      </c>
      <c r="G952" s="46">
        <v>14.5</v>
      </c>
      <c r="H952" s="103">
        <f t="shared" si="34"/>
        <v>12.9</v>
      </c>
      <c r="I952" s="46">
        <v>35</v>
      </c>
      <c r="J952" s="46" t="s">
        <v>39</v>
      </c>
      <c r="K952" s="46" t="s">
        <v>86</v>
      </c>
      <c r="L952" s="46" t="s">
        <v>129</v>
      </c>
    </row>
    <row r="953" spans="2:12" x14ac:dyDescent="0.2">
      <c r="B953" s="321">
        <v>948</v>
      </c>
      <c r="C953" s="322">
        <v>42583</v>
      </c>
      <c r="D953" s="16">
        <v>0.75694444444444453</v>
      </c>
      <c r="E953" s="46">
        <v>12.3</v>
      </c>
      <c r="F953" s="46">
        <v>14.9</v>
      </c>
      <c r="G953" s="46">
        <v>16.5</v>
      </c>
      <c r="H953" s="103">
        <f t="shared" si="34"/>
        <v>14.566666666666668</v>
      </c>
      <c r="I953" s="46">
        <v>45</v>
      </c>
      <c r="J953" s="46" t="s">
        <v>39</v>
      </c>
      <c r="K953" s="46" t="s">
        <v>83</v>
      </c>
      <c r="L953" s="46" t="s">
        <v>132</v>
      </c>
    </row>
    <row r="954" spans="2:12" x14ac:dyDescent="0.2">
      <c r="B954" s="321">
        <v>949</v>
      </c>
      <c r="C954" s="322">
        <v>42583</v>
      </c>
      <c r="D954" s="16">
        <v>0.98958333333333337</v>
      </c>
      <c r="E954" s="46">
        <v>19.5</v>
      </c>
      <c r="F954" s="46">
        <v>21.6</v>
      </c>
      <c r="G954" s="46">
        <v>22.6</v>
      </c>
      <c r="H954" s="103">
        <f t="shared" si="34"/>
        <v>21.233333333333334</v>
      </c>
      <c r="I954" s="46">
        <v>45</v>
      </c>
      <c r="J954" s="46" t="s">
        <v>39</v>
      </c>
      <c r="K954" s="46" t="s">
        <v>83</v>
      </c>
      <c r="L954" s="46" t="s">
        <v>99</v>
      </c>
    </row>
    <row r="955" spans="2:12" x14ac:dyDescent="0.2">
      <c r="B955" s="321">
        <v>950</v>
      </c>
      <c r="C955" s="322">
        <v>42584</v>
      </c>
      <c r="D955" s="16">
        <v>0.61458333333333337</v>
      </c>
      <c r="E955" s="46">
        <v>11.8</v>
      </c>
      <c r="F955" s="46">
        <v>15.5</v>
      </c>
      <c r="G955" s="46">
        <v>17.5</v>
      </c>
      <c r="H955" s="103">
        <f t="shared" si="34"/>
        <v>14.933333333333332</v>
      </c>
      <c r="I955" s="46">
        <v>39</v>
      </c>
      <c r="J955" s="46" t="s">
        <v>38</v>
      </c>
      <c r="K955" s="46" t="s">
        <v>83</v>
      </c>
      <c r="L955" s="46" t="s">
        <v>108</v>
      </c>
    </row>
    <row r="956" spans="2:12" x14ac:dyDescent="0.2">
      <c r="B956" s="321">
        <v>951</v>
      </c>
      <c r="C956" s="322">
        <v>42584</v>
      </c>
      <c r="D956" s="16">
        <v>0.77777777777777779</v>
      </c>
      <c r="E956" s="46">
        <v>17.2</v>
      </c>
      <c r="F956" s="46">
        <v>19.899999999999999</v>
      </c>
      <c r="G956" s="46">
        <v>21.6</v>
      </c>
      <c r="H956" s="103">
        <f t="shared" si="34"/>
        <v>19.566666666666666</v>
      </c>
      <c r="I956" s="46">
        <v>41</v>
      </c>
      <c r="J956" s="46" t="s">
        <v>39</v>
      </c>
      <c r="K956" s="46" t="s">
        <v>86</v>
      </c>
      <c r="L956" s="46" t="s">
        <v>98</v>
      </c>
    </row>
    <row r="957" spans="2:12" x14ac:dyDescent="0.2">
      <c r="B957" s="321">
        <v>952</v>
      </c>
      <c r="C957" s="322">
        <v>42584</v>
      </c>
      <c r="D957" s="16">
        <v>0.94444444444444453</v>
      </c>
      <c r="E957" s="46">
        <v>19</v>
      </c>
      <c r="F957" s="46">
        <v>23.2</v>
      </c>
      <c r="G957" s="46">
        <v>24.6</v>
      </c>
      <c r="H957" s="103">
        <f t="shared" si="34"/>
        <v>22.266666666666669</v>
      </c>
      <c r="I957" s="46">
        <v>23</v>
      </c>
      <c r="J957" s="46" t="s">
        <v>39</v>
      </c>
      <c r="K957" s="46" t="s">
        <v>83</v>
      </c>
      <c r="L957" s="46" t="s">
        <v>123</v>
      </c>
    </row>
    <row r="958" spans="2:12" x14ac:dyDescent="0.2">
      <c r="B958" s="323">
        <v>953</v>
      </c>
      <c r="C958" s="324">
        <v>42585</v>
      </c>
      <c r="D958" s="124">
        <v>0.69791666666666663</v>
      </c>
      <c r="E958" s="59">
        <v>20.5</v>
      </c>
      <c r="F958" s="59">
        <v>20.8</v>
      </c>
      <c r="G958" s="59">
        <v>23.6</v>
      </c>
      <c r="H958" s="103">
        <f t="shared" si="34"/>
        <v>21.633333333333336</v>
      </c>
      <c r="I958" s="59">
        <v>31</v>
      </c>
      <c r="J958" s="59" t="s">
        <v>38</v>
      </c>
      <c r="K958" s="59" t="s">
        <v>83</v>
      </c>
      <c r="L958" s="59" t="s">
        <v>100</v>
      </c>
    </row>
    <row r="959" spans="2:12" x14ac:dyDescent="0.2">
      <c r="B959" s="323">
        <v>954</v>
      </c>
      <c r="C959" s="324">
        <v>42585</v>
      </c>
      <c r="D959" s="124">
        <v>0.89236111111111116</v>
      </c>
      <c r="E959" s="59">
        <v>18.7</v>
      </c>
      <c r="F959" s="59">
        <v>19.399999999999999</v>
      </c>
      <c r="G959" s="59">
        <v>22.3</v>
      </c>
      <c r="H959" s="103">
        <f t="shared" si="34"/>
        <v>20.133333333333329</v>
      </c>
      <c r="I959" s="59">
        <v>30</v>
      </c>
      <c r="J959" s="59" t="s">
        <v>38</v>
      </c>
      <c r="K959" s="59" t="s">
        <v>83</v>
      </c>
      <c r="L959" s="59" t="s">
        <v>100</v>
      </c>
    </row>
    <row r="960" spans="2:12" x14ac:dyDescent="0.2">
      <c r="B960" s="323">
        <v>955</v>
      </c>
      <c r="C960" s="324">
        <v>42586</v>
      </c>
      <c r="D960" s="124">
        <v>2.7777777777777776E-2</v>
      </c>
      <c r="E960" s="59">
        <v>19.899999999999999</v>
      </c>
      <c r="F960" s="59">
        <v>23</v>
      </c>
      <c r="G960" s="59">
        <v>25.8</v>
      </c>
      <c r="H960" s="103">
        <f t="shared" si="34"/>
        <v>22.900000000000002</v>
      </c>
      <c r="I960" s="59">
        <v>36</v>
      </c>
      <c r="J960" s="59" t="s">
        <v>39</v>
      </c>
      <c r="K960" s="59" t="s">
        <v>86</v>
      </c>
      <c r="L960" s="46" t="s">
        <v>123</v>
      </c>
    </row>
    <row r="961" spans="2:12" x14ac:dyDescent="0.2">
      <c r="B961" s="323">
        <v>956</v>
      </c>
      <c r="C961" s="324">
        <v>42586</v>
      </c>
      <c r="D961" s="124">
        <v>0.17361111111111113</v>
      </c>
      <c r="E961" s="59">
        <v>18.399999999999999</v>
      </c>
      <c r="F961" s="59">
        <v>19.7</v>
      </c>
      <c r="G961" s="59">
        <v>20.9</v>
      </c>
      <c r="H961" s="103">
        <f t="shared" si="34"/>
        <v>19.666666666666664</v>
      </c>
      <c r="I961" s="59">
        <v>34</v>
      </c>
      <c r="J961" s="59" t="s">
        <v>38</v>
      </c>
      <c r="K961" s="59" t="s">
        <v>86</v>
      </c>
      <c r="L961" s="46" t="s">
        <v>99</v>
      </c>
    </row>
    <row r="962" spans="2:12" x14ac:dyDescent="0.2">
      <c r="B962" s="323">
        <v>957</v>
      </c>
      <c r="C962" s="326">
        <v>42587</v>
      </c>
      <c r="D962" s="124">
        <v>0.67708333333333337</v>
      </c>
      <c r="E962" s="59">
        <v>14.8</v>
      </c>
      <c r="F962" s="59">
        <v>17.399999999999999</v>
      </c>
      <c r="G962" s="59">
        <v>18.600000000000001</v>
      </c>
      <c r="H962" s="103">
        <f t="shared" si="34"/>
        <v>16.933333333333334</v>
      </c>
      <c r="I962" s="59">
        <v>35</v>
      </c>
      <c r="J962" s="59" t="s">
        <v>38</v>
      </c>
      <c r="K962" s="59" t="s">
        <v>83</v>
      </c>
      <c r="L962" s="59" t="s">
        <v>100</v>
      </c>
    </row>
    <row r="963" spans="2:12" x14ac:dyDescent="0.2">
      <c r="B963" s="325">
        <v>958</v>
      </c>
      <c r="C963" s="326">
        <v>42587</v>
      </c>
      <c r="D963" s="124">
        <v>0.84027777777777779</v>
      </c>
      <c r="E963" s="59">
        <v>12.2</v>
      </c>
      <c r="F963" s="59">
        <v>16.2</v>
      </c>
      <c r="G963" s="59">
        <v>20.399999999999999</v>
      </c>
      <c r="H963" s="103">
        <f t="shared" si="34"/>
        <v>16.266666666666666</v>
      </c>
      <c r="I963" s="59">
        <v>35</v>
      </c>
      <c r="J963" s="59" t="s">
        <v>39</v>
      </c>
      <c r="K963" s="59" t="s">
        <v>83</v>
      </c>
      <c r="L963" s="46" t="s">
        <v>108</v>
      </c>
    </row>
    <row r="964" spans="2:12" x14ac:dyDescent="0.2">
      <c r="B964" s="325">
        <v>959</v>
      </c>
      <c r="C964" s="326">
        <v>42588</v>
      </c>
      <c r="D964" s="124">
        <v>3.472222222222222E-3</v>
      </c>
      <c r="E964" s="59">
        <v>19.2</v>
      </c>
      <c r="F964" s="59">
        <v>21.3</v>
      </c>
      <c r="G964" s="59">
        <v>21.8</v>
      </c>
      <c r="H964" s="103">
        <f t="shared" si="34"/>
        <v>20.766666666666666</v>
      </c>
      <c r="I964" s="59">
        <v>35</v>
      </c>
      <c r="J964" s="59" t="s">
        <v>39</v>
      </c>
      <c r="K964" s="59" t="s">
        <v>83</v>
      </c>
      <c r="L964" s="46" t="s">
        <v>99</v>
      </c>
    </row>
    <row r="965" spans="2:12" x14ac:dyDescent="0.2">
      <c r="B965" s="325">
        <v>960</v>
      </c>
      <c r="C965" s="326">
        <v>42588</v>
      </c>
      <c r="D965" s="124">
        <v>0.15625</v>
      </c>
      <c r="E965" s="59">
        <v>13.6</v>
      </c>
      <c r="F965" s="59">
        <v>15.8</v>
      </c>
      <c r="G965" s="59">
        <v>16.2</v>
      </c>
      <c r="H965" s="103">
        <f t="shared" si="34"/>
        <v>15.199999999999998</v>
      </c>
      <c r="I965" s="59">
        <v>32</v>
      </c>
      <c r="J965" s="59" t="s">
        <v>39</v>
      </c>
      <c r="K965" s="59" t="s">
        <v>86</v>
      </c>
      <c r="L965" s="46" t="s">
        <v>108</v>
      </c>
    </row>
    <row r="966" spans="2:12" x14ac:dyDescent="0.2">
      <c r="B966" s="325">
        <v>961</v>
      </c>
      <c r="C966" s="326">
        <v>42588</v>
      </c>
      <c r="D966" s="124">
        <v>0.45833333333333331</v>
      </c>
      <c r="E966" s="59">
        <v>19.8</v>
      </c>
      <c r="F966" s="59">
        <v>20.3</v>
      </c>
      <c r="G966" s="59">
        <v>22</v>
      </c>
      <c r="H966" s="103">
        <f t="shared" si="34"/>
        <v>20.7</v>
      </c>
      <c r="I966" s="59">
        <v>31</v>
      </c>
      <c r="J966" s="59" t="s">
        <v>38</v>
      </c>
      <c r="K966" s="59" t="s">
        <v>90</v>
      </c>
      <c r="L966" s="59" t="s">
        <v>100</v>
      </c>
    </row>
    <row r="967" spans="2:12" x14ac:dyDescent="0.2">
      <c r="B967" s="325">
        <v>962</v>
      </c>
      <c r="C967" s="326">
        <v>42588</v>
      </c>
      <c r="D967" s="124">
        <v>0.71805555555555556</v>
      </c>
      <c r="E967" s="59">
        <v>12.6</v>
      </c>
      <c r="F967" s="59">
        <v>13.4</v>
      </c>
      <c r="G967" s="59">
        <v>14.5</v>
      </c>
      <c r="H967" s="103">
        <f t="shared" si="34"/>
        <v>13.5</v>
      </c>
      <c r="I967" s="59">
        <v>31</v>
      </c>
      <c r="J967" s="59" t="s">
        <v>39</v>
      </c>
      <c r="K967" s="59" t="s">
        <v>86</v>
      </c>
      <c r="L967" s="46" t="s">
        <v>99</v>
      </c>
    </row>
    <row r="968" spans="2:12" x14ac:dyDescent="0.2">
      <c r="B968" s="325">
        <v>963</v>
      </c>
      <c r="C968" s="326">
        <v>42588</v>
      </c>
      <c r="D968" s="124">
        <v>0.875</v>
      </c>
      <c r="E968" s="59">
        <v>13.2</v>
      </c>
      <c r="F968" s="59">
        <v>16.5</v>
      </c>
      <c r="G968" s="59">
        <v>19.5</v>
      </c>
      <c r="H968" s="103">
        <f t="shared" si="34"/>
        <v>16.400000000000002</v>
      </c>
      <c r="I968" s="59">
        <v>30</v>
      </c>
      <c r="J968" s="59" t="s">
        <v>38</v>
      </c>
      <c r="K968" s="59" t="s">
        <v>85</v>
      </c>
      <c r="L968" s="46" t="s">
        <v>99</v>
      </c>
    </row>
    <row r="969" spans="2:12" x14ac:dyDescent="0.2">
      <c r="B969" s="325">
        <v>964</v>
      </c>
      <c r="C969" s="326">
        <v>42589</v>
      </c>
      <c r="D969" s="124">
        <v>5.2083333333333336E-2</v>
      </c>
      <c r="E969" s="59">
        <v>11.4</v>
      </c>
      <c r="F969" s="59">
        <v>12.9</v>
      </c>
      <c r="G969" s="59">
        <v>16.399999999999999</v>
      </c>
      <c r="H969" s="103">
        <f t="shared" si="34"/>
        <v>13.566666666666668</v>
      </c>
      <c r="I969" s="59">
        <v>31</v>
      </c>
      <c r="J969" s="59" t="s">
        <v>39</v>
      </c>
      <c r="K969" s="59" t="s">
        <v>90</v>
      </c>
      <c r="L969" s="59" t="s">
        <v>100</v>
      </c>
    </row>
    <row r="970" spans="2:12" x14ac:dyDescent="0.2">
      <c r="B970" s="325">
        <v>965</v>
      </c>
      <c r="C970" s="326">
        <v>42589</v>
      </c>
      <c r="D970" s="124">
        <v>0.19791666666666666</v>
      </c>
      <c r="E970" s="59">
        <v>14.4</v>
      </c>
      <c r="F970" s="59">
        <v>15.8</v>
      </c>
      <c r="G970" s="59">
        <v>18.600000000000001</v>
      </c>
      <c r="H970" s="103">
        <f t="shared" si="34"/>
        <v>16.266666666666669</v>
      </c>
      <c r="I970" s="59">
        <v>38</v>
      </c>
      <c r="J970" s="59" t="s">
        <v>39</v>
      </c>
      <c r="K970" s="59" t="s">
        <v>90</v>
      </c>
      <c r="L970" s="59" t="s">
        <v>100</v>
      </c>
    </row>
    <row r="971" spans="2:12" x14ac:dyDescent="0.2">
      <c r="B971" s="325">
        <v>966</v>
      </c>
      <c r="C971" s="327">
        <v>42589</v>
      </c>
      <c r="D971" s="124">
        <v>0.51041666666666663</v>
      </c>
      <c r="E971" s="59">
        <v>17.5</v>
      </c>
      <c r="F971" s="59">
        <v>18.100000000000001</v>
      </c>
      <c r="G971" s="59">
        <v>21.5</v>
      </c>
      <c r="H971" s="103">
        <f t="shared" si="34"/>
        <v>19.033333333333335</v>
      </c>
      <c r="I971" s="59">
        <v>31</v>
      </c>
      <c r="J971" s="59" t="s">
        <v>38</v>
      </c>
      <c r="K971" s="59" t="s">
        <v>83</v>
      </c>
      <c r="L971" s="59" t="s">
        <v>100</v>
      </c>
    </row>
    <row r="972" spans="2:12" x14ac:dyDescent="0.2">
      <c r="B972" s="325">
        <v>967</v>
      </c>
      <c r="C972" s="327">
        <v>42589</v>
      </c>
      <c r="D972" s="124">
        <v>0.67638888888888893</v>
      </c>
      <c r="E972" s="59">
        <v>16.399999999999999</v>
      </c>
      <c r="F972" s="59">
        <v>18.3</v>
      </c>
      <c r="G972" s="59">
        <v>21.6</v>
      </c>
      <c r="H972" s="103">
        <f t="shared" si="34"/>
        <v>18.766666666666669</v>
      </c>
      <c r="I972" s="59">
        <v>36</v>
      </c>
      <c r="J972" s="59" t="s">
        <v>39</v>
      </c>
      <c r="K972" s="59" t="s">
        <v>83</v>
      </c>
      <c r="L972" s="46" t="s">
        <v>108</v>
      </c>
    </row>
    <row r="973" spans="2:12" x14ac:dyDescent="0.2">
      <c r="B973" s="325">
        <v>968</v>
      </c>
      <c r="C973" s="327">
        <v>42589</v>
      </c>
      <c r="D973" s="124">
        <v>0.84027777777777779</v>
      </c>
      <c r="E973" s="59">
        <v>14.2</v>
      </c>
      <c r="F973" s="59">
        <v>20.2</v>
      </c>
      <c r="G973" s="59">
        <v>21.1</v>
      </c>
      <c r="H973" s="103">
        <f t="shared" si="34"/>
        <v>18.5</v>
      </c>
      <c r="I973" s="59">
        <v>33</v>
      </c>
      <c r="J973" s="59" t="s">
        <v>39</v>
      </c>
      <c r="K973" s="59" t="s">
        <v>86</v>
      </c>
      <c r="L973" s="59" t="s">
        <v>100</v>
      </c>
    </row>
    <row r="974" spans="2:12" x14ac:dyDescent="0.2">
      <c r="B974" s="325">
        <v>969</v>
      </c>
      <c r="C974" s="327">
        <v>42589</v>
      </c>
      <c r="D974" s="124">
        <v>0.9375</v>
      </c>
      <c r="E974" s="59">
        <v>13.2</v>
      </c>
      <c r="F974" s="59">
        <v>15.4</v>
      </c>
      <c r="G974" s="59">
        <v>15.9</v>
      </c>
      <c r="H974" s="103">
        <f t="shared" si="34"/>
        <v>14.833333333333334</v>
      </c>
      <c r="I974" s="59">
        <v>30</v>
      </c>
      <c r="J974" s="59" t="s">
        <v>38</v>
      </c>
      <c r="K974" s="59" t="s">
        <v>85</v>
      </c>
      <c r="L974" s="46" t="s">
        <v>99</v>
      </c>
    </row>
    <row r="975" spans="2:12" x14ac:dyDescent="0.2">
      <c r="B975" s="325">
        <v>970</v>
      </c>
      <c r="C975" s="327">
        <v>42590</v>
      </c>
      <c r="D975" s="124">
        <v>0.11805555555555557</v>
      </c>
      <c r="E975" s="59">
        <v>19.600000000000001</v>
      </c>
      <c r="F975" s="59">
        <v>21.6</v>
      </c>
      <c r="G975" s="59">
        <v>22.6</v>
      </c>
      <c r="H975" s="103">
        <f t="shared" si="34"/>
        <v>21.266666666666669</v>
      </c>
      <c r="I975" s="59">
        <v>39</v>
      </c>
      <c r="J975" s="59" t="s">
        <v>39</v>
      </c>
      <c r="K975" s="59" t="s">
        <v>90</v>
      </c>
      <c r="L975" s="59" t="s">
        <v>100</v>
      </c>
    </row>
    <row r="976" spans="2:12" x14ac:dyDescent="0.2">
      <c r="B976" s="325">
        <v>971</v>
      </c>
      <c r="C976" s="329">
        <v>42590</v>
      </c>
      <c r="D976" s="124">
        <v>0.50694444444444442</v>
      </c>
      <c r="E976" s="59">
        <v>14.8</v>
      </c>
      <c r="F976" s="59">
        <v>17.5</v>
      </c>
      <c r="G976" s="59">
        <v>18.100000000000001</v>
      </c>
      <c r="H976" s="103">
        <f t="shared" si="34"/>
        <v>16.8</v>
      </c>
      <c r="I976" s="59">
        <v>38</v>
      </c>
      <c r="J976" s="59" t="s">
        <v>38</v>
      </c>
      <c r="K976" s="59" t="s">
        <v>86</v>
      </c>
      <c r="L976" s="59" t="s">
        <v>98</v>
      </c>
    </row>
    <row r="977" spans="2:12" x14ac:dyDescent="0.2">
      <c r="B977" s="325">
        <v>972</v>
      </c>
      <c r="C977" s="329">
        <v>42590</v>
      </c>
      <c r="D977" s="124">
        <v>0.65277777777777779</v>
      </c>
      <c r="E977" s="59">
        <v>16.7</v>
      </c>
      <c r="F977" s="59">
        <v>19.600000000000001</v>
      </c>
      <c r="G977" s="59">
        <v>20.5</v>
      </c>
      <c r="H977" s="103">
        <f t="shared" si="34"/>
        <v>18.933333333333334</v>
      </c>
      <c r="I977" s="59">
        <v>42</v>
      </c>
      <c r="J977" s="59" t="s">
        <v>39</v>
      </c>
      <c r="K977" s="59" t="s">
        <v>83</v>
      </c>
      <c r="L977" s="59" t="s">
        <v>93</v>
      </c>
    </row>
    <row r="978" spans="2:12" x14ac:dyDescent="0.2">
      <c r="B978" s="325">
        <v>973</v>
      </c>
      <c r="C978" s="329">
        <v>42590</v>
      </c>
      <c r="D978" s="124">
        <v>0.84375</v>
      </c>
      <c r="E978" s="59">
        <v>20.5</v>
      </c>
      <c r="F978" s="59">
        <v>21.6</v>
      </c>
      <c r="G978" s="59">
        <v>22.4</v>
      </c>
      <c r="H978" s="103">
        <f t="shared" si="34"/>
        <v>21.5</v>
      </c>
      <c r="I978" s="59">
        <v>40</v>
      </c>
      <c r="J978" s="59" t="s">
        <v>39</v>
      </c>
      <c r="K978" s="59" t="s">
        <v>86</v>
      </c>
      <c r="L978" s="59" t="s">
        <v>93</v>
      </c>
    </row>
    <row r="979" spans="2:12" x14ac:dyDescent="0.2">
      <c r="B979" s="325">
        <v>974</v>
      </c>
      <c r="C979" s="329">
        <v>42590</v>
      </c>
      <c r="D979" s="124">
        <v>0.93055555555555547</v>
      </c>
      <c r="E979" s="59">
        <v>15.3</v>
      </c>
      <c r="F979" s="59">
        <v>17.8</v>
      </c>
      <c r="G979" s="59">
        <v>19.600000000000001</v>
      </c>
      <c r="H979" s="103">
        <f t="shared" si="34"/>
        <v>17.566666666666666</v>
      </c>
      <c r="I979" s="59">
        <v>32</v>
      </c>
      <c r="J979" s="59" t="s">
        <v>38</v>
      </c>
      <c r="K979" s="59" t="s">
        <v>85</v>
      </c>
      <c r="L979" s="59" t="s">
        <v>93</v>
      </c>
    </row>
    <row r="980" spans="2:12" x14ac:dyDescent="0.2">
      <c r="B980" s="328">
        <v>975</v>
      </c>
      <c r="C980" s="329">
        <v>42591</v>
      </c>
      <c r="D980" s="124">
        <v>0.11805555555555557</v>
      </c>
      <c r="E980" s="59">
        <v>14.8</v>
      </c>
      <c r="F980" s="59">
        <v>14.2</v>
      </c>
      <c r="G980" s="59">
        <v>14.8</v>
      </c>
      <c r="H980" s="103">
        <f t="shared" si="34"/>
        <v>14.6</v>
      </c>
      <c r="I980" s="59">
        <v>30</v>
      </c>
      <c r="J980" s="59" t="s">
        <v>39</v>
      </c>
      <c r="K980" s="59" t="s">
        <v>90</v>
      </c>
      <c r="L980" s="59" t="s">
        <v>100</v>
      </c>
    </row>
    <row r="981" spans="2:12" x14ac:dyDescent="0.2">
      <c r="B981" s="328">
        <v>976</v>
      </c>
      <c r="C981" s="331">
        <v>42591</v>
      </c>
      <c r="D981" s="124">
        <v>0.4826388888888889</v>
      </c>
      <c r="E981" s="59">
        <v>17.399999999999999</v>
      </c>
      <c r="F981" s="59">
        <v>19.2</v>
      </c>
      <c r="G981" s="59">
        <v>20.100000000000001</v>
      </c>
      <c r="H981" s="103">
        <f t="shared" si="34"/>
        <v>18.899999999999999</v>
      </c>
      <c r="I981" s="59">
        <v>34</v>
      </c>
      <c r="J981" s="59" t="s">
        <v>38</v>
      </c>
      <c r="K981" s="59" t="s">
        <v>83</v>
      </c>
      <c r="L981" s="59" t="s">
        <v>98</v>
      </c>
    </row>
    <row r="982" spans="2:12" x14ac:dyDescent="0.2">
      <c r="B982" s="328">
        <v>977</v>
      </c>
      <c r="C982" s="331">
        <v>42591</v>
      </c>
      <c r="D982" s="124">
        <v>0.67708333333333337</v>
      </c>
      <c r="E982" s="59">
        <v>17.3</v>
      </c>
      <c r="F982" s="59">
        <v>19.8</v>
      </c>
      <c r="G982" s="59">
        <v>20.2</v>
      </c>
      <c r="H982" s="103">
        <f t="shared" si="34"/>
        <v>19.099999999999998</v>
      </c>
      <c r="I982" s="59">
        <v>34</v>
      </c>
      <c r="J982" s="59" t="s">
        <v>39</v>
      </c>
      <c r="K982" s="59" t="s">
        <v>83</v>
      </c>
      <c r="L982" s="59" t="s">
        <v>100</v>
      </c>
    </row>
    <row r="983" spans="2:12" x14ac:dyDescent="0.2">
      <c r="B983" s="328">
        <v>978</v>
      </c>
      <c r="C983" s="331">
        <v>42591</v>
      </c>
      <c r="D983" s="124">
        <v>0.84027777777777779</v>
      </c>
      <c r="E983" s="59">
        <v>20.2</v>
      </c>
      <c r="F983" s="59">
        <v>21.2</v>
      </c>
      <c r="G983" s="59">
        <v>23.5</v>
      </c>
      <c r="H983" s="103">
        <f t="shared" si="34"/>
        <v>21.633333333333336</v>
      </c>
      <c r="I983" s="59">
        <v>42</v>
      </c>
      <c r="J983" s="59" t="s">
        <v>39</v>
      </c>
      <c r="K983" s="59" t="s">
        <v>83</v>
      </c>
      <c r="L983" s="59" t="s">
        <v>93</v>
      </c>
    </row>
    <row r="984" spans="2:12" x14ac:dyDescent="0.2">
      <c r="B984" s="330">
        <v>979</v>
      </c>
      <c r="C984" s="331">
        <v>42591</v>
      </c>
      <c r="D984" s="124">
        <v>0.92708333333333337</v>
      </c>
      <c r="E984" s="59">
        <v>16.899999999999999</v>
      </c>
      <c r="F984" s="59">
        <v>19.7</v>
      </c>
      <c r="G984" s="59">
        <v>21.6</v>
      </c>
      <c r="H984" s="103">
        <f t="shared" si="34"/>
        <v>19.399999999999999</v>
      </c>
      <c r="I984" s="59">
        <v>34</v>
      </c>
      <c r="J984" s="59" t="s">
        <v>38</v>
      </c>
      <c r="K984" s="59" t="s">
        <v>86</v>
      </c>
      <c r="L984" s="59" t="s">
        <v>100</v>
      </c>
    </row>
    <row r="985" spans="2:12" x14ac:dyDescent="0.2">
      <c r="B985" s="330">
        <v>980</v>
      </c>
      <c r="C985" s="331">
        <v>42592</v>
      </c>
      <c r="D985" s="124">
        <v>9.375E-2</v>
      </c>
      <c r="E985" s="59">
        <v>11.9</v>
      </c>
      <c r="F985" s="59">
        <v>15.6</v>
      </c>
      <c r="G985" s="59">
        <v>17.2</v>
      </c>
      <c r="H985" s="103">
        <f t="shared" si="34"/>
        <v>14.9</v>
      </c>
      <c r="I985" s="59">
        <v>41</v>
      </c>
      <c r="J985" s="59" t="s">
        <v>39</v>
      </c>
      <c r="K985" s="59" t="s">
        <v>85</v>
      </c>
      <c r="L985" s="59" t="s">
        <v>100</v>
      </c>
    </row>
    <row r="986" spans="2:12" x14ac:dyDescent="0.2">
      <c r="B986" s="330">
        <v>981</v>
      </c>
      <c r="C986" s="332">
        <v>42592</v>
      </c>
      <c r="D986" s="124">
        <v>0.55555555555555558</v>
      </c>
      <c r="E986" s="59">
        <v>17.600000000000001</v>
      </c>
      <c r="F986" s="59">
        <v>18.5</v>
      </c>
      <c r="G986" s="59">
        <v>21.2</v>
      </c>
      <c r="H986" s="103">
        <f t="shared" si="34"/>
        <v>19.099999999999998</v>
      </c>
      <c r="I986" s="59">
        <v>36</v>
      </c>
      <c r="J986" s="59" t="s">
        <v>38</v>
      </c>
      <c r="K986" s="59" t="s">
        <v>83</v>
      </c>
      <c r="L986" s="59" t="s">
        <v>100</v>
      </c>
    </row>
    <row r="987" spans="2:12" x14ac:dyDescent="0.2">
      <c r="B987" s="330">
        <v>982</v>
      </c>
      <c r="C987" s="332">
        <v>42592</v>
      </c>
      <c r="D987" s="124">
        <v>0.71875</v>
      </c>
      <c r="E987" s="59">
        <v>17.8</v>
      </c>
      <c r="F987" s="59">
        <v>22.8</v>
      </c>
      <c r="G987" s="59">
        <v>23.2</v>
      </c>
      <c r="H987" s="103">
        <f t="shared" si="34"/>
        <v>21.266666666666666</v>
      </c>
      <c r="I987" s="59">
        <v>32</v>
      </c>
      <c r="J987" s="59" t="s">
        <v>39</v>
      </c>
      <c r="K987" s="59" t="s">
        <v>86</v>
      </c>
      <c r="L987" s="59" t="s">
        <v>93</v>
      </c>
    </row>
    <row r="988" spans="2:12" x14ac:dyDescent="0.2">
      <c r="B988" s="330">
        <v>983</v>
      </c>
      <c r="C988" s="332">
        <v>42592</v>
      </c>
      <c r="D988" s="124">
        <v>0.92708333333333337</v>
      </c>
      <c r="E988" s="59">
        <v>14.2</v>
      </c>
      <c r="F988" s="59">
        <v>15.2</v>
      </c>
      <c r="G988" s="59">
        <v>18.8</v>
      </c>
      <c r="H988" s="103">
        <f t="shared" si="34"/>
        <v>16.066666666666666</v>
      </c>
      <c r="I988" s="59">
        <v>32</v>
      </c>
      <c r="J988" s="59" t="s">
        <v>38</v>
      </c>
      <c r="K988" s="59" t="s">
        <v>85</v>
      </c>
      <c r="L988" s="59" t="s">
        <v>93</v>
      </c>
    </row>
    <row r="989" spans="2:12" x14ac:dyDescent="0.2">
      <c r="B989" s="330">
        <v>984</v>
      </c>
      <c r="C989" s="332">
        <v>42593</v>
      </c>
      <c r="D989" s="124">
        <v>4.8611111111111112E-2</v>
      </c>
      <c r="E989" s="59">
        <v>10.7</v>
      </c>
      <c r="F989" s="59">
        <v>11.8</v>
      </c>
      <c r="G989" s="59">
        <v>13.8</v>
      </c>
      <c r="H989" s="103">
        <f t="shared" si="34"/>
        <v>12.1</v>
      </c>
      <c r="I989" s="59">
        <v>29</v>
      </c>
      <c r="J989" s="59" t="s">
        <v>39</v>
      </c>
      <c r="K989" s="59" t="s">
        <v>90</v>
      </c>
      <c r="L989" s="59" t="s">
        <v>100</v>
      </c>
    </row>
    <row r="990" spans="2:12" x14ac:dyDescent="0.2">
      <c r="B990" s="330">
        <v>985</v>
      </c>
      <c r="C990" s="332">
        <v>42593</v>
      </c>
      <c r="D990" s="124">
        <v>0.19791666666666666</v>
      </c>
      <c r="E990" s="59">
        <v>13.6</v>
      </c>
      <c r="F990" s="59">
        <v>15.9</v>
      </c>
      <c r="G990" s="59">
        <v>16.899999999999999</v>
      </c>
      <c r="H990" s="103">
        <f t="shared" si="34"/>
        <v>15.466666666666667</v>
      </c>
      <c r="I990" s="59">
        <v>35</v>
      </c>
      <c r="J990" s="59" t="s">
        <v>39</v>
      </c>
      <c r="K990" s="59" t="s">
        <v>85</v>
      </c>
      <c r="L990" s="59" t="s">
        <v>100</v>
      </c>
    </row>
    <row r="991" spans="2:12" x14ac:dyDescent="0.2">
      <c r="B991" s="330">
        <v>986</v>
      </c>
      <c r="C991" s="334">
        <v>42593</v>
      </c>
      <c r="D991" s="124">
        <v>0.54513888888888895</v>
      </c>
      <c r="E991" s="59">
        <v>12.3</v>
      </c>
      <c r="F991" s="59">
        <v>13.2</v>
      </c>
      <c r="G991" s="59">
        <v>18.399999999999999</v>
      </c>
      <c r="H991" s="103">
        <f t="shared" si="34"/>
        <v>14.633333333333333</v>
      </c>
      <c r="I991" s="59">
        <v>32</v>
      </c>
      <c r="J991" s="59" t="s">
        <v>38</v>
      </c>
      <c r="K991" s="59" t="s">
        <v>83</v>
      </c>
      <c r="L991" s="59" t="s">
        <v>100</v>
      </c>
    </row>
    <row r="992" spans="2:12" x14ac:dyDescent="0.2">
      <c r="B992" s="333">
        <v>987</v>
      </c>
      <c r="C992" s="334">
        <v>42593</v>
      </c>
      <c r="D992" s="124">
        <v>0.71527777777777779</v>
      </c>
      <c r="E992" s="59">
        <v>19.7</v>
      </c>
      <c r="F992" s="59">
        <v>20</v>
      </c>
      <c r="G992" s="59">
        <v>22.6</v>
      </c>
      <c r="H992" s="103">
        <f t="shared" si="34"/>
        <v>20.766666666666669</v>
      </c>
      <c r="I992" s="59">
        <v>32</v>
      </c>
      <c r="J992" s="59" t="s">
        <v>39</v>
      </c>
      <c r="K992" s="59" t="s">
        <v>86</v>
      </c>
      <c r="L992" s="59" t="s">
        <v>93</v>
      </c>
    </row>
    <row r="993" spans="2:12" x14ac:dyDescent="0.2">
      <c r="B993" s="333">
        <v>988</v>
      </c>
      <c r="C993" s="334">
        <v>42593</v>
      </c>
      <c r="D993" s="124">
        <v>0.92361111111111116</v>
      </c>
      <c r="E993" s="59">
        <v>13.8</v>
      </c>
      <c r="F993" s="59">
        <v>16.2</v>
      </c>
      <c r="G993" s="59">
        <v>17.600000000000001</v>
      </c>
      <c r="H993" s="103">
        <f t="shared" si="34"/>
        <v>15.866666666666667</v>
      </c>
      <c r="I993" s="59">
        <v>28</v>
      </c>
      <c r="J993" s="59" t="s">
        <v>38</v>
      </c>
      <c r="K993" s="59" t="s">
        <v>90</v>
      </c>
      <c r="L993" s="59" t="s">
        <v>100</v>
      </c>
    </row>
    <row r="994" spans="2:12" x14ac:dyDescent="0.2">
      <c r="B994" s="333">
        <v>989</v>
      </c>
      <c r="C994" s="334">
        <v>42594</v>
      </c>
      <c r="D994" s="124">
        <v>4.8611111111111112E-2</v>
      </c>
      <c r="E994" s="59">
        <v>10.7</v>
      </c>
      <c r="F994" s="59">
        <v>13.3</v>
      </c>
      <c r="G994" s="59">
        <v>15.7</v>
      </c>
      <c r="H994" s="103">
        <f t="shared" si="34"/>
        <v>13.233333333333334</v>
      </c>
      <c r="I994" s="59">
        <v>30</v>
      </c>
      <c r="J994" s="59" t="s">
        <v>39</v>
      </c>
      <c r="K994" s="59" t="s">
        <v>90</v>
      </c>
      <c r="L994" s="59" t="s">
        <v>100</v>
      </c>
    </row>
    <row r="995" spans="2:12" x14ac:dyDescent="0.2">
      <c r="B995" s="333">
        <v>990</v>
      </c>
      <c r="C995" s="334">
        <v>42594</v>
      </c>
      <c r="D995" s="124">
        <v>0.19791666666666666</v>
      </c>
      <c r="E995" s="59">
        <v>14.1</v>
      </c>
      <c r="F995" s="59">
        <v>16.7</v>
      </c>
      <c r="G995" s="59">
        <v>17.399999999999999</v>
      </c>
      <c r="H995" s="103">
        <f t="shared" si="34"/>
        <v>16.066666666666666</v>
      </c>
      <c r="I995" s="59">
        <v>34</v>
      </c>
      <c r="J995" s="59" t="s">
        <v>38</v>
      </c>
      <c r="K995" s="59" t="s">
        <v>85</v>
      </c>
      <c r="L995" s="59" t="s">
        <v>100</v>
      </c>
    </row>
    <row r="996" spans="2:12" x14ac:dyDescent="0.2">
      <c r="B996" s="333">
        <v>991</v>
      </c>
      <c r="C996" s="334">
        <v>42594</v>
      </c>
      <c r="D996" s="124">
        <v>0.54861111111111105</v>
      </c>
      <c r="E996" s="59">
        <v>14.1</v>
      </c>
      <c r="F996" s="59">
        <v>16.5</v>
      </c>
      <c r="G996" s="59">
        <v>21.4</v>
      </c>
      <c r="H996" s="103">
        <f t="shared" si="34"/>
        <v>17.333333333333332</v>
      </c>
      <c r="I996" s="59">
        <v>34</v>
      </c>
      <c r="J996" s="59" t="s">
        <v>38</v>
      </c>
      <c r="K996" s="59" t="s">
        <v>86</v>
      </c>
      <c r="L996" s="59" t="s">
        <v>93</v>
      </c>
    </row>
    <row r="997" spans="2:12" x14ac:dyDescent="0.2">
      <c r="B997" s="333">
        <v>992</v>
      </c>
      <c r="C997" s="334">
        <v>42594</v>
      </c>
      <c r="D997" s="124">
        <v>0.71875</v>
      </c>
      <c r="E997" s="59">
        <v>19.2</v>
      </c>
      <c r="F997" s="59">
        <v>19.7</v>
      </c>
      <c r="G997" s="59">
        <v>24.2</v>
      </c>
      <c r="H997" s="103">
        <f t="shared" si="34"/>
        <v>21.033333333333331</v>
      </c>
      <c r="I997" s="59">
        <v>29</v>
      </c>
      <c r="J997" s="59" t="s">
        <v>39</v>
      </c>
      <c r="K997" s="59" t="s">
        <v>86</v>
      </c>
      <c r="L997" s="59" t="s">
        <v>93</v>
      </c>
    </row>
    <row r="998" spans="2:12" x14ac:dyDescent="0.2">
      <c r="B998" s="333">
        <v>993</v>
      </c>
      <c r="C998" s="334">
        <v>42594</v>
      </c>
      <c r="D998" s="124">
        <v>0.92361111111111116</v>
      </c>
      <c r="E998" s="59">
        <v>17.8</v>
      </c>
      <c r="F998" s="59">
        <v>18.899999999999999</v>
      </c>
      <c r="G998" s="59">
        <v>20.399999999999999</v>
      </c>
      <c r="H998" s="103">
        <f t="shared" si="34"/>
        <v>19.033333333333335</v>
      </c>
      <c r="I998" s="59">
        <v>31</v>
      </c>
      <c r="J998" s="59" t="s">
        <v>38</v>
      </c>
      <c r="K998" s="59" t="s">
        <v>85</v>
      </c>
      <c r="L998" s="59" t="s">
        <v>93</v>
      </c>
    </row>
    <row r="999" spans="2:12" x14ac:dyDescent="0.2">
      <c r="B999" s="333">
        <v>994</v>
      </c>
      <c r="C999" s="334">
        <v>42595</v>
      </c>
      <c r="D999" s="124">
        <v>5.2083333333333336E-2</v>
      </c>
      <c r="E999" s="59">
        <v>18.899999999999999</v>
      </c>
      <c r="F999" s="59">
        <v>19.5</v>
      </c>
      <c r="G999" s="59">
        <v>20.7</v>
      </c>
      <c r="H999" s="103">
        <f t="shared" si="34"/>
        <v>19.7</v>
      </c>
      <c r="I999" s="59">
        <v>39</v>
      </c>
      <c r="J999" s="59" t="s">
        <v>39</v>
      </c>
      <c r="K999" s="59" t="s">
        <v>85</v>
      </c>
      <c r="L999" s="59" t="s">
        <v>100</v>
      </c>
    </row>
    <row r="1000" spans="2:12" x14ac:dyDescent="0.2">
      <c r="B1000" s="333">
        <v>995</v>
      </c>
      <c r="C1000" s="334">
        <v>42595</v>
      </c>
      <c r="D1000" s="124">
        <v>0.19791666666666666</v>
      </c>
      <c r="E1000" s="59">
        <v>14.4</v>
      </c>
      <c r="F1000" s="59">
        <v>17.7</v>
      </c>
      <c r="G1000" s="59">
        <v>18.600000000000001</v>
      </c>
      <c r="H1000" s="103">
        <f t="shared" si="34"/>
        <v>16.900000000000002</v>
      </c>
      <c r="I1000" s="59">
        <v>27</v>
      </c>
      <c r="J1000" s="59" t="s">
        <v>39</v>
      </c>
      <c r="K1000" s="59" t="s">
        <v>90</v>
      </c>
      <c r="L1000" s="59" t="s">
        <v>100</v>
      </c>
    </row>
    <row r="1001" spans="2:12" x14ac:dyDescent="0.2">
      <c r="B1001" s="333">
        <v>996</v>
      </c>
      <c r="C1001" s="334">
        <v>42595</v>
      </c>
      <c r="D1001" s="124">
        <v>0.54861111111111105</v>
      </c>
      <c r="E1001" s="59">
        <v>17.2</v>
      </c>
      <c r="F1001" s="59">
        <v>18.600000000000001</v>
      </c>
      <c r="G1001" s="59">
        <v>19.100000000000001</v>
      </c>
      <c r="H1001" s="103">
        <f t="shared" si="34"/>
        <v>18.3</v>
      </c>
      <c r="I1001" s="59">
        <v>37</v>
      </c>
      <c r="J1001" s="59" t="s">
        <v>38</v>
      </c>
      <c r="K1001" s="59" t="s">
        <v>83</v>
      </c>
      <c r="L1001" s="59" t="s">
        <v>100</v>
      </c>
    </row>
    <row r="1002" spans="2:12" x14ac:dyDescent="0.2">
      <c r="B1002" s="333">
        <v>997</v>
      </c>
      <c r="C1002" s="334">
        <v>42595</v>
      </c>
      <c r="D1002" s="124">
        <v>0.71527777777777779</v>
      </c>
      <c r="E1002" s="59">
        <v>14.4</v>
      </c>
      <c r="F1002" s="59">
        <v>18.399999999999999</v>
      </c>
      <c r="G1002" s="59">
        <v>19.5</v>
      </c>
      <c r="H1002" s="103">
        <f t="shared" si="34"/>
        <v>17.433333333333334</v>
      </c>
      <c r="I1002" s="59">
        <v>46</v>
      </c>
      <c r="J1002" s="59" t="s">
        <v>39</v>
      </c>
      <c r="K1002" s="59" t="s">
        <v>83</v>
      </c>
      <c r="L1002" s="59" t="s">
        <v>100</v>
      </c>
    </row>
    <row r="1003" spans="2:12" x14ac:dyDescent="0.2">
      <c r="B1003" s="333">
        <v>998</v>
      </c>
      <c r="C1003" s="334">
        <v>42595</v>
      </c>
      <c r="D1003" s="124">
        <v>0.92361111111111116</v>
      </c>
      <c r="E1003" s="59">
        <v>14.3</v>
      </c>
      <c r="F1003" s="59">
        <v>17.399999999999999</v>
      </c>
      <c r="G1003" s="59">
        <v>25.3</v>
      </c>
      <c r="H1003" s="103">
        <f t="shared" si="34"/>
        <v>19</v>
      </c>
      <c r="I1003" s="59">
        <v>29</v>
      </c>
      <c r="J1003" s="59" t="s">
        <v>38</v>
      </c>
      <c r="K1003" s="59" t="s">
        <v>85</v>
      </c>
      <c r="L1003" s="59" t="s">
        <v>102</v>
      </c>
    </row>
    <row r="1004" spans="2:12" x14ac:dyDescent="0.2">
      <c r="B1004" s="333">
        <v>999</v>
      </c>
      <c r="C1004" s="334">
        <v>42596</v>
      </c>
      <c r="D1004" s="124">
        <v>4.8611111111111112E-2</v>
      </c>
      <c r="E1004" s="59">
        <v>19.399999999999999</v>
      </c>
      <c r="F1004" s="59">
        <v>20.2</v>
      </c>
      <c r="G1004" s="59">
        <v>25.3</v>
      </c>
      <c r="H1004" s="103">
        <f t="shared" si="34"/>
        <v>21.633333333333329</v>
      </c>
      <c r="I1004" s="59">
        <v>38</v>
      </c>
      <c r="J1004" s="59" t="s">
        <v>39</v>
      </c>
      <c r="K1004" s="59" t="s">
        <v>85</v>
      </c>
      <c r="L1004" s="59" t="s">
        <v>102</v>
      </c>
    </row>
    <row r="1005" spans="2:12" x14ac:dyDescent="0.2">
      <c r="B1005" s="333">
        <v>1000</v>
      </c>
      <c r="C1005" s="334">
        <v>42596</v>
      </c>
      <c r="D1005" s="124">
        <v>0.19791666666666666</v>
      </c>
      <c r="E1005" s="59">
        <v>13.6</v>
      </c>
      <c r="F1005" s="59">
        <v>14.6</v>
      </c>
      <c r="G1005" s="59">
        <v>15.8</v>
      </c>
      <c r="H1005" s="103">
        <f t="shared" si="34"/>
        <v>14.666666666666666</v>
      </c>
      <c r="I1005" s="59">
        <v>48</v>
      </c>
      <c r="J1005" s="59" t="s">
        <v>39</v>
      </c>
      <c r="K1005" s="59" t="s">
        <v>90</v>
      </c>
      <c r="L1005" s="59" t="s">
        <v>100</v>
      </c>
    </row>
    <row r="1006" spans="2:12" x14ac:dyDescent="0.2">
      <c r="B1006" s="333">
        <v>1001</v>
      </c>
      <c r="C1006" s="334">
        <v>42596</v>
      </c>
      <c r="D1006" s="124">
        <v>0.55208333333333337</v>
      </c>
      <c r="E1006" s="59">
        <v>18.100000000000001</v>
      </c>
      <c r="F1006" s="59">
        <v>20.5</v>
      </c>
      <c r="G1006" s="59">
        <v>22.2</v>
      </c>
      <c r="H1006" s="103">
        <f t="shared" si="34"/>
        <v>20.266666666666666</v>
      </c>
      <c r="I1006" s="59">
        <v>34</v>
      </c>
      <c r="J1006" s="59" t="s">
        <v>38</v>
      </c>
      <c r="K1006" s="59" t="s">
        <v>86</v>
      </c>
      <c r="L1006" s="59" t="s">
        <v>100</v>
      </c>
    </row>
    <row r="1007" spans="2:12" x14ac:dyDescent="0.2">
      <c r="B1007" s="333">
        <v>1002</v>
      </c>
      <c r="C1007" s="334">
        <v>42596</v>
      </c>
      <c r="D1007" s="124">
        <v>0.71527777777777779</v>
      </c>
      <c r="E1007" s="59">
        <v>16.5</v>
      </c>
      <c r="F1007" s="59">
        <v>19.8</v>
      </c>
      <c r="G1007" s="59">
        <v>20.5</v>
      </c>
      <c r="H1007" s="103">
        <f t="shared" si="34"/>
        <v>18.933333333333334</v>
      </c>
      <c r="I1007" s="59">
        <v>42</v>
      </c>
      <c r="J1007" s="59" t="s">
        <v>39</v>
      </c>
      <c r="K1007" s="59" t="s">
        <v>83</v>
      </c>
      <c r="L1007" s="59" t="s">
        <v>100</v>
      </c>
    </row>
    <row r="1008" spans="2:12" x14ac:dyDescent="0.2">
      <c r="B1008" s="333">
        <v>1003</v>
      </c>
      <c r="C1008" s="334">
        <v>42597</v>
      </c>
      <c r="D1008" s="124">
        <v>5.2083333333333336E-2</v>
      </c>
      <c r="E1008" s="59">
        <v>18.100000000000001</v>
      </c>
      <c r="F1008" s="59">
        <v>20.5</v>
      </c>
      <c r="G1008" s="59">
        <v>22.2</v>
      </c>
      <c r="H1008" s="103">
        <f t="shared" si="34"/>
        <v>20.266666666666666</v>
      </c>
      <c r="I1008" s="59">
        <v>34</v>
      </c>
      <c r="J1008" s="59" t="s">
        <v>38</v>
      </c>
      <c r="K1008" s="59" t="s">
        <v>85</v>
      </c>
      <c r="L1008" s="59" t="s">
        <v>98</v>
      </c>
    </row>
    <row r="1009" spans="2:12" x14ac:dyDescent="0.2">
      <c r="B1009" s="333">
        <v>1004</v>
      </c>
      <c r="C1009" s="334">
        <v>42597</v>
      </c>
      <c r="D1009" s="124">
        <v>0.19791666666666666</v>
      </c>
      <c r="E1009" s="59">
        <v>16.600000000000001</v>
      </c>
      <c r="F1009" s="59">
        <v>19.2</v>
      </c>
      <c r="G1009" s="59">
        <v>22.4</v>
      </c>
      <c r="H1009" s="103">
        <f t="shared" si="34"/>
        <v>19.399999999999999</v>
      </c>
      <c r="I1009" s="59">
        <v>38</v>
      </c>
      <c r="J1009" s="59" t="s">
        <v>39</v>
      </c>
      <c r="K1009" s="59" t="s">
        <v>85</v>
      </c>
      <c r="L1009" s="59" t="s">
        <v>100</v>
      </c>
    </row>
    <row r="1010" spans="2:12" x14ac:dyDescent="0.2">
      <c r="B1010" s="333">
        <v>1005</v>
      </c>
      <c r="C1010" s="336">
        <v>42598</v>
      </c>
      <c r="D1010" s="257">
        <v>11.1</v>
      </c>
      <c r="E1010" s="337">
        <v>11.1</v>
      </c>
      <c r="F1010" s="337">
        <v>11.1</v>
      </c>
      <c r="G1010" s="337">
        <v>11.1</v>
      </c>
      <c r="H1010" s="103">
        <f t="shared" si="34"/>
        <v>11.1</v>
      </c>
      <c r="I1010" s="59">
        <v>35</v>
      </c>
    </row>
    <row r="1011" spans="2:12" x14ac:dyDescent="0.2">
      <c r="B1011" s="333">
        <v>1006</v>
      </c>
      <c r="C1011" s="336">
        <v>42599</v>
      </c>
      <c r="D1011" s="337">
        <v>11.1</v>
      </c>
      <c r="E1011" s="337">
        <v>11.1</v>
      </c>
      <c r="F1011" s="337">
        <v>11.1</v>
      </c>
      <c r="G1011" s="337">
        <v>11.1</v>
      </c>
      <c r="H1011" s="103">
        <f t="shared" si="34"/>
        <v>11.1</v>
      </c>
      <c r="I1011" s="59">
        <v>35</v>
      </c>
    </row>
    <row r="1012" spans="2:12" x14ac:dyDescent="0.2">
      <c r="B1012" s="335">
        <v>1007</v>
      </c>
      <c r="C1012" s="336">
        <v>42600</v>
      </c>
      <c r="D1012" s="337">
        <v>11.1</v>
      </c>
      <c r="E1012" s="337">
        <v>11.1</v>
      </c>
      <c r="F1012" s="337">
        <v>11.1</v>
      </c>
      <c r="G1012" s="337">
        <v>11.1</v>
      </c>
      <c r="H1012" s="103">
        <f t="shared" si="34"/>
        <v>11.1</v>
      </c>
      <c r="I1012" s="59">
        <v>35</v>
      </c>
    </row>
    <row r="1013" spans="2:12" x14ac:dyDescent="0.2">
      <c r="B1013" s="335">
        <v>1008</v>
      </c>
      <c r="C1013" s="336">
        <v>42601</v>
      </c>
      <c r="D1013" s="337">
        <v>11.1</v>
      </c>
      <c r="E1013" s="337">
        <v>11.1</v>
      </c>
      <c r="F1013" s="337">
        <v>11.1</v>
      </c>
      <c r="G1013" s="337">
        <v>11.1</v>
      </c>
      <c r="H1013" s="103">
        <f t="shared" si="34"/>
        <v>11.1</v>
      </c>
      <c r="I1013" s="59">
        <v>35</v>
      </c>
    </row>
    <row r="1014" spans="2:12" x14ac:dyDescent="0.2">
      <c r="B1014" s="335">
        <v>1009</v>
      </c>
      <c r="C1014" s="336">
        <v>42602</v>
      </c>
      <c r="D1014" s="124">
        <v>0.80208333333333337</v>
      </c>
      <c r="E1014" s="337">
        <v>17.8</v>
      </c>
      <c r="F1014" s="337">
        <v>18.2</v>
      </c>
      <c r="G1014" s="337">
        <v>20.9</v>
      </c>
      <c r="H1014" s="103">
        <f t="shared" ref="H1014:H1052" si="35">AVERAGE(E1014:G1014)</f>
        <v>18.966666666666665</v>
      </c>
      <c r="I1014" s="59">
        <v>35</v>
      </c>
      <c r="J1014" t="s">
        <v>39</v>
      </c>
      <c r="K1014" t="s">
        <v>83</v>
      </c>
      <c r="L1014" s="59" t="s">
        <v>99</v>
      </c>
    </row>
    <row r="1015" spans="2:12" x14ac:dyDescent="0.2">
      <c r="B1015" s="335">
        <v>1010</v>
      </c>
      <c r="C1015" s="336">
        <v>42603</v>
      </c>
      <c r="D1015" s="124">
        <v>2.0833333333333332E-2</v>
      </c>
      <c r="E1015" s="337">
        <v>18.3</v>
      </c>
      <c r="F1015" s="337">
        <v>19.8</v>
      </c>
      <c r="G1015" s="337">
        <v>25.4</v>
      </c>
      <c r="H1015" s="103">
        <f t="shared" si="35"/>
        <v>21.166666666666668</v>
      </c>
      <c r="I1015" s="59">
        <v>25</v>
      </c>
      <c r="J1015" t="s">
        <v>39</v>
      </c>
      <c r="K1015" t="s">
        <v>90</v>
      </c>
      <c r="L1015" s="59" t="s">
        <v>100</v>
      </c>
    </row>
    <row r="1016" spans="2:12" x14ac:dyDescent="0.2">
      <c r="B1016" s="335">
        <v>1011</v>
      </c>
      <c r="C1016" s="336">
        <v>42603</v>
      </c>
      <c r="D1016" s="124">
        <v>0.17361111111111113</v>
      </c>
      <c r="E1016" s="337">
        <v>15.8</v>
      </c>
      <c r="F1016" s="337">
        <v>16.600000000000001</v>
      </c>
      <c r="G1016" s="337">
        <v>18.8</v>
      </c>
      <c r="H1016" s="103">
        <f t="shared" si="35"/>
        <v>17.066666666666666</v>
      </c>
      <c r="I1016" s="59">
        <v>36</v>
      </c>
      <c r="J1016" t="s">
        <v>39</v>
      </c>
      <c r="K1016" t="s">
        <v>90</v>
      </c>
      <c r="L1016" s="59" t="s">
        <v>93</v>
      </c>
    </row>
    <row r="1017" spans="2:12" x14ac:dyDescent="0.2">
      <c r="B1017" s="335">
        <v>1012</v>
      </c>
      <c r="C1017" s="338">
        <v>42603</v>
      </c>
      <c r="D1017" s="124">
        <v>0.47222222222222227</v>
      </c>
      <c r="E1017" s="339">
        <v>12.3</v>
      </c>
      <c r="F1017" s="339">
        <v>14.2</v>
      </c>
      <c r="G1017" s="339">
        <v>15.7</v>
      </c>
      <c r="H1017" s="103">
        <f t="shared" si="35"/>
        <v>14.066666666666668</v>
      </c>
      <c r="I1017" s="59">
        <v>32</v>
      </c>
      <c r="J1017" t="s">
        <v>38</v>
      </c>
      <c r="K1017" t="s">
        <v>83</v>
      </c>
      <c r="L1017" s="59" t="s">
        <v>99</v>
      </c>
    </row>
    <row r="1018" spans="2:12" x14ac:dyDescent="0.2">
      <c r="B1018" s="335">
        <v>1013</v>
      </c>
      <c r="C1018" s="338">
        <v>42603</v>
      </c>
      <c r="D1018" s="124">
        <v>0.63541666666666663</v>
      </c>
      <c r="E1018" s="339">
        <v>12.4</v>
      </c>
      <c r="F1018" s="339">
        <v>15.3</v>
      </c>
      <c r="G1018" s="339">
        <v>16.899999999999999</v>
      </c>
      <c r="H1018" s="103">
        <f t="shared" si="35"/>
        <v>14.866666666666667</v>
      </c>
      <c r="I1018" s="59">
        <v>39</v>
      </c>
      <c r="J1018" t="s">
        <v>39</v>
      </c>
      <c r="K1018" t="s">
        <v>83</v>
      </c>
      <c r="L1018" s="59" t="s">
        <v>100</v>
      </c>
    </row>
    <row r="1019" spans="2:12" x14ac:dyDescent="0.2">
      <c r="B1019" s="335">
        <v>1014</v>
      </c>
      <c r="C1019" s="338">
        <v>42603</v>
      </c>
      <c r="D1019" s="124">
        <v>0.77777777777777779</v>
      </c>
      <c r="E1019" s="339">
        <v>15.7</v>
      </c>
      <c r="F1019" s="339">
        <v>17.600000000000001</v>
      </c>
      <c r="G1019" s="339">
        <v>19.7</v>
      </c>
      <c r="H1019" s="103">
        <f t="shared" si="35"/>
        <v>17.666666666666668</v>
      </c>
      <c r="I1019" s="59">
        <v>35</v>
      </c>
      <c r="J1019" t="s">
        <v>39</v>
      </c>
      <c r="K1019" t="s">
        <v>86</v>
      </c>
      <c r="L1019" s="59" t="s">
        <v>98</v>
      </c>
    </row>
    <row r="1020" spans="2:12" x14ac:dyDescent="0.2">
      <c r="B1020" s="335">
        <v>1015</v>
      </c>
      <c r="C1020" s="338">
        <v>42604</v>
      </c>
      <c r="D1020" s="124">
        <v>5.2083333333333336E-2</v>
      </c>
      <c r="E1020" s="339">
        <v>19.899999999999999</v>
      </c>
      <c r="F1020" s="339">
        <v>21.4</v>
      </c>
      <c r="G1020" s="339">
        <v>22.6</v>
      </c>
      <c r="H1020" s="103">
        <f t="shared" si="35"/>
        <v>21.3</v>
      </c>
      <c r="I1020" s="59">
        <v>36</v>
      </c>
      <c r="J1020" t="s">
        <v>39</v>
      </c>
      <c r="K1020" t="s">
        <v>90</v>
      </c>
      <c r="L1020" s="59" t="s">
        <v>93</v>
      </c>
    </row>
    <row r="1021" spans="2:12" x14ac:dyDescent="0.2">
      <c r="B1021" s="335">
        <v>1016</v>
      </c>
      <c r="C1021" s="338">
        <v>42604</v>
      </c>
      <c r="D1021" s="124">
        <v>0.19444444444444445</v>
      </c>
      <c r="E1021" s="339">
        <v>17.8</v>
      </c>
      <c r="F1021" s="339">
        <v>19.600000000000001</v>
      </c>
      <c r="G1021" s="339">
        <v>20.3</v>
      </c>
      <c r="H1021" s="103">
        <f t="shared" si="35"/>
        <v>19.233333333333334</v>
      </c>
      <c r="I1021" s="59">
        <v>38</v>
      </c>
      <c r="J1021" t="s">
        <v>39</v>
      </c>
      <c r="K1021" t="s">
        <v>90</v>
      </c>
      <c r="L1021" s="59" t="s">
        <v>93</v>
      </c>
    </row>
    <row r="1022" spans="2:12" x14ac:dyDescent="0.2">
      <c r="B1022" s="335">
        <v>1017</v>
      </c>
      <c r="C1022" s="340">
        <v>42604</v>
      </c>
      <c r="D1022" s="124">
        <v>0.4236111111111111</v>
      </c>
      <c r="E1022" s="341">
        <v>17.7</v>
      </c>
      <c r="F1022" s="341">
        <v>17.899999999999999</v>
      </c>
      <c r="G1022" s="341">
        <v>19.2</v>
      </c>
      <c r="H1022" s="103">
        <f t="shared" si="35"/>
        <v>18.266666666666666</v>
      </c>
      <c r="I1022" s="59">
        <v>34</v>
      </c>
      <c r="J1022" t="s">
        <v>38</v>
      </c>
      <c r="K1022" t="s">
        <v>86</v>
      </c>
      <c r="L1022" s="59" t="s">
        <v>100</v>
      </c>
    </row>
    <row r="1023" spans="2:12" x14ac:dyDescent="0.2">
      <c r="B1023" s="335">
        <v>1018</v>
      </c>
      <c r="C1023" s="340">
        <v>42604</v>
      </c>
      <c r="D1023" s="124">
        <v>0.57222222222222219</v>
      </c>
      <c r="E1023" s="341">
        <v>18.399999999999999</v>
      </c>
      <c r="F1023" s="341">
        <v>19.2</v>
      </c>
      <c r="G1023" s="341">
        <v>22.1</v>
      </c>
      <c r="H1023" s="103">
        <f t="shared" si="35"/>
        <v>19.899999999999999</v>
      </c>
      <c r="I1023" s="59">
        <v>38</v>
      </c>
      <c r="J1023" t="s">
        <v>39</v>
      </c>
      <c r="K1023" t="s">
        <v>83</v>
      </c>
      <c r="L1023" s="59" t="s">
        <v>100</v>
      </c>
    </row>
    <row r="1024" spans="2:12" x14ac:dyDescent="0.2">
      <c r="B1024" s="335">
        <v>1019</v>
      </c>
      <c r="C1024" s="340">
        <v>42604</v>
      </c>
      <c r="D1024" s="124">
        <v>0.71527777777777779</v>
      </c>
      <c r="E1024" s="341">
        <v>14.6</v>
      </c>
      <c r="F1024" s="341">
        <v>17.2</v>
      </c>
      <c r="G1024" s="341">
        <v>19.600000000000001</v>
      </c>
      <c r="H1024" s="103">
        <f t="shared" si="35"/>
        <v>17.133333333333333</v>
      </c>
      <c r="I1024" s="59">
        <v>31</v>
      </c>
      <c r="J1024" t="s">
        <v>39</v>
      </c>
      <c r="K1024" t="s">
        <v>83</v>
      </c>
      <c r="L1024" s="59" t="s">
        <v>93</v>
      </c>
    </row>
    <row r="1025" spans="2:12" x14ac:dyDescent="0.2">
      <c r="B1025" s="335">
        <v>1020</v>
      </c>
      <c r="C1025" s="340">
        <v>42604</v>
      </c>
      <c r="D1025" s="124">
        <v>0.86458333333333337</v>
      </c>
      <c r="E1025" s="341">
        <v>17.399999999999999</v>
      </c>
      <c r="F1025" s="341">
        <v>18.899999999999999</v>
      </c>
      <c r="G1025" s="341">
        <v>20.2</v>
      </c>
      <c r="H1025" s="103">
        <f t="shared" si="35"/>
        <v>18.833333333333332</v>
      </c>
      <c r="I1025" s="59">
        <v>35</v>
      </c>
      <c r="J1025" t="s">
        <v>39</v>
      </c>
      <c r="K1025" t="s">
        <v>86</v>
      </c>
      <c r="L1025" s="59" t="s">
        <v>99</v>
      </c>
    </row>
    <row r="1026" spans="2:12" x14ac:dyDescent="0.2">
      <c r="B1026" s="335">
        <v>1021</v>
      </c>
      <c r="C1026" s="340">
        <v>42605</v>
      </c>
      <c r="D1026" s="124">
        <v>1.7361111111111112E-2</v>
      </c>
      <c r="E1026" s="341">
        <v>18.2</v>
      </c>
      <c r="F1026" s="341">
        <v>21.6</v>
      </c>
      <c r="G1026" s="341">
        <v>23.6</v>
      </c>
      <c r="H1026" s="103">
        <f t="shared" si="35"/>
        <v>21.133333333333333</v>
      </c>
      <c r="I1026" s="59">
        <v>33</v>
      </c>
      <c r="J1026" t="s">
        <v>38</v>
      </c>
      <c r="K1026" t="s">
        <v>90</v>
      </c>
      <c r="L1026" s="59" t="s">
        <v>93</v>
      </c>
    </row>
    <row r="1027" spans="2:12" x14ac:dyDescent="0.2">
      <c r="B1027" s="335">
        <v>1022</v>
      </c>
      <c r="C1027" s="340">
        <v>42605</v>
      </c>
      <c r="D1027" s="124">
        <v>0.17708333333333334</v>
      </c>
      <c r="E1027" s="341">
        <v>19.5</v>
      </c>
      <c r="F1027" s="341">
        <v>21.7</v>
      </c>
      <c r="G1027" s="341">
        <v>24.3</v>
      </c>
      <c r="H1027" s="103">
        <f t="shared" si="35"/>
        <v>21.833333333333332</v>
      </c>
      <c r="I1027" s="59">
        <v>42</v>
      </c>
      <c r="J1027" t="s">
        <v>39</v>
      </c>
      <c r="K1027" t="s">
        <v>85</v>
      </c>
      <c r="L1027" s="59" t="s">
        <v>93</v>
      </c>
    </row>
    <row r="1028" spans="2:12" x14ac:dyDescent="0.2">
      <c r="B1028" s="335">
        <v>1023</v>
      </c>
      <c r="C1028" s="342">
        <v>42605</v>
      </c>
      <c r="D1028" s="124">
        <v>0.46527777777777773</v>
      </c>
      <c r="E1028" s="343">
        <v>18.399999999999999</v>
      </c>
      <c r="F1028" s="343">
        <v>19.600000000000001</v>
      </c>
      <c r="G1028" s="343">
        <v>20.3</v>
      </c>
      <c r="H1028" s="103">
        <f t="shared" si="35"/>
        <v>19.433333333333334</v>
      </c>
      <c r="I1028" s="59">
        <v>32</v>
      </c>
      <c r="J1028" t="s">
        <v>38</v>
      </c>
      <c r="K1028" t="s">
        <v>83</v>
      </c>
      <c r="L1028" s="59" t="s">
        <v>99</v>
      </c>
    </row>
    <row r="1029" spans="2:12" x14ac:dyDescent="0.2">
      <c r="B1029" s="335">
        <v>1024</v>
      </c>
      <c r="C1029" s="342">
        <v>42605</v>
      </c>
      <c r="D1029" s="124">
        <v>0.60972222222222217</v>
      </c>
      <c r="E1029" s="343">
        <v>18.899999999999999</v>
      </c>
      <c r="F1029" s="343">
        <v>20.3</v>
      </c>
      <c r="G1029" s="346">
        <v>21.8</v>
      </c>
      <c r="H1029" s="103">
        <f t="shared" si="35"/>
        <v>20.333333333333332</v>
      </c>
      <c r="I1029" s="59">
        <v>38</v>
      </c>
      <c r="J1029" t="s">
        <v>39</v>
      </c>
      <c r="K1029" t="s">
        <v>83</v>
      </c>
      <c r="L1029" s="59" t="s">
        <v>99</v>
      </c>
    </row>
    <row r="1030" spans="2:12" x14ac:dyDescent="0.2">
      <c r="B1030" s="335">
        <v>1025</v>
      </c>
      <c r="C1030" s="342">
        <v>42605</v>
      </c>
      <c r="D1030" s="124">
        <v>0.75694444444444453</v>
      </c>
      <c r="E1030" s="343">
        <v>18.5</v>
      </c>
      <c r="F1030" s="343">
        <v>19.7</v>
      </c>
      <c r="G1030" s="346">
        <v>21.3</v>
      </c>
      <c r="H1030" s="103">
        <f t="shared" si="35"/>
        <v>19.833333333333332</v>
      </c>
      <c r="I1030" s="59">
        <v>33</v>
      </c>
      <c r="J1030" t="s">
        <v>39</v>
      </c>
      <c r="K1030" t="s">
        <v>86</v>
      </c>
      <c r="L1030" s="59" t="s">
        <v>100</v>
      </c>
    </row>
    <row r="1031" spans="2:12" x14ac:dyDescent="0.2">
      <c r="B1031" s="335">
        <v>1026</v>
      </c>
      <c r="C1031" s="342">
        <v>42605</v>
      </c>
      <c r="D1031" s="124">
        <v>0.90625</v>
      </c>
      <c r="E1031" s="343">
        <v>13.8</v>
      </c>
      <c r="F1031" s="343">
        <v>16</v>
      </c>
      <c r="G1031" s="346">
        <v>23.2</v>
      </c>
      <c r="H1031" s="103">
        <f t="shared" si="35"/>
        <v>17.666666666666668</v>
      </c>
      <c r="I1031" s="59">
        <v>26</v>
      </c>
      <c r="J1031" t="s">
        <v>39</v>
      </c>
      <c r="K1031" t="s">
        <v>62</v>
      </c>
      <c r="L1031" s="59" t="s">
        <v>102</v>
      </c>
    </row>
    <row r="1032" spans="2:12" x14ac:dyDescent="0.2">
      <c r="B1032" s="335">
        <v>1027</v>
      </c>
      <c r="C1032" s="342">
        <v>42606</v>
      </c>
      <c r="D1032" s="124">
        <v>1.7361111111111112E-2</v>
      </c>
      <c r="E1032" s="343">
        <v>17.5</v>
      </c>
      <c r="F1032" s="343">
        <v>20.7</v>
      </c>
      <c r="G1032" s="346">
        <v>23.4</v>
      </c>
      <c r="H1032" s="103">
        <f t="shared" si="35"/>
        <v>20.533333333333335</v>
      </c>
      <c r="I1032" s="59">
        <v>37</v>
      </c>
      <c r="J1032" t="s">
        <v>38</v>
      </c>
      <c r="K1032" t="s">
        <v>90</v>
      </c>
      <c r="L1032" s="59" t="s">
        <v>93</v>
      </c>
    </row>
    <row r="1033" spans="2:12" x14ac:dyDescent="0.2">
      <c r="B1033" s="335">
        <v>1028</v>
      </c>
      <c r="C1033" s="342">
        <v>42606</v>
      </c>
      <c r="D1033" s="124">
        <v>0.17708333333333334</v>
      </c>
      <c r="E1033" s="343">
        <v>16.600000000000001</v>
      </c>
      <c r="F1033" s="343">
        <v>18.899999999999999</v>
      </c>
      <c r="G1033" s="346">
        <v>19.2</v>
      </c>
      <c r="H1033" s="103">
        <f t="shared" si="35"/>
        <v>18.233333333333334</v>
      </c>
      <c r="I1033" s="59">
        <v>48</v>
      </c>
      <c r="J1033" t="s">
        <v>39</v>
      </c>
      <c r="K1033" t="s">
        <v>90</v>
      </c>
      <c r="L1033" s="59" t="s">
        <v>94</v>
      </c>
    </row>
    <row r="1034" spans="2:12" x14ac:dyDescent="0.2">
      <c r="B1034" s="335">
        <v>1029</v>
      </c>
      <c r="C1034" s="344">
        <v>42606</v>
      </c>
      <c r="D1034" s="124">
        <v>0.46875</v>
      </c>
      <c r="E1034" s="345">
        <v>18.3</v>
      </c>
      <c r="F1034" s="345">
        <v>19.399999999999999</v>
      </c>
      <c r="G1034" s="346">
        <v>21.2</v>
      </c>
      <c r="H1034" s="103">
        <f t="shared" si="35"/>
        <v>19.633333333333336</v>
      </c>
      <c r="I1034" s="59">
        <v>35</v>
      </c>
      <c r="J1034" t="s">
        <v>38</v>
      </c>
      <c r="K1034" t="s">
        <v>86</v>
      </c>
      <c r="L1034" s="59" t="s">
        <v>99</v>
      </c>
    </row>
    <row r="1035" spans="2:12" x14ac:dyDescent="0.2">
      <c r="B1035" s="335">
        <v>1030</v>
      </c>
      <c r="C1035" s="344">
        <v>42606</v>
      </c>
      <c r="D1035" s="124">
        <v>0.61111111111111105</v>
      </c>
      <c r="E1035" s="345">
        <v>15.3</v>
      </c>
      <c r="F1035" s="345">
        <v>16.7</v>
      </c>
      <c r="G1035" s="346">
        <v>18.399999999999999</v>
      </c>
      <c r="H1035" s="103">
        <f t="shared" si="35"/>
        <v>16.8</v>
      </c>
      <c r="I1035" s="59">
        <v>37</v>
      </c>
      <c r="J1035" t="s">
        <v>39</v>
      </c>
      <c r="K1035" t="s">
        <v>83</v>
      </c>
      <c r="L1035" s="59" t="s">
        <v>100</v>
      </c>
    </row>
    <row r="1036" spans="2:12" x14ac:dyDescent="0.2">
      <c r="B1036" s="335">
        <v>1031</v>
      </c>
      <c r="C1036" s="344">
        <v>42606</v>
      </c>
      <c r="D1036" s="124">
        <v>0.73958333333333337</v>
      </c>
      <c r="E1036" s="345">
        <v>17.5</v>
      </c>
      <c r="F1036" s="345">
        <v>19.600000000000001</v>
      </c>
      <c r="G1036" s="346">
        <v>21.2</v>
      </c>
      <c r="H1036" s="103">
        <f t="shared" si="35"/>
        <v>19.433333333333334</v>
      </c>
      <c r="I1036" s="59">
        <v>39</v>
      </c>
      <c r="J1036" t="s">
        <v>39</v>
      </c>
      <c r="K1036" t="s">
        <v>85</v>
      </c>
      <c r="L1036" s="59" t="s">
        <v>100</v>
      </c>
    </row>
    <row r="1037" spans="2:12" x14ac:dyDescent="0.2">
      <c r="B1037" s="335">
        <v>1032</v>
      </c>
      <c r="C1037" s="344">
        <v>42606</v>
      </c>
      <c r="D1037" s="124">
        <v>0.9375</v>
      </c>
      <c r="E1037" s="345">
        <v>14.1</v>
      </c>
      <c r="F1037" s="345">
        <v>19.3</v>
      </c>
      <c r="G1037" s="346">
        <v>21.2</v>
      </c>
      <c r="H1037" s="103">
        <f t="shared" si="35"/>
        <v>18.2</v>
      </c>
      <c r="I1037" s="59">
        <v>32</v>
      </c>
      <c r="J1037" t="s">
        <v>39</v>
      </c>
      <c r="K1037" t="s">
        <v>90</v>
      </c>
      <c r="L1037" s="59" t="s">
        <v>102</v>
      </c>
    </row>
    <row r="1038" spans="2:12" x14ac:dyDescent="0.2">
      <c r="B1038" s="335">
        <v>1033</v>
      </c>
      <c r="C1038" s="348">
        <v>42607</v>
      </c>
      <c r="D1038" s="124">
        <v>9.375E-2</v>
      </c>
      <c r="E1038" s="345">
        <v>18.2</v>
      </c>
      <c r="F1038" s="345">
        <v>21.3</v>
      </c>
      <c r="G1038" s="346">
        <v>22.4</v>
      </c>
      <c r="H1038" s="103">
        <f t="shared" si="35"/>
        <v>20.633333333333333</v>
      </c>
      <c r="I1038" s="59">
        <v>38</v>
      </c>
      <c r="J1038" t="s">
        <v>39</v>
      </c>
      <c r="K1038" t="s">
        <v>90</v>
      </c>
      <c r="L1038" s="59" t="s">
        <v>93</v>
      </c>
    </row>
    <row r="1039" spans="2:12" x14ac:dyDescent="0.2">
      <c r="B1039" s="335">
        <v>1034</v>
      </c>
      <c r="C1039" s="348">
        <v>42607</v>
      </c>
      <c r="D1039" s="124">
        <v>0.59722222222222221</v>
      </c>
      <c r="E1039" s="349">
        <v>16.8</v>
      </c>
      <c r="F1039" s="349">
        <v>17.2</v>
      </c>
      <c r="G1039" s="346">
        <v>20.3</v>
      </c>
      <c r="H1039" s="103">
        <f t="shared" si="35"/>
        <v>18.099999999999998</v>
      </c>
      <c r="I1039" s="59">
        <v>47</v>
      </c>
      <c r="J1039" t="s">
        <v>38</v>
      </c>
      <c r="K1039" t="s">
        <v>83</v>
      </c>
      <c r="L1039" s="59" t="s">
        <v>99</v>
      </c>
    </row>
    <row r="1040" spans="2:12" x14ac:dyDescent="0.2">
      <c r="B1040" s="335">
        <v>1035</v>
      </c>
      <c r="C1040" s="348">
        <v>42607</v>
      </c>
      <c r="D1040" s="124">
        <v>0.78125</v>
      </c>
      <c r="E1040" s="349">
        <v>16.8</v>
      </c>
      <c r="F1040" s="349">
        <v>18.2</v>
      </c>
      <c r="G1040" s="346">
        <v>20.9</v>
      </c>
      <c r="H1040" s="103">
        <f t="shared" si="35"/>
        <v>18.633333333333333</v>
      </c>
      <c r="I1040" s="59">
        <v>40</v>
      </c>
      <c r="J1040" t="s">
        <v>39</v>
      </c>
      <c r="K1040" t="s">
        <v>86</v>
      </c>
      <c r="L1040" s="59" t="s">
        <v>94</v>
      </c>
    </row>
    <row r="1041" spans="2:12" x14ac:dyDescent="0.2">
      <c r="B1041" s="335">
        <v>1036</v>
      </c>
      <c r="C1041" s="348">
        <v>42607</v>
      </c>
      <c r="D1041" s="124">
        <v>0.9375</v>
      </c>
      <c r="E1041" s="349">
        <v>14.6</v>
      </c>
      <c r="F1041" s="349">
        <v>16.5</v>
      </c>
      <c r="G1041" s="346">
        <v>17.7</v>
      </c>
      <c r="H1041" s="103">
        <f t="shared" si="35"/>
        <v>16.266666666666666</v>
      </c>
      <c r="I1041" s="59">
        <v>29</v>
      </c>
      <c r="J1041" t="s">
        <v>38</v>
      </c>
      <c r="K1041" t="s">
        <v>85</v>
      </c>
      <c r="L1041" s="59" t="s">
        <v>102</v>
      </c>
    </row>
    <row r="1042" spans="2:12" x14ac:dyDescent="0.2">
      <c r="B1042" s="335">
        <v>1037</v>
      </c>
      <c r="C1042" s="348">
        <v>42608</v>
      </c>
      <c r="D1042" s="124">
        <v>9.375E-2</v>
      </c>
      <c r="E1042" s="349">
        <v>16.8</v>
      </c>
      <c r="F1042" s="349">
        <v>19.100000000000001</v>
      </c>
      <c r="G1042" s="346">
        <v>24.5</v>
      </c>
      <c r="H1042" s="103">
        <f t="shared" si="35"/>
        <v>20.133333333333336</v>
      </c>
      <c r="I1042" s="59">
        <v>28</v>
      </c>
      <c r="J1042" t="s">
        <v>39</v>
      </c>
      <c r="K1042" t="s">
        <v>85</v>
      </c>
      <c r="L1042" s="59" t="s">
        <v>102</v>
      </c>
    </row>
    <row r="1043" spans="2:12" x14ac:dyDescent="0.2">
      <c r="B1043" s="347">
        <v>1038</v>
      </c>
      <c r="C1043" s="348">
        <v>42608</v>
      </c>
      <c r="D1043" s="124">
        <v>0.54861111111111105</v>
      </c>
      <c r="E1043" s="349">
        <v>19</v>
      </c>
      <c r="F1043" s="349">
        <v>19.5</v>
      </c>
      <c r="G1043" s="346">
        <v>20</v>
      </c>
      <c r="H1043" s="103">
        <f t="shared" si="35"/>
        <v>19.5</v>
      </c>
      <c r="I1043" s="59">
        <v>39</v>
      </c>
      <c r="J1043" t="s">
        <v>38</v>
      </c>
      <c r="K1043" t="s">
        <v>83</v>
      </c>
      <c r="L1043" s="59" t="s">
        <v>98</v>
      </c>
    </row>
    <row r="1044" spans="2:12" x14ac:dyDescent="0.2">
      <c r="B1044" s="347">
        <v>1039</v>
      </c>
      <c r="C1044" s="348">
        <v>42608</v>
      </c>
      <c r="D1044" s="124">
        <v>0.71527777777777779</v>
      </c>
      <c r="E1044" s="349">
        <v>17.5</v>
      </c>
      <c r="F1044" s="349">
        <v>20.6</v>
      </c>
      <c r="G1044" s="346">
        <v>22.4</v>
      </c>
      <c r="H1044" s="103">
        <f t="shared" si="35"/>
        <v>20.166666666666668</v>
      </c>
      <c r="I1044" s="59">
        <v>35</v>
      </c>
      <c r="J1044" t="s">
        <v>39</v>
      </c>
      <c r="K1044" t="s">
        <v>83</v>
      </c>
      <c r="L1044" s="59" t="s">
        <v>100</v>
      </c>
    </row>
    <row r="1045" spans="2:12" x14ac:dyDescent="0.2">
      <c r="B1045" s="347">
        <v>1040</v>
      </c>
      <c r="C1045" s="348">
        <v>42608</v>
      </c>
      <c r="D1045" s="124">
        <v>0.88541666666666663</v>
      </c>
      <c r="E1045" s="349">
        <v>13.7</v>
      </c>
      <c r="F1045" s="349">
        <v>15.5</v>
      </c>
      <c r="G1045" s="346">
        <v>18.3</v>
      </c>
      <c r="H1045" s="103">
        <f t="shared" si="35"/>
        <v>15.833333333333334</v>
      </c>
      <c r="I1045" s="59">
        <v>38</v>
      </c>
      <c r="J1045" t="s">
        <v>38</v>
      </c>
      <c r="K1045" t="s">
        <v>90</v>
      </c>
      <c r="L1045" s="59" t="s">
        <v>102</v>
      </c>
    </row>
    <row r="1046" spans="2:12" x14ac:dyDescent="0.2">
      <c r="B1046" s="347">
        <v>1041</v>
      </c>
      <c r="C1046" s="348">
        <v>42609</v>
      </c>
      <c r="D1046" s="124">
        <v>4.8611111111111112E-2</v>
      </c>
      <c r="E1046" s="349">
        <v>13.4</v>
      </c>
      <c r="F1046" s="349">
        <v>15.6</v>
      </c>
      <c r="G1046" s="346">
        <v>17.399999999999999</v>
      </c>
      <c r="H1046" s="103">
        <f t="shared" si="35"/>
        <v>15.466666666666667</v>
      </c>
      <c r="I1046" s="59">
        <v>41</v>
      </c>
      <c r="J1046" t="s">
        <v>39</v>
      </c>
      <c r="K1046" t="s">
        <v>85</v>
      </c>
      <c r="L1046" s="59" t="s">
        <v>100</v>
      </c>
    </row>
    <row r="1047" spans="2:12" x14ac:dyDescent="0.2">
      <c r="B1047" s="347">
        <v>1042</v>
      </c>
      <c r="C1047" s="348">
        <v>42609</v>
      </c>
      <c r="D1047" s="124">
        <v>0.19791666666666666</v>
      </c>
      <c r="E1047" s="349">
        <v>14.3</v>
      </c>
      <c r="F1047" s="349">
        <v>15.7</v>
      </c>
      <c r="G1047" s="346">
        <v>18.600000000000001</v>
      </c>
      <c r="H1047" s="103">
        <f t="shared" si="35"/>
        <v>16.2</v>
      </c>
      <c r="I1047" s="59">
        <v>36</v>
      </c>
      <c r="J1047" t="s">
        <v>39</v>
      </c>
      <c r="K1047" t="s">
        <v>90</v>
      </c>
      <c r="L1047" s="59" t="s">
        <v>98</v>
      </c>
    </row>
    <row r="1048" spans="2:12" x14ac:dyDescent="0.2">
      <c r="B1048" s="347">
        <v>1043</v>
      </c>
      <c r="C1048" s="350">
        <v>42609</v>
      </c>
      <c r="D1048" s="124">
        <v>0.59027777777777779</v>
      </c>
      <c r="E1048" s="351">
        <v>11.8</v>
      </c>
      <c r="F1048" s="351">
        <v>13.5</v>
      </c>
      <c r="G1048" s="346">
        <v>15</v>
      </c>
      <c r="H1048" s="103">
        <f t="shared" si="35"/>
        <v>13.433333333333332</v>
      </c>
      <c r="I1048" s="59">
        <v>52</v>
      </c>
      <c r="J1048" t="s">
        <v>38</v>
      </c>
      <c r="K1048" t="s">
        <v>83</v>
      </c>
      <c r="L1048" s="59" t="s">
        <v>102</v>
      </c>
    </row>
    <row r="1049" spans="2:12" x14ac:dyDescent="0.2">
      <c r="B1049" s="347">
        <v>1044</v>
      </c>
      <c r="C1049" s="350">
        <v>42609</v>
      </c>
      <c r="D1049" s="124">
        <v>0.72222222222222221</v>
      </c>
      <c r="E1049" s="351">
        <v>14.3</v>
      </c>
      <c r="F1049" s="351">
        <v>17.3</v>
      </c>
      <c r="G1049" s="346">
        <v>18.5</v>
      </c>
      <c r="H1049" s="103">
        <f t="shared" si="35"/>
        <v>16.7</v>
      </c>
      <c r="I1049" s="59">
        <v>45</v>
      </c>
      <c r="J1049" t="s">
        <v>39</v>
      </c>
      <c r="K1049" t="s">
        <v>86</v>
      </c>
      <c r="L1049" s="59" t="s">
        <v>99</v>
      </c>
    </row>
    <row r="1050" spans="2:12" x14ac:dyDescent="0.2">
      <c r="B1050" s="347">
        <v>1045</v>
      </c>
      <c r="C1050" s="350">
        <v>42609</v>
      </c>
      <c r="D1050" s="124">
        <v>0.93055555555555547</v>
      </c>
      <c r="E1050" s="351">
        <v>15.2</v>
      </c>
      <c r="F1050" s="351">
        <v>18.399999999999999</v>
      </c>
      <c r="G1050" s="346">
        <v>19.8</v>
      </c>
      <c r="H1050" s="103">
        <f t="shared" si="35"/>
        <v>17.799999999999997</v>
      </c>
      <c r="I1050" s="59">
        <v>37</v>
      </c>
      <c r="J1050" t="s">
        <v>39</v>
      </c>
      <c r="K1050" t="s">
        <v>83</v>
      </c>
      <c r="L1050" s="59" t="s">
        <v>102</v>
      </c>
    </row>
    <row r="1051" spans="2:12" x14ac:dyDescent="0.2">
      <c r="B1051" s="347">
        <v>1046</v>
      </c>
      <c r="C1051" s="350">
        <v>42610</v>
      </c>
      <c r="D1051" s="124">
        <v>3.8194444444444441E-2</v>
      </c>
      <c r="E1051" s="351">
        <v>13.4</v>
      </c>
      <c r="F1051" s="351">
        <v>15.3</v>
      </c>
      <c r="G1051" s="346">
        <v>17.899999999999999</v>
      </c>
      <c r="H1051" s="103">
        <f t="shared" si="35"/>
        <v>15.533333333333333</v>
      </c>
      <c r="I1051" s="59">
        <v>35</v>
      </c>
      <c r="J1051" t="s">
        <v>38</v>
      </c>
      <c r="K1051" t="s">
        <v>90</v>
      </c>
      <c r="L1051" s="59" t="s">
        <v>93</v>
      </c>
    </row>
    <row r="1052" spans="2:12" x14ac:dyDescent="0.2">
      <c r="B1052" s="347">
        <v>1047</v>
      </c>
      <c r="C1052" s="350">
        <v>42610</v>
      </c>
      <c r="D1052" s="124">
        <v>0.17361111111111113</v>
      </c>
      <c r="E1052" s="351">
        <v>13.4</v>
      </c>
      <c r="F1052" s="351">
        <v>14.9</v>
      </c>
      <c r="G1052" s="346">
        <v>17.3</v>
      </c>
      <c r="H1052" s="103">
        <f t="shared" si="35"/>
        <v>15.200000000000001</v>
      </c>
      <c r="I1052" s="59">
        <v>45</v>
      </c>
      <c r="J1052" t="s">
        <v>39</v>
      </c>
      <c r="K1052" t="s">
        <v>90</v>
      </c>
      <c r="L1052" s="59" t="s">
        <v>98</v>
      </c>
    </row>
    <row r="1053" spans="2:12" x14ac:dyDescent="0.2">
      <c r="B1053" s="347">
        <v>1048</v>
      </c>
      <c r="C1053" s="354">
        <v>42610</v>
      </c>
      <c r="D1053" s="124">
        <v>0.59375</v>
      </c>
      <c r="E1053" s="355">
        <v>16.3</v>
      </c>
      <c r="F1053" s="355">
        <v>17.8</v>
      </c>
      <c r="G1053" s="346">
        <v>21.5</v>
      </c>
      <c r="H1053" s="103">
        <f t="shared" ref="H1053:H1117" si="36">AVERAGE(E1053:G1053)</f>
        <v>18.533333333333335</v>
      </c>
      <c r="I1053" s="59">
        <v>38</v>
      </c>
      <c r="J1053" t="s">
        <v>38</v>
      </c>
      <c r="K1053" t="s">
        <v>83</v>
      </c>
      <c r="L1053" s="59" t="s">
        <v>102</v>
      </c>
    </row>
    <row r="1054" spans="2:12" x14ac:dyDescent="0.2">
      <c r="B1054" s="347">
        <v>1049</v>
      </c>
      <c r="C1054" s="354">
        <v>42610</v>
      </c>
      <c r="D1054" s="124">
        <v>0.72222222222222221</v>
      </c>
      <c r="E1054" s="355">
        <v>14.2</v>
      </c>
      <c r="F1054" s="355">
        <v>15.8</v>
      </c>
      <c r="G1054" s="346">
        <v>20.2</v>
      </c>
      <c r="H1054" s="103">
        <f t="shared" si="36"/>
        <v>16.733333333333334</v>
      </c>
      <c r="I1054" s="59">
        <v>45</v>
      </c>
      <c r="J1054" t="s">
        <v>38</v>
      </c>
      <c r="K1054" t="s">
        <v>86</v>
      </c>
      <c r="L1054" s="59" t="s">
        <v>99</v>
      </c>
    </row>
    <row r="1055" spans="2:12" x14ac:dyDescent="0.2">
      <c r="B1055" s="347">
        <v>1050</v>
      </c>
      <c r="C1055" s="354">
        <v>42610</v>
      </c>
      <c r="D1055" s="124">
        <v>0.88888888888888884</v>
      </c>
      <c r="E1055" s="355">
        <v>18.899999999999999</v>
      </c>
      <c r="F1055" s="355">
        <v>19</v>
      </c>
      <c r="G1055" s="346">
        <v>21.4</v>
      </c>
      <c r="H1055" s="103">
        <f t="shared" si="36"/>
        <v>19.766666666666666</v>
      </c>
      <c r="I1055" s="59">
        <v>43</v>
      </c>
      <c r="J1055" t="s">
        <v>39</v>
      </c>
      <c r="K1055" t="s">
        <v>83</v>
      </c>
      <c r="L1055" s="59" t="s">
        <v>102</v>
      </c>
    </row>
    <row r="1056" spans="2:12" x14ac:dyDescent="0.2">
      <c r="B1056" s="347">
        <v>1051</v>
      </c>
      <c r="C1056" s="354">
        <v>42611</v>
      </c>
      <c r="D1056" s="124">
        <v>3.4722222222222224E-2</v>
      </c>
      <c r="E1056" s="355">
        <v>11.6</v>
      </c>
      <c r="F1056" s="355">
        <v>15.4</v>
      </c>
      <c r="G1056" s="346">
        <v>16.600000000000001</v>
      </c>
      <c r="H1056" s="103">
        <f t="shared" si="36"/>
        <v>14.533333333333333</v>
      </c>
      <c r="I1056" s="59">
        <v>43</v>
      </c>
      <c r="J1056" t="s">
        <v>38</v>
      </c>
      <c r="K1056" t="s">
        <v>90</v>
      </c>
      <c r="L1056" s="59" t="s">
        <v>93</v>
      </c>
    </row>
    <row r="1057" spans="2:12" x14ac:dyDescent="0.2">
      <c r="B1057" s="347">
        <v>1052</v>
      </c>
      <c r="C1057" s="354">
        <v>42611</v>
      </c>
      <c r="D1057" s="124">
        <v>0.17361111111111113</v>
      </c>
      <c r="E1057" s="355">
        <v>13.5</v>
      </c>
      <c r="F1057" s="355">
        <v>14.7</v>
      </c>
      <c r="G1057" s="346">
        <v>16.5</v>
      </c>
      <c r="H1057" s="103">
        <f t="shared" si="36"/>
        <v>14.9</v>
      </c>
      <c r="I1057" s="59">
        <v>40</v>
      </c>
      <c r="J1057" t="s">
        <v>39</v>
      </c>
      <c r="K1057" t="s">
        <v>83</v>
      </c>
      <c r="L1057" s="59" t="s">
        <v>99</v>
      </c>
    </row>
    <row r="1058" spans="2:12" x14ac:dyDescent="0.2">
      <c r="B1058" s="347">
        <v>1053</v>
      </c>
      <c r="C1058" s="356">
        <v>42611</v>
      </c>
      <c r="D1058" s="124">
        <v>0.50694444444444442</v>
      </c>
      <c r="E1058" s="355">
        <v>18.600000000000001</v>
      </c>
      <c r="F1058" s="355">
        <v>19.8</v>
      </c>
      <c r="G1058" s="346">
        <v>20.2</v>
      </c>
      <c r="H1058" s="103">
        <f t="shared" si="36"/>
        <v>19.533333333333335</v>
      </c>
      <c r="I1058" s="346">
        <v>36</v>
      </c>
      <c r="J1058" t="s">
        <v>38</v>
      </c>
      <c r="K1058" t="s">
        <v>83</v>
      </c>
      <c r="L1058" s="59" t="s">
        <v>94</v>
      </c>
    </row>
    <row r="1059" spans="2:12" x14ac:dyDescent="0.2">
      <c r="B1059" s="347">
        <v>1054</v>
      </c>
      <c r="C1059" s="356">
        <v>42611</v>
      </c>
      <c r="D1059" s="124">
        <v>0.71527777777777779</v>
      </c>
      <c r="E1059" s="357">
        <v>16.3</v>
      </c>
      <c r="F1059" s="357">
        <v>17.399999999999999</v>
      </c>
      <c r="G1059" s="346">
        <v>19.8</v>
      </c>
      <c r="H1059" s="361">
        <f t="shared" si="36"/>
        <v>17.833333333333332</v>
      </c>
      <c r="I1059" s="346">
        <v>35</v>
      </c>
      <c r="J1059" t="s">
        <v>39</v>
      </c>
      <c r="K1059" t="s">
        <v>86</v>
      </c>
      <c r="L1059" s="59" t="s">
        <v>99</v>
      </c>
    </row>
    <row r="1060" spans="2:12" x14ac:dyDescent="0.2">
      <c r="B1060" s="347">
        <v>1055</v>
      </c>
      <c r="C1060" s="356">
        <v>42611</v>
      </c>
      <c r="D1060" s="124">
        <v>0.86111111111111116</v>
      </c>
      <c r="E1060" s="357">
        <v>14.2</v>
      </c>
      <c r="F1060" s="357">
        <v>19</v>
      </c>
      <c r="G1060" s="346">
        <v>19.5</v>
      </c>
      <c r="H1060" s="361">
        <f t="shared" si="36"/>
        <v>17.566666666666666</v>
      </c>
      <c r="I1060" s="346">
        <v>46</v>
      </c>
      <c r="J1060" t="s">
        <v>39</v>
      </c>
      <c r="K1060" t="s">
        <v>83</v>
      </c>
      <c r="L1060" s="59" t="s">
        <v>99</v>
      </c>
    </row>
    <row r="1061" spans="2:12" x14ac:dyDescent="0.2">
      <c r="B1061" s="347">
        <v>1056</v>
      </c>
      <c r="C1061" s="356">
        <v>42612</v>
      </c>
      <c r="D1061" s="124">
        <v>3.4722222222222224E-2</v>
      </c>
      <c r="E1061" s="357">
        <v>13.4</v>
      </c>
      <c r="F1061" s="357">
        <v>14.1</v>
      </c>
      <c r="G1061" s="346">
        <v>16.100000000000001</v>
      </c>
      <c r="H1061" s="361">
        <f t="shared" si="36"/>
        <v>14.533333333333333</v>
      </c>
      <c r="I1061" s="346">
        <v>38</v>
      </c>
      <c r="J1061" t="s">
        <v>38</v>
      </c>
      <c r="K1061" t="s">
        <v>85</v>
      </c>
      <c r="L1061" s="59" t="s">
        <v>99</v>
      </c>
    </row>
    <row r="1062" spans="2:12" x14ac:dyDescent="0.2">
      <c r="B1062" s="347">
        <v>1057</v>
      </c>
      <c r="C1062" s="356">
        <v>42612</v>
      </c>
      <c r="D1062" s="124">
        <v>0.22916666666666666</v>
      </c>
      <c r="E1062" s="357">
        <v>13.4</v>
      </c>
      <c r="F1062" s="357">
        <v>15.2</v>
      </c>
      <c r="G1062" s="346">
        <v>16.399999999999999</v>
      </c>
      <c r="H1062" s="361">
        <f t="shared" si="36"/>
        <v>15</v>
      </c>
      <c r="I1062" s="346">
        <v>35</v>
      </c>
      <c r="J1062" t="s">
        <v>39</v>
      </c>
      <c r="K1062" t="s">
        <v>90</v>
      </c>
      <c r="L1062" s="59" t="s">
        <v>99</v>
      </c>
    </row>
    <row r="1063" spans="2:12" x14ac:dyDescent="0.2">
      <c r="B1063" s="347">
        <v>1058</v>
      </c>
      <c r="C1063" s="356">
        <v>42612</v>
      </c>
      <c r="D1063" s="124">
        <v>0.46527777777777773</v>
      </c>
      <c r="E1063" s="357">
        <v>15.8</v>
      </c>
      <c r="F1063" s="357">
        <v>16.2</v>
      </c>
      <c r="G1063" s="346">
        <v>16.899999999999999</v>
      </c>
      <c r="H1063" s="361">
        <f t="shared" si="36"/>
        <v>16.3</v>
      </c>
      <c r="I1063" s="346">
        <v>36</v>
      </c>
      <c r="J1063" t="s">
        <v>38</v>
      </c>
      <c r="K1063" t="s">
        <v>83</v>
      </c>
      <c r="L1063" s="59" t="s">
        <v>94</v>
      </c>
    </row>
    <row r="1064" spans="2:12" x14ac:dyDescent="0.2">
      <c r="B1064" s="347">
        <v>1059</v>
      </c>
      <c r="C1064" s="356">
        <v>42612</v>
      </c>
      <c r="D1064" s="124">
        <v>0.67361111111111116</v>
      </c>
      <c r="E1064" s="357">
        <v>17.8</v>
      </c>
      <c r="F1064" s="357">
        <v>18</v>
      </c>
      <c r="G1064" s="346">
        <v>17.8</v>
      </c>
      <c r="H1064" s="361">
        <f t="shared" si="36"/>
        <v>17.866666666666664</v>
      </c>
      <c r="I1064" s="346">
        <v>38</v>
      </c>
      <c r="J1064" t="s">
        <v>39</v>
      </c>
      <c r="K1064" t="s">
        <v>83</v>
      </c>
      <c r="L1064" s="59" t="s">
        <v>102</v>
      </c>
    </row>
    <row r="1065" spans="2:12" x14ac:dyDescent="0.2">
      <c r="B1065" s="347">
        <v>1060</v>
      </c>
      <c r="C1065" s="356">
        <v>42613</v>
      </c>
      <c r="D1065" s="124">
        <v>7.6388888888888895E-2</v>
      </c>
      <c r="E1065" s="357">
        <v>18.7</v>
      </c>
      <c r="F1065" s="357">
        <v>19.100000000000001</v>
      </c>
      <c r="G1065" s="346">
        <v>23.6</v>
      </c>
      <c r="H1065" s="361">
        <f t="shared" si="36"/>
        <v>20.466666666666665</v>
      </c>
      <c r="I1065" s="346">
        <v>42</v>
      </c>
      <c r="J1065" t="s">
        <v>39</v>
      </c>
      <c r="K1065" t="s">
        <v>85</v>
      </c>
      <c r="L1065" s="59" t="s">
        <v>99</v>
      </c>
    </row>
    <row r="1066" spans="2:12" x14ac:dyDescent="0.2">
      <c r="B1066" s="347">
        <v>1061</v>
      </c>
      <c r="C1066" s="356">
        <v>42613</v>
      </c>
      <c r="D1066" s="124">
        <v>0.22916666666666666</v>
      </c>
      <c r="E1066" s="357">
        <v>14.3</v>
      </c>
      <c r="F1066" s="357">
        <v>15.6</v>
      </c>
      <c r="G1066" s="346">
        <v>17.7</v>
      </c>
      <c r="H1066" s="361">
        <f t="shared" si="36"/>
        <v>15.866666666666665</v>
      </c>
      <c r="I1066" s="346">
        <v>36</v>
      </c>
      <c r="J1066" t="s">
        <v>38</v>
      </c>
      <c r="K1066" t="s">
        <v>90</v>
      </c>
      <c r="L1066" s="59" t="s">
        <v>99</v>
      </c>
    </row>
    <row r="1067" spans="2:12" x14ac:dyDescent="0.2">
      <c r="B1067" s="347">
        <v>1062</v>
      </c>
      <c r="C1067" s="358">
        <v>42613</v>
      </c>
      <c r="D1067" s="124">
        <v>0.51041666666666663</v>
      </c>
      <c r="E1067" s="359">
        <v>11.6</v>
      </c>
      <c r="F1067" s="359">
        <v>14.5</v>
      </c>
      <c r="G1067" s="346">
        <v>16.2</v>
      </c>
      <c r="H1067" s="361">
        <f t="shared" si="36"/>
        <v>14.1</v>
      </c>
      <c r="I1067" s="346">
        <v>37.6</v>
      </c>
      <c r="J1067" t="s">
        <v>38</v>
      </c>
      <c r="K1067" t="s">
        <v>83</v>
      </c>
      <c r="L1067" s="59" t="s">
        <v>99</v>
      </c>
    </row>
    <row r="1068" spans="2:12" x14ac:dyDescent="0.2">
      <c r="B1068" s="347">
        <v>1063</v>
      </c>
      <c r="C1068" s="358">
        <v>42613</v>
      </c>
      <c r="D1068" s="124">
        <v>0.67361111111111116</v>
      </c>
      <c r="E1068" s="359">
        <v>17.2</v>
      </c>
      <c r="F1068" s="359">
        <v>18</v>
      </c>
      <c r="G1068" s="346">
        <v>18.3</v>
      </c>
      <c r="H1068" s="361">
        <f t="shared" si="36"/>
        <v>17.833333333333332</v>
      </c>
      <c r="I1068" s="346">
        <v>38</v>
      </c>
      <c r="J1068" t="s">
        <v>39</v>
      </c>
      <c r="K1068" t="s">
        <v>83</v>
      </c>
      <c r="L1068" s="59" t="s">
        <v>138</v>
      </c>
    </row>
    <row r="1069" spans="2:12" x14ac:dyDescent="0.2">
      <c r="B1069" s="347">
        <v>1064</v>
      </c>
      <c r="C1069" s="358">
        <v>42613</v>
      </c>
      <c r="D1069" s="124">
        <v>0.82638888888888884</v>
      </c>
      <c r="E1069" s="359">
        <v>15.4</v>
      </c>
      <c r="F1069" s="359">
        <v>17.2</v>
      </c>
      <c r="G1069" s="346">
        <v>21.2</v>
      </c>
      <c r="H1069" s="361">
        <f t="shared" si="36"/>
        <v>17.933333333333334</v>
      </c>
      <c r="I1069" s="346">
        <v>32</v>
      </c>
      <c r="J1069" t="s">
        <v>38</v>
      </c>
      <c r="K1069" t="s">
        <v>85</v>
      </c>
      <c r="L1069" s="59" t="s">
        <v>99</v>
      </c>
    </row>
    <row r="1070" spans="2:12" x14ac:dyDescent="0.2">
      <c r="B1070" s="347">
        <v>1065</v>
      </c>
      <c r="C1070" s="358">
        <v>42614</v>
      </c>
      <c r="D1070" s="124">
        <v>9.0277777777777776E-2</v>
      </c>
      <c r="E1070" s="359">
        <v>14.4</v>
      </c>
      <c r="F1070" s="359">
        <v>16.600000000000001</v>
      </c>
      <c r="G1070" s="346">
        <v>17.399999999999999</v>
      </c>
      <c r="H1070" s="361">
        <f t="shared" si="36"/>
        <v>16.133333333333333</v>
      </c>
      <c r="I1070" s="346">
        <v>38</v>
      </c>
      <c r="J1070" t="s">
        <v>39</v>
      </c>
      <c r="K1070" t="s">
        <v>90</v>
      </c>
      <c r="L1070" s="59" t="s">
        <v>99</v>
      </c>
    </row>
    <row r="1071" spans="2:12" x14ac:dyDescent="0.2">
      <c r="B1071" s="347">
        <v>1066</v>
      </c>
      <c r="C1071" s="358">
        <v>42614</v>
      </c>
      <c r="D1071" s="124">
        <v>0.23611111111111113</v>
      </c>
      <c r="E1071" s="359">
        <v>11.8</v>
      </c>
      <c r="F1071" s="359">
        <v>12.6</v>
      </c>
      <c r="G1071" s="346">
        <v>17.3</v>
      </c>
      <c r="H1071" s="361">
        <f t="shared" si="36"/>
        <v>13.9</v>
      </c>
      <c r="I1071" s="346">
        <v>39</v>
      </c>
      <c r="J1071" t="s">
        <v>39</v>
      </c>
      <c r="K1071" t="s">
        <v>90</v>
      </c>
      <c r="L1071" s="59" t="s">
        <v>94</v>
      </c>
    </row>
    <row r="1072" spans="2:12" x14ac:dyDescent="0.2">
      <c r="B1072" s="347">
        <v>1067</v>
      </c>
      <c r="C1072" s="362">
        <v>42614</v>
      </c>
      <c r="D1072" s="124">
        <v>0.50694444444444442</v>
      </c>
      <c r="E1072" s="363">
        <v>19.7</v>
      </c>
      <c r="F1072" s="363">
        <v>20.6</v>
      </c>
      <c r="G1072" s="346">
        <v>21.1</v>
      </c>
      <c r="H1072" s="361">
        <f t="shared" si="36"/>
        <v>20.466666666666665</v>
      </c>
      <c r="I1072" s="346">
        <v>35</v>
      </c>
      <c r="J1072" t="s">
        <v>38</v>
      </c>
      <c r="K1072" t="s">
        <v>83</v>
      </c>
      <c r="L1072" s="59" t="s">
        <v>139</v>
      </c>
    </row>
    <row r="1073" spans="2:12" x14ac:dyDescent="0.2">
      <c r="B1073" s="347">
        <v>1068</v>
      </c>
      <c r="C1073" s="362">
        <v>42614</v>
      </c>
      <c r="D1073" s="124">
        <v>0.67361111111111116</v>
      </c>
      <c r="E1073" s="363">
        <v>18.399999999999999</v>
      </c>
      <c r="F1073" s="363">
        <v>22.6</v>
      </c>
      <c r="G1073" s="346">
        <v>23.7</v>
      </c>
      <c r="H1073" s="361">
        <f t="shared" si="36"/>
        <v>21.566666666666666</v>
      </c>
      <c r="I1073" s="346">
        <v>38</v>
      </c>
      <c r="J1073" t="s">
        <v>39</v>
      </c>
      <c r="K1073" t="s">
        <v>83</v>
      </c>
      <c r="L1073" s="59" t="s">
        <v>99</v>
      </c>
    </row>
    <row r="1074" spans="2:12" x14ac:dyDescent="0.2">
      <c r="B1074" s="347">
        <v>1069</v>
      </c>
      <c r="C1074" s="362">
        <v>42614</v>
      </c>
      <c r="D1074" s="124">
        <v>0.90277777777777779</v>
      </c>
      <c r="E1074" s="363">
        <v>19.8</v>
      </c>
      <c r="F1074" s="363">
        <v>20.3</v>
      </c>
      <c r="G1074" s="346">
        <v>23.1</v>
      </c>
      <c r="H1074" s="361">
        <f t="shared" si="36"/>
        <v>21.066666666666666</v>
      </c>
      <c r="I1074" s="346">
        <v>31</v>
      </c>
      <c r="J1074" t="s">
        <v>38</v>
      </c>
      <c r="K1074" t="s">
        <v>85</v>
      </c>
      <c r="L1074" s="59" t="s">
        <v>99</v>
      </c>
    </row>
    <row r="1075" spans="2:12" x14ac:dyDescent="0.2">
      <c r="B1075" s="347">
        <v>1070</v>
      </c>
      <c r="C1075" s="362">
        <v>42615</v>
      </c>
      <c r="D1075" s="124">
        <v>9.0277777777777776E-2</v>
      </c>
      <c r="E1075" s="363">
        <v>17.899999999999999</v>
      </c>
      <c r="F1075" s="363">
        <v>19.399999999999999</v>
      </c>
      <c r="G1075" s="346">
        <v>22.1</v>
      </c>
      <c r="H1075" s="361">
        <f t="shared" si="36"/>
        <v>19.8</v>
      </c>
      <c r="I1075" s="346">
        <v>34</v>
      </c>
      <c r="J1075" t="s">
        <v>39</v>
      </c>
      <c r="K1075" t="s">
        <v>90</v>
      </c>
      <c r="L1075" s="59" t="s">
        <v>99</v>
      </c>
    </row>
    <row r="1076" spans="2:12" x14ac:dyDescent="0.2">
      <c r="B1076" s="347">
        <v>1071</v>
      </c>
      <c r="C1076" s="366">
        <v>42615</v>
      </c>
      <c r="D1076" s="124">
        <v>0.50694444444444442</v>
      </c>
      <c r="E1076" s="367">
        <v>17.2</v>
      </c>
      <c r="F1076" s="367">
        <v>18.7</v>
      </c>
      <c r="G1076" s="346">
        <v>19.399999999999999</v>
      </c>
      <c r="H1076" s="361">
        <f t="shared" si="36"/>
        <v>18.433333333333334</v>
      </c>
      <c r="I1076" s="346">
        <v>44</v>
      </c>
      <c r="J1076" t="s">
        <v>38</v>
      </c>
      <c r="K1076" t="s">
        <v>86</v>
      </c>
      <c r="L1076" s="59" t="s">
        <v>140</v>
      </c>
    </row>
    <row r="1077" spans="2:12" x14ac:dyDescent="0.2">
      <c r="B1077" s="347">
        <v>1072</v>
      </c>
      <c r="C1077" s="366">
        <v>42615</v>
      </c>
      <c r="D1077" s="124">
        <v>0.67361111111111116</v>
      </c>
      <c r="E1077" s="367">
        <v>18.899999999999999</v>
      </c>
      <c r="F1077" s="367">
        <v>19.7</v>
      </c>
      <c r="G1077" s="346">
        <v>21.1</v>
      </c>
      <c r="H1077" s="361">
        <f t="shared" si="36"/>
        <v>19.899999999999999</v>
      </c>
      <c r="I1077" s="346">
        <v>40</v>
      </c>
      <c r="J1077" t="s">
        <v>39</v>
      </c>
      <c r="K1077" t="s">
        <v>86</v>
      </c>
      <c r="L1077" s="59" t="s">
        <v>141</v>
      </c>
    </row>
    <row r="1078" spans="2:12" x14ac:dyDescent="0.2">
      <c r="B1078" s="347">
        <v>1073</v>
      </c>
      <c r="C1078" s="366">
        <v>42615</v>
      </c>
      <c r="D1078" s="124">
        <v>0.84722222222222221</v>
      </c>
      <c r="E1078" s="367">
        <v>12.4</v>
      </c>
      <c r="F1078" s="367">
        <v>17.7</v>
      </c>
      <c r="G1078" s="346">
        <v>18.2</v>
      </c>
      <c r="H1078" s="361">
        <f t="shared" si="36"/>
        <v>16.099999999999998</v>
      </c>
      <c r="I1078" s="346">
        <v>38</v>
      </c>
      <c r="J1078" t="s">
        <v>38</v>
      </c>
      <c r="K1078" t="s">
        <v>85</v>
      </c>
      <c r="L1078" s="59" t="s">
        <v>141</v>
      </c>
    </row>
    <row r="1079" spans="2:12" x14ac:dyDescent="0.2">
      <c r="B1079" s="347">
        <v>1074</v>
      </c>
      <c r="C1079" s="366">
        <v>42616</v>
      </c>
      <c r="D1079" s="124">
        <v>4.1666666666666664E-2</v>
      </c>
      <c r="E1079" s="367">
        <v>17.7</v>
      </c>
      <c r="F1079" s="367">
        <v>20.100000000000001</v>
      </c>
      <c r="G1079" s="346">
        <v>22.6</v>
      </c>
      <c r="H1079" s="361">
        <f t="shared" si="36"/>
        <v>20.133333333333333</v>
      </c>
      <c r="I1079" s="346">
        <v>37</v>
      </c>
      <c r="J1079" t="s">
        <v>39</v>
      </c>
      <c r="K1079" t="s">
        <v>85</v>
      </c>
      <c r="L1079" s="59" t="s">
        <v>141</v>
      </c>
    </row>
    <row r="1080" spans="2:12" x14ac:dyDescent="0.2">
      <c r="B1080" s="347">
        <v>1075</v>
      </c>
      <c r="C1080" s="366">
        <v>42616</v>
      </c>
      <c r="D1080" s="124">
        <v>0.22222222222222221</v>
      </c>
      <c r="E1080" s="367">
        <v>19.399999999999999</v>
      </c>
      <c r="F1080" s="367">
        <v>17.899999999999999</v>
      </c>
      <c r="G1080" s="346">
        <v>14.7</v>
      </c>
      <c r="H1080" s="361">
        <f t="shared" si="36"/>
        <v>17.333333333333332</v>
      </c>
      <c r="I1080" s="346">
        <v>39</v>
      </c>
      <c r="J1080" t="s">
        <v>39</v>
      </c>
      <c r="K1080" t="s">
        <v>90</v>
      </c>
      <c r="L1080" s="59" t="s">
        <v>141</v>
      </c>
    </row>
    <row r="1081" spans="2:12" x14ac:dyDescent="0.2">
      <c r="B1081" s="347">
        <v>1076</v>
      </c>
      <c r="C1081" s="369">
        <v>42616</v>
      </c>
      <c r="D1081" s="124">
        <v>0.46875</v>
      </c>
      <c r="E1081" s="370">
        <v>16.8</v>
      </c>
      <c r="F1081" s="370">
        <v>17.2</v>
      </c>
      <c r="G1081" s="346">
        <v>28.2</v>
      </c>
      <c r="H1081" s="361">
        <f t="shared" si="36"/>
        <v>20.733333333333334</v>
      </c>
      <c r="I1081" s="346">
        <v>36</v>
      </c>
      <c r="J1081" t="s">
        <v>38</v>
      </c>
      <c r="K1081" t="s">
        <v>86</v>
      </c>
      <c r="L1081" s="59" t="s">
        <v>140</v>
      </c>
    </row>
    <row r="1082" spans="2:12" x14ac:dyDescent="0.2">
      <c r="B1082" s="347">
        <v>1077</v>
      </c>
      <c r="C1082" s="369">
        <v>42616</v>
      </c>
      <c r="D1082" s="124">
        <v>0.67361111111111116</v>
      </c>
      <c r="E1082" s="370">
        <v>17.2</v>
      </c>
      <c r="F1082" s="370">
        <v>18.600000000000001</v>
      </c>
      <c r="G1082" s="346">
        <v>19.600000000000001</v>
      </c>
      <c r="H1082" s="361">
        <f t="shared" si="36"/>
        <v>18.466666666666665</v>
      </c>
      <c r="I1082" s="346">
        <v>33</v>
      </c>
      <c r="J1082" t="s">
        <v>39</v>
      </c>
      <c r="K1082" t="s">
        <v>83</v>
      </c>
      <c r="L1082" s="59" t="s">
        <v>99</v>
      </c>
    </row>
    <row r="1083" spans="2:12" x14ac:dyDescent="0.2">
      <c r="B1083" s="347">
        <v>1078</v>
      </c>
      <c r="C1083" s="369">
        <v>42616</v>
      </c>
      <c r="D1083" s="124">
        <v>0.77777777777777779</v>
      </c>
      <c r="E1083" s="370">
        <v>18.899999999999999</v>
      </c>
      <c r="F1083" s="370">
        <v>19.5</v>
      </c>
      <c r="G1083" s="346">
        <v>20.2</v>
      </c>
      <c r="H1083" s="361">
        <f t="shared" si="36"/>
        <v>19.533333333333331</v>
      </c>
      <c r="I1083" s="346">
        <v>30</v>
      </c>
      <c r="J1083" t="s">
        <v>39</v>
      </c>
      <c r="K1083" t="s">
        <v>86</v>
      </c>
      <c r="L1083" s="59" t="s">
        <v>99</v>
      </c>
    </row>
    <row r="1084" spans="2:12" x14ac:dyDescent="0.2">
      <c r="B1084" s="368">
        <v>1079</v>
      </c>
      <c r="C1084" s="369">
        <v>42616</v>
      </c>
      <c r="D1084" s="124">
        <v>0.92708333333333337</v>
      </c>
      <c r="E1084" s="370">
        <v>14.7</v>
      </c>
      <c r="F1084" s="370">
        <v>15.5</v>
      </c>
      <c r="G1084" s="346">
        <v>16.8</v>
      </c>
      <c r="H1084" s="361">
        <f t="shared" si="36"/>
        <v>15.666666666666666</v>
      </c>
      <c r="I1084" s="346">
        <v>35</v>
      </c>
      <c r="J1084" t="s">
        <v>38</v>
      </c>
      <c r="K1084" t="s">
        <v>85</v>
      </c>
      <c r="L1084" s="59" t="s">
        <v>141</v>
      </c>
    </row>
    <row r="1085" spans="2:12" x14ac:dyDescent="0.2">
      <c r="B1085" s="368">
        <v>1080</v>
      </c>
      <c r="C1085" s="369">
        <v>42617</v>
      </c>
      <c r="D1085" s="124">
        <v>0.17361111111111113</v>
      </c>
      <c r="E1085" s="370">
        <v>16.100000000000001</v>
      </c>
      <c r="F1085" s="370">
        <v>17.100000000000001</v>
      </c>
      <c r="G1085" s="346">
        <v>19.5</v>
      </c>
      <c r="H1085" s="361">
        <f t="shared" si="36"/>
        <v>17.566666666666666</v>
      </c>
      <c r="I1085" s="346">
        <v>36</v>
      </c>
      <c r="J1085" t="s">
        <v>38</v>
      </c>
      <c r="K1085" t="s">
        <v>90</v>
      </c>
      <c r="L1085" s="59" t="s">
        <v>141</v>
      </c>
    </row>
    <row r="1086" spans="2:12" x14ac:dyDescent="0.2">
      <c r="B1086" s="368">
        <v>1081</v>
      </c>
      <c r="C1086" s="372">
        <v>42617</v>
      </c>
      <c r="D1086" s="124">
        <v>0.51041666666666663</v>
      </c>
      <c r="E1086" s="373">
        <v>10.199999999999999</v>
      </c>
      <c r="F1086" s="373">
        <v>13.3</v>
      </c>
      <c r="G1086" s="346">
        <v>15.8</v>
      </c>
      <c r="H1086" s="361">
        <f t="shared" si="36"/>
        <v>13.1</v>
      </c>
      <c r="I1086" s="346">
        <v>36</v>
      </c>
      <c r="J1086" t="s">
        <v>38</v>
      </c>
      <c r="K1086" t="s">
        <v>83</v>
      </c>
      <c r="L1086" s="59" t="s">
        <v>94</v>
      </c>
    </row>
    <row r="1087" spans="2:12" x14ac:dyDescent="0.2">
      <c r="B1087" s="368">
        <v>1082</v>
      </c>
      <c r="C1087" s="372">
        <v>42617</v>
      </c>
      <c r="D1087" s="124">
        <v>0.65277777777777779</v>
      </c>
      <c r="E1087" s="373">
        <v>16.899999999999999</v>
      </c>
      <c r="F1087" s="373">
        <v>17.5</v>
      </c>
      <c r="G1087" s="346">
        <v>19.600000000000001</v>
      </c>
      <c r="H1087" s="361">
        <f t="shared" si="36"/>
        <v>18</v>
      </c>
      <c r="I1087" s="346">
        <v>39</v>
      </c>
      <c r="J1087" t="s">
        <v>39</v>
      </c>
      <c r="K1087" t="s">
        <v>83</v>
      </c>
      <c r="L1087" s="59" t="s">
        <v>100</v>
      </c>
    </row>
    <row r="1088" spans="2:12" x14ac:dyDescent="0.2">
      <c r="B1088" s="371">
        <v>1083</v>
      </c>
      <c r="C1088" s="372">
        <v>42617</v>
      </c>
      <c r="D1088" s="124">
        <v>0.79861111111111116</v>
      </c>
      <c r="E1088" s="373">
        <v>15.4</v>
      </c>
      <c r="F1088" s="373">
        <v>16.3</v>
      </c>
      <c r="G1088" s="346">
        <v>18.600000000000001</v>
      </c>
      <c r="H1088" s="361">
        <f t="shared" si="36"/>
        <v>16.766666666666669</v>
      </c>
      <c r="I1088" s="346">
        <v>36</v>
      </c>
      <c r="J1088" t="s">
        <v>39</v>
      </c>
      <c r="K1088" t="s">
        <v>83</v>
      </c>
      <c r="L1088" s="59" t="s">
        <v>99</v>
      </c>
    </row>
    <row r="1089" spans="2:12" x14ac:dyDescent="0.2">
      <c r="B1089" s="371">
        <v>1084</v>
      </c>
      <c r="C1089" s="372">
        <v>42617</v>
      </c>
      <c r="D1089" s="124">
        <v>0.93055555555555547</v>
      </c>
      <c r="E1089" s="373">
        <v>13.2</v>
      </c>
      <c r="F1089" s="373">
        <v>16.100000000000001</v>
      </c>
      <c r="G1089" s="346">
        <v>17.2</v>
      </c>
      <c r="H1089" s="361">
        <f t="shared" si="36"/>
        <v>15.5</v>
      </c>
      <c r="I1089" s="346">
        <v>32</v>
      </c>
      <c r="J1089" t="s">
        <v>38</v>
      </c>
      <c r="K1089" t="s">
        <v>90</v>
      </c>
      <c r="L1089" s="59" t="s">
        <v>141</v>
      </c>
    </row>
    <row r="1090" spans="2:12" x14ac:dyDescent="0.2">
      <c r="B1090" s="371">
        <v>1085</v>
      </c>
      <c r="C1090" s="372">
        <v>42618</v>
      </c>
      <c r="D1090" s="124">
        <v>9.0277777777777776E-2</v>
      </c>
      <c r="E1090" s="373">
        <v>20.3</v>
      </c>
      <c r="F1090" s="373">
        <v>22.5</v>
      </c>
      <c r="G1090" s="346">
        <v>23.2</v>
      </c>
      <c r="H1090" s="361">
        <f t="shared" si="36"/>
        <v>22</v>
      </c>
      <c r="I1090" s="346">
        <v>34</v>
      </c>
      <c r="J1090" t="s">
        <v>39</v>
      </c>
      <c r="K1090" t="s">
        <v>85</v>
      </c>
      <c r="L1090" s="59" t="s">
        <v>141</v>
      </c>
    </row>
    <row r="1091" spans="2:12" x14ac:dyDescent="0.2">
      <c r="B1091" s="374">
        <v>1086</v>
      </c>
      <c r="C1091" s="375">
        <v>42618</v>
      </c>
      <c r="D1091" s="124">
        <v>0.50694444444444442</v>
      </c>
      <c r="E1091" s="376">
        <v>17.600000000000001</v>
      </c>
      <c r="F1091" s="376">
        <v>18.3</v>
      </c>
      <c r="G1091" s="346">
        <v>19.100000000000001</v>
      </c>
      <c r="H1091" s="361">
        <f t="shared" si="36"/>
        <v>18.333333333333336</v>
      </c>
      <c r="I1091" s="346">
        <v>32</v>
      </c>
      <c r="J1091" t="s">
        <v>38</v>
      </c>
      <c r="K1091" t="s">
        <v>86</v>
      </c>
      <c r="L1091" s="59" t="s">
        <v>94</v>
      </c>
    </row>
    <row r="1092" spans="2:12" x14ac:dyDescent="0.2">
      <c r="B1092" s="374">
        <v>1087</v>
      </c>
      <c r="C1092" s="375">
        <v>42618</v>
      </c>
      <c r="D1092" s="124">
        <v>0.65277777777777779</v>
      </c>
      <c r="E1092" s="376">
        <v>12.8</v>
      </c>
      <c r="F1092" s="376">
        <v>14.8</v>
      </c>
      <c r="G1092" s="346">
        <v>15.5</v>
      </c>
      <c r="H1092" s="361">
        <f t="shared" si="36"/>
        <v>14.366666666666667</v>
      </c>
      <c r="I1092" s="346">
        <v>32</v>
      </c>
      <c r="J1092" t="s">
        <v>39</v>
      </c>
      <c r="K1092" t="s">
        <v>83</v>
      </c>
      <c r="L1092" s="59" t="s">
        <v>100</v>
      </c>
    </row>
    <row r="1093" spans="2:12" x14ac:dyDescent="0.2">
      <c r="B1093" s="374">
        <v>1088</v>
      </c>
      <c r="C1093" s="375">
        <v>42618</v>
      </c>
      <c r="D1093" s="124">
        <v>0.78125</v>
      </c>
      <c r="E1093" s="376">
        <v>12.5</v>
      </c>
      <c r="F1093" s="376">
        <v>15.6</v>
      </c>
      <c r="G1093" s="346">
        <v>16.8</v>
      </c>
      <c r="H1093" s="361">
        <f t="shared" si="36"/>
        <v>14.966666666666669</v>
      </c>
      <c r="I1093" s="346">
        <v>29</v>
      </c>
      <c r="J1093" t="s">
        <v>39</v>
      </c>
      <c r="K1093" t="s">
        <v>86</v>
      </c>
      <c r="L1093" s="59" t="s">
        <v>100</v>
      </c>
    </row>
    <row r="1094" spans="2:12" x14ac:dyDescent="0.2">
      <c r="B1094" s="374">
        <v>1089</v>
      </c>
      <c r="C1094" s="375">
        <v>42618</v>
      </c>
      <c r="D1094" s="124">
        <v>0.9375</v>
      </c>
      <c r="E1094" s="376">
        <v>15.8</v>
      </c>
      <c r="F1094" s="376">
        <v>18.5</v>
      </c>
      <c r="G1094" s="346">
        <v>19.899999999999999</v>
      </c>
      <c r="H1094" s="361">
        <f t="shared" si="36"/>
        <v>18.066666666666666</v>
      </c>
      <c r="I1094" s="346">
        <v>37</v>
      </c>
      <c r="J1094" t="s">
        <v>38</v>
      </c>
      <c r="K1094" t="s">
        <v>85</v>
      </c>
      <c r="L1094" s="59" t="s">
        <v>141</v>
      </c>
    </row>
    <row r="1095" spans="2:12" x14ac:dyDescent="0.2">
      <c r="B1095" s="374">
        <v>1090</v>
      </c>
      <c r="C1095" s="379">
        <v>42619</v>
      </c>
      <c r="D1095" s="124">
        <v>0.51041666666666663</v>
      </c>
      <c r="E1095" s="380">
        <v>16.7</v>
      </c>
      <c r="F1095" s="380">
        <v>17.399999999999999</v>
      </c>
      <c r="G1095" s="346">
        <v>18.2</v>
      </c>
      <c r="H1095" s="361">
        <f t="shared" si="36"/>
        <v>17.433333333333334</v>
      </c>
      <c r="I1095" s="346">
        <v>33</v>
      </c>
      <c r="J1095" t="s">
        <v>38</v>
      </c>
      <c r="K1095" t="s">
        <v>86</v>
      </c>
      <c r="L1095" s="59" t="s">
        <v>99</v>
      </c>
    </row>
    <row r="1096" spans="2:12" ht="16.5" customHeight="1" x14ac:dyDescent="0.2">
      <c r="B1096" s="374">
        <v>1091</v>
      </c>
      <c r="C1096" s="381">
        <v>42626</v>
      </c>
      <c r="D1096" s="124">
        <v>0.50694444444444442</v>
      </c>
      <c r="E1096" s="384">
        <v>20.100000000000001</v>
      </c>
      <c r="F1096" s="384">
        <v>21.4</v>
      </c>
      <c r="G1096" s="346">
        <v>22.1</v>
      </c>
      <c r="H1096" s="361">
        <f t="shared" si="36"/>
        <v>21.2</v>
      </c>
      <c r="I1096" s="346">
        <v>33</v>
      </c>
      <c r="J1096" t="s">
        <v>38</v>
      </c>
      <c r="K1096" t="s">
        <v>86</v>
      </c>
      <c r="L1096" s="59" t="s">
        <v>94</v>
      </c>
    </row>
    <row r="1097" spans="2:12" x14ac:dyDescent="0.2">
      <c r="B1097" s="382">
        <v>1092</v>
      </c>
      <c r="C1097" s="383">
        <v>42626</v>
      </c>
      <c r="D1097" s="124">
        <v>0.70486111111111116</v>
      </c>
      <c r="E1097" s="384">
        <v>19.3</v>
      </c>
      <c r="F1097" s="384">
        <v>19.899999999999999</v>
      </c>
      <c r="G1097" s="346">
        <v>20.2</v>
      </c>
      <c r="H1097" s="361">
        <f t="shared" si="36"/>
        <v>19.8</v>
      </c>
      <c r="I1097" s="346">
        <v>32</v>
      </c>
      <c r="J1097" t="s">
        <v>39</v>
      </c>
      <c r="K1097" t="s">
        <v>62</v>
      </c>
      <c r="L1097" s="59" t="s">
        <v>143</v>
      </c>
    </row>
    <row r="1098" spans="2:12" x14ac:dyDescent="0.2">
      <c r="B1098" s="46">
        <v>1093</v>
      </c>
      <c r="C1098" s="383">
        <v>42626</v>
      </c>
      <c r="D1098" s="124">
        <v>0.88888888888888884</v>
      </c>
      <c r="E1098" s="384">
        <v>14.2</v>
      </c>
      <c r="F1098" s="384">
        <v>15.3</v>
      </c>
      <c r="G1098" s="346">
        <v>17.399999999999999</v>
      </c>
      <c r="H1098" s="361">
        <f t="shared" si="36"/>
        <v>15.633333333333333</v>
      </c>
      <c r="I1098" s="346">
        <v>36</v>
      </c>
      <c r="J1098" t="s">
        <v>39</v>
      </c>
      <c r="K1098" t="s">
        <v>57</v>
      </c>
      <c r="L1098" s="59" t="s">
        <v>143</v>
      </c>
    </row>
    <row r="1099" spans="2:12" x14ac:dyDescent="0.2">
      <c r="B1099" s="46">
        <v>1094</v>
      </c>
      <c r="C1099" s="383">
        <v>42627</v>
      </c>
      <c r="D1099" s="124">
        <v>1.7361111111111112E-2</v>
      </c>
      <c r="E1099" s="384">
        <v>16.2</v>
      </c>
      <c r="F1099" s="384">
        <v>18.3</v>
      </c>
      <c r="G1099" s="346">
        <v>24.5</v>
      </c>
      <c r="H1099" s="361">
        <f t="shared" si="36"/>
        <v>19.666666666666668</v>
      </c>
      <c r="I1099" s="346">
        <v>38</v>
      </c>
      <c r="J1099" t="s">
        <v>38</v>
      </c>
      <c r="K1099" t="s">
        <v>85</v>
      </c>
      <c r="L1099" s="59" t="s">
        <v>141</v>
      </c>
    </row>
    <row r="1100" spans="2:12" x14ac:dyDescent="0.2">
      <c r="B1100" s="46">
        <v>1095</v>
      </c>
      <c r="C1100" s="383">
        <v>42627</v>
      </c>
      <c r="D1100" s="124">
        <v>0.23611111111111113</v>
      </c>
      <c r="E1100" s="384">
        <v>20.5</v>
      </c>
      <c r="F1100" s="384">
        <v>11.4</v>
      </c>
      <c r="G1100" s="346">
        <v>22.9</v>
      </c>
      <c r="H1100" s="361">
        <f t="shared" si="36"/>
        <v>18.266666666666666</v>
      </c>
      <c r="I1100" s="346">
        <v>37</v>
      </c>
      <c r="J1100" t="s">
        <v>39</v>
      </c>
      <c r="K1100" t="s">
        <v>61</v>
      </c>
      <c r="L1100" s="59" t="s">
        <v>99</v>
      </c>
    </row>
    <row r="1101" spans="2:12" x14ac:dyDescent="0.2">
      <c r="B1101" s="46">
        <v>1096</v>
      </c>
      <c r="C1101" s="385">
        <v>42627</v>
      </c>
      <c r="D1101" s="124">
        <v>0.50694444444444442</v>
      </c>
      <c r="E1101" s="386">
        <v>19.600000000000001</v>
      </c>
      <c r="F1101" s="386">
        <v>21.3</v>
      </c>
      <c r="G1101" s="346">
        <v>22.2</v>
      </c>
      <c r="H1101" s="361">
        <f t="shared" si="36"/>
        <v>21.033333333333335</v>
      </c>
      <c r="I1101" s="346">
        <v>38</v>
      </c>
      <c r="J1101" t="s">
        <v>38</v>
      </c>
      <c r="K1101" t="s">
        <v>83</v>
      </c>
      <c r="L1101" s="59" t="s">
        <v>98</v>
      </c>
    </row>
    <row r="1102" spans="2:12" x14ac:dyDescent="0.2">
      <c r="B1102" s="46">
        <v>1097</v>
      </c>
      <c r="C1102" s="385">
        <v>42627</v>
      </c>
      <c r="D1102" s="124">
        <v>0.77777777777777779</v>
      </c>
      <c r="E1102" s="386">
        <v>17.399999999999999</v>
      </c>
      <c r="F1102" s="386">
        <v>19.899999999999999</v>
      </c>
      <c r="G1102" s="346">
        <v>20.3</v>
      </c>
      <c r="H1102" s="361">
        <f t="shared" si="36"/>
        <v>19.2</v>
      </c>
      <c r="I1102" s="346">
        <v>48</v>
      </c>
      <c r="J1102" t="s">
        <v>38</v>
      </c>
      <c r="K1102" t="s">
        <v>86</v>
      </c>
      <c r="L1102" s="59" t="s">
        <v>144</v>
      </c>
    </row>
    <row r="1103" spans="2:12" x14ac:dyDescent="0.2">
      <c r="B1103" s="46">
        <v>1098</v>
      </c>
      <c r="C1103" s="385">
        <v>42627</v>
      </c>
      <c r="D1103" s="124">
        <v>0.80555555555555547</v>
      </c>
      <c r="E1103" s="386">
        <v>14.2</v>
      </c>
      <c r="F1103" s="386">
        <v>16.899999999999999</v>
      </c>
      <c r="G1103" s="346">
        <v>17.600000000000001</v>
      </c>
      <c r="H1103" s="361">
        <f t="shared" si="36"/>
        <v>16.233333333333334</v>
      </c>
      <c r="I1103" s="346">
        <v>36</v>
      </c>
      <c r="J1103" t="s">
        <v>38</v>
      </c>
      <c r="K1103" t="s">
        <v>85</v>
      </c>
      <c r="L1103" s="59" t="s">
        <v>99</v>
      </c>
    </row>
    <row r="1104" spans="2:12" x14ac:dyDescent="0.2">
      <c r="B1104" s="46">
        <v>1099</v>
      </c>
      <c r="C1104" s="385">
        <v>42628</v>
      </c>
      <c r="D1104" s="124">
        <v>0.1111111111111111</v>
      </c>
      <c r="E1104" s="386">
        <v>18.3</v>
      </c>
      <c r="F1104" s="386">
        <v>20</v>
      </c>
      <c r="G1104" s="346">
        <v>21.5</v>
      </c>
      <c r="H1104" s="361">
        <f t="shared" si="36"/>
        <v>19.933333333333334</v>
      </c>
      <c r="I1104" s="346">
        <v>42</v>
      </c>
      <c r="J1104" t="s">
        <v>39</v>
      </c>
      <c r="K1104" t="s">
        <v>86</v>
      </c>
      <c r="L1104" s="59" t="s">
        <v>138</v>
      </c>
    </row>
    <row r="1105" spans="2:12" x14ac:dyDescent="0.2">
      <c r="B1105" s="46">
        <v>1100</v>
      </c>
      <c r="C1105" s="385">
        <v>42628</v>
      </c>
      <c r="D1105" s="124">
        <v>0.96527777777777779</v>
      </c>
      <c r="E1105" s="388">
        <v>17.8</v>
      </c>
      <c r="F1105" s="388">
        <v>18.3</v>
      </c>
      <c r="G1105" s="346">
        <v>19.7</v>
      </c>
      <c r="H1105" s="361">
        <f t="shared" si="36"/>
        <v>18.599999999999998</v>
      </c>
      <c r="I1105" s="346">
        <v>38</v>
      </c>
      <c r="J1105" t="s">
        <v>38</v>
      </c>
      <c r="K1105" t="s">
        <v>83</v>
      </c>
      <c r="L1105" s="59" t="s">
        <v>94</v>
      </c>
    </row>
    <row r="1106" spans="2:12" x14ac:dyDescent="0.2">
      <c r="B1106" s="46">
        <v>1101</v>
      </c>
      <c r="C1106" s="387">
        <v>42628</v>
      </c>
      <c r="D1106" s="124">
        <v>0.67708333333333337</v>
      </c>
      <c r="E1106" s="388">
        <v>17.600000000000001</v>
      </c>
      <c r="F1106" s="388">
        <v>18.899999999999999</v>
      </c>
      <c r="G1106" s="346">
        <v>19.2</v>
      </c>
      <c r="H1106" s="361">
        <f t="shared" si="36"/>
        <v>18.566666666666666</v>
      </c>
      <c r="I1106" s="346">
        <v>43</v>
      </c>
      <c r="J1106" t="s">
        <v>38</v>
      </c>
      <c r="K1106" t="s">
        <v>83</v>
      </c>
      <c r="L1106" s="59" t="s">
        <v>99</v>
      </c>
    </row>
    <row r="1107" spans="2:12" x14ac:dyDescent="0.2">
      <c r="B1107" s="46">
        <v>1102</v>
      </c>
      <c r="C1107" s="387">
        <v>42629</v>
      </c>
      <c r="D1107" s="124">
        <v>0.1111111111111111</v>
      </c>
      <c r="E1107" s="388">
        <v>17.399999999999999</v>
      </c>
      <c r="F1107" s="388">
        <v>18.5</v>
      </c>
      <c r="G1107" s="346">
        <v>22.6</v>
      </c>
      <c r="H1107" s="361">
        <f t="shared" si="36"/>
        <v>19.5</v>
      </c>
      <c r="I1107" s="346">
        <v>40</v>
      </c>
      <c r="J1107" t="s">
        <v>39</v>
      </c>
      <c r="K1107" t="s">
        <v>83</v>
      </c>
      <c r="L1107" s="59" t="s">
        <v>138</v>
      </c>
    </row>
    <row r="1108" spans="2:12" x14ac:dyDescent="0.2">
      <c r="B1108" s="46">
        <v>1103</v>
      </c>
      <c r="C1108" s="389">
        <v>42629</v>
      </c>
      <c r="D1108" s="124">
        <v>0.50694444444444442</v>
      </c>
      <c r="E1108" s="390">
        <v>20.2</v>
      </c>
      <c r="F1108" s="390">
        <v>21.6</v>
      </c>
      <c r="G1108" s="346">
        <v>23.1</v>
      </c>
      <c r="H1108" s="361">
        <f t="shared" si="36"/>
        <v>21.633333333333336</v>
      </c>
      <c r="I1108" s="346">
        <v>36</v>
      </c>
      <c r="J1108" t="s">
        <v>38</v>
      </c>
      <c r="K1108" t="s">
        <v>85</v>
      </c>
      <c r="L1108" s="59" t="s">
        <v>144</v>
      </c>
    </row>
    <row r="1109" spans="2:12" x14ac:dyDescent="0.2">
      <c r="B1109" s="46">
        <v>1104</v>
      </c>
      <c r="C1109" s="389">
        <v>42629</v>
      </c>
      <c r="D1109" s="124">
        <v>0.77777777777777779</v>
      </c>
      <c r="E1109" s="390">
        <v>13.6</v>
      </c>
      <c r="F1109" s="390">
        <v>15.6</v>
      </c>
      <c r="G1109" s="346">
        <v>16.399999999999999</v>
      </c>
      <c r="H1109" s="361">
        <f t="shared" si="36"/>
        <v>15.199999999999998</v>
      </c>
      <c r="I1109" s="346">
        <v>39</v>
      </c>
      <c r="J1109" t="s">
        <v>39</v>
      </c>
      <c r="K1109" t="s">
        <v>90</v>
      </c>
      <c r="L1109" s="59" t="s">
        <v>99</v>
      </c>
    </row>
    <row r="1110" spans="2:12" x14ac:dyDescent="0.2">
      <c r="B1110" s="46">
        <v>1105</v>
      </c>
      <c r="C1110" s="389">
        <v>42630</v>
      </c>
      <c r="D1110" s="124">
        <v>1.7361111111111112E-2</v>
      </c>
      <c r="E1110" s="390">
        <v>17.5</v>
      </c>
      <c r="F1110" s="390">
        <v>22.6</v>
      </c>
      <c r="G1110" s="346">
        <v>24.4</v>
      </c>
      <c r="H1110" s="361">
        <f t="shared" si="36"/>
        <v>21.5</v>
      </c>
      <c r="I1110" s="346">
        <v>44</v>
      </c>
      <c r="J1110" t="s">
        <v>38</v>
      </c>
      <c r="K1110" t="s">
        <v>83</v>
      </c>
      <c r="L1110" s="59" t="s">
        <v>138</v>
      </c>
    </row>
    <row r="1111" spans="2:12" x14ac:dyDescent="0.2">
      <c r="B1111" s="46">
        <v>1106</v>
      </c>
      <c r="C1111" s="389">
        <v>42630</v>
      </c>
      <c r="D1111" s="124">
        <v>0.23611111111111113</v>
      </c>
      <c r="E1111" s="390">
        <v>17.100000000000001</v>
      </c>
      <c r="F1111" s="390">
        <v>20.7</v>
      </c>
      <c r="G1111" s="346">
        <v>23.1</v>
      </c>
      <c r="H1111" s="361">
        <f t="shared" si="36"/>
        <v>20.3</v>
      </c>
      <c r="I1111" s="346">
        <v>26</v>
      </c>
      <c r="J1111" t="s">
        <v>38</v>
      </c>
      <c r="K1111" t="s">
        <v>83</v>
      </c>
      <c r="L1111" s="59" t="s">
        <v>138</v>
      </c>
    </row>
    <row r="1112" spans="2:12" x14ac:dyDescent="0.2">
      <c r="B1112" s="46">
        <v>1107</v>
      </c>
      <c r="C1112" s="391">
        <v>42631</v>
      </c>
      <c r="D1112" s="124">
        <v>0.51388888888888895</v>
      </c>
      <c r="E1112" s="392">
        <v>18.899999999999999</v>
      </c>
      <c r="F1112" s="392">
        <v>20.7</v>
      </c>
      <c r="G1112" s="346">
        <v>21.5</v>
      </c>
      <c r="H1112" s="361">
        <f t="shared" si="36"/>
        <v>20.366666666666664</v>
      </c>
      <c r="I1112" s="346">
        <v>35</v>
      </c>
      <c r="J1112" t="s">
        <v>38</v>
      </c>
      <c r="K1112" t="s">
        <v>90</v>
      </c>
      <c r="L1112" s="59" t="s">
        <v>99</v>
      </c>
    </row>
    <row r="1113" spans="2:12" x14ac:dyDescent="0.2">
      <c r="B1113" s="46">
        <v>1108</v>
      </c>
      <c r="C1113" s="391">
        <v>42632</v>
      </c>
      <c r="D1113" s="124">
        <v>1.7361111111111112E-2</v>
      </c>
      <c r="E1113" s="392">
        <v>12.5</v>
      </c>
      <c r="F1113" s="392">
        <v>14.5</v>
      </c>
      <c r="G1113" s="346">
        <v>15.4</v>
      </c>
      <c r="H1113" s="361">
        <f t="shared" si="36"/>
        <v>14.133333333333333</v>
      </c>
      <c r="I1113" s="346">
        <v>29</v>
      </c>
      <c r="J1113" t="s">
        <v>38</v>
      </c>
      <c r="K1113" t="s">
        <v>86</v>
      </c>
      <c r="L1113" s="59" t="s">
        <v>138</v>
      </c>
    </row>
    <row r="1114" spans="2:12" x14ac:dyDescent="0.2">
      <c r="B1114" s="46">
        <v>1109</v>
      </c>
      <c r="C1114" s="393">
        <v>42632</v>
      </c>
      <c r="D1114" s="124">
        <v>0.54861111111111105</v>
      </c>
      <c r="E1114" s="394">
        <v>18.7</v>
      </c>
      <c r="F1114" s="394">
        <v>19.5</v>
      </c>
      <c r="G1114" s="346">
        <v>20.3</v>
      </c>
      <c r="H1114" s="361">
        <f t="shared" si="36"/>
        <v>19.5</v>
      </c>
      <c r="I1114" s="346">
        <v>37</v>
      </c>
      <c r="J1114" t="s">
        <v>38</v>
      </c>
      <c r="K1114" t="s">
        <v>90</v>
      </c>
      <c r="L1114" s="59" t="s">
        <v>94</v>
      </c>
    </row>
    <row r="1115" spans="2:12" x14ac:dyDescent="0.2">
      <c r="B1115" s="46">
        <v>1110</v>
      </c>
      <c r="C1115" s="393">
        <v>42632</v>
      </c>
      <c r="D1115" s="124">
        <v>0.98263888888888884</v>
      </c>
      <c r="E1115" s="394">
        <v>13.5</v>
      </c>
      <c r="F1115" s="394">
        <v>14.7</v>
      </c>
      <c r="G1115" s="346">
        <v>16.399999999999999</v>
      </c>
      <c r="H1115" s="361">
        <f t="shared" si="36"/>
        <v>14.866666666666665</v>
      </c>
      <c r="I1115" s="346">
        <v>30</v>
      </c>
      <c r="J1115" t="s">
        <v>38</v>
      </c>
      <c r="K1115" t="s">
        <v>86</v>
      </c>
      <c r="L1115" s="59" t="s">
        <v>138</v>
      </c>
    </row>
    <row r="1116" spans="2:12" x14ac:dyDescent="0.2">
      <c r="B1116" s="46">
        <v>1111</v>
      </c>
      <c r="C1116" s="396">
        <v>42633</v>
      </c>
      <c r="D1116" s="124">
        <v>0.51041666666666663</v>
      </c>
      <c r="E1116" s="397">
        <v>11.3</v>
      </c>
      <c r="F1116" s="397">
        <v>12.4</v>
      </c>
      <c r="G1116" s="346">
        <v>13.8</v>
      </c>
      <c r="H1116" s="361">
        <f t="shared" si="36"/>
        <v>12.5</v>
      </c>
      <c r="I1116" s="346">
        <v>32</v>
      </c>
      <c r="J1116" t="s">
        <v>38</v>
      </c>
      <c r="K1116" t="s">
        <v>85</v>
      </c>
      <c r="L1116" s="59" t="s">
        <v>94</v>
      </c>
    </row>
    <row r="1117" spans="2:12" x14ac:dyDescent="0.2">
      <c r="B1117" s="46">
        <v>1112</v>
      </c>
      <c r="C1117" s="396">
        <v>42634</v>
      </c>
      <c r="D1117" s="124">
        <v>5.5555555555555552E-2</v>
      </c>
      <c r="E1117" s="397">
        <v>15.6</v>
      </c>
      <c r="F1117" s="397">
        <v>17.2</v>
      </c>
      <c r="G1117" s="346">
        <v>18.100000000000001</v>
      </c>
      <c r="H1117" s="361">
        <f t="shared" si="36"/>
        <v>16.966666666666665</v>
      </c>
      <c r="I1117" s="346">
        <v>30</v>
      </c>
      <c r="J1117" t="s">
        <v>38</v>
      </c>
      <c r="K1117" t="s">
        <v>86</v>
      </c>
      <c r="L1117" s="59" t="s">
        <v>138</v>
      </c>
    </row>
    <row r="1118" spans="2:12" x14ac:dyDescent="0.2">
      <c r="B1118" s="46">
        <v>1113</v>
      </c>
      <c r="C1118" s="398">
        <v>42635</v>
      </c>
      <c r="D1118" s="124">
        <v>0.96875</v>
      </c>
      <c r="E1118" s="399">
        <v>17.600000000000001</v>
      </c>
      <c r="F1118" s="399">
        <v>19</v>
      </c>
      <c r="G1118" s="346">
        <v>19.399999999999999</v>
      </c>
      <c r="H1118" s="361">
        <f t="shared" ref="H1118:H1125" si="37">AVERAGE(E1118:G1118)</f>
        <v>18.666666666666668</v>
      </c>
      <c r="I1118" s="346">
        <v>25</v>
      </c>
      <c r="J1118" t="s">
        <v>39</v>
      </c>
      <c r="K1118" t="s">
        <v>86</v>
      </c>
      <c r="L1118" s="59" t="s">
        <v>138</v>
      </c>
    </row>
    <row r="1119" spans="2:12" x14ac:dyDescent="0.2">
      <c r="B1119" s="46">
        <v>1114</v>
      </c>
      <c r="C1119" s="398">
        <v>42636</v>
      </c>
      <c r="D1119" s="124">
        <v>0.51041666666666663</v>
      </c>
      <c r="E1119" s="399">
        <v>17.2</v>
      </c>
      <c r="F1119" s="399">
        <v>18.600000000000001</v>
      </c>
      <c r="G1119" s="346">
        <v>21.9</v>
      </c>
      <c r="H1119" s="361">
        <f t="shared" si="37"/>
        <v>19.233333333333331</v>
      </c>
      <c r="I1119" s="346">
        <v>38</v>
      </c>
      <c r="J1119" t="s">
        <v>38</v>
      </c>
      <c r="K1119" t="s">
        <v>85</v>
      </c>
      <c r="L1119" s="59" t="s">
        <v>99</v>
      </c>
    </row>
    <row r="1120" spans="2:12" x14ac:dyDescent="0.2">
      <c r="B1120" s="46">
        <v>1115</v>
      </c>
      <c r="C1120" s="398">
        <v>42636</v>
      </c>
      <c r="D1120" s="124">
        <v>0.98611111111111116</v>
      </c>
      <c r="E1120" s="399">
        <v>11.8</v>
      </c>
      <c r="F1120" s="399">
        <v>13.3</v>
      </c>
      <c r="G1120" s="346">
        <v>16.600000000000001</v>
      </c>
      <c r="H1120" s="361">
        <f t="shared" si="37"/>
        <v>13.9</v>
      </c>
      <c r="I1120" s="346">
        <v>36</v>
      </c>
      <c r="J1120" t="s">
        <v>38</v>
      </c>
      <c r="K1120" t="s">
        <v>86</v>
      </c>
      <c r="L1120" s="59" t="s">
        <v>99</v>
      </c>
    </row>
    <row r="1121" spans="2:12" x14ac:dyDescent="0.2">
      <c r="B1121" s="46">
        <v>1116</v>
      </c>
      <c r="C1121" s="400">
        <v>42637</v>
      </c>
      <c r="D1121" s="124">
        <v>0.51388888888888895</v>
      </c>
      <c r="E1121" s="401">
        <v>17.7</v>
      </c>
      <c r="F1121" s="401">
        <v>19.8</v>
      </c>
      <c r="G1121" s="346">
        <v>21.2</v>
      </c>
      <c r="H1121" s="361">
        <f t="shared" si="37"/>
        <v>19.566666666666666</v>
      </c>
      <c r="I1121" s="346">
        <v>39</v>
      </c>
      <c r="J1121" t="s">
        <v>38</v>
      </c>
      <c r="K1121" t="s">
        <v>85</v>
      </c>
      <c r="L1121" s="59" t="s">
        <v>98</v>
      </c>
    </row>
    <row r="1122" spans="2:12" x14ac:dyDescent="0.2">
      <c r="B1122" s="46">
        <v>1117</v>
      </c>
      <c r="C1122" s="400">
        <v>42637</v>
      </c>
      <c r="D1122" s="124">
        <v>0.93402777777777779</v>
      </c>
      <c r="E1122" s="401">
        <v>19.7</v>
      </c>
      <c r="F1122" s="401">
        <v>20.8</v>
      </c>
      <c r="G1122" s="346">
        <v>22.1</v>
      </c>
      <c r="H1122" s="361">
        <f t="shared" si="37"/>
        <v>20.866666666666667</v>
      </c>
      <c r="I1122" s="346">
        <v>38</v>
      </c>
      <c r="J1122" t="s">
        <v>38</v>
      </c>
      <c r="K1122" t="s">
        <v>86</v>
      </c>
      <c r="L1122" s="59" t="s">
        <v>99</v>
      </c>
    </row>
    <row r="1123" spans="2:12" x14ac:dyDescent="0.2">
      <c r="B1123" s="46">
        <v>1118</v>
      </c>
      <c r="C1123" s="402">
        <v>42638</v>
      </c>
      <c r="D1123" s="124">
        <v>0.60069444444444442</v>
      </c>
      <c r="E1123" s="403">
        <v>13.5</v>
      </c>
      <c r="F1123" s="403">
        <v>19.8</v>
      </c>
      <c r="G1123" s="346">
        <v>22.5</v>
      </c>
      <c r="H1123" s="361">
        <f t="shared" si="37"/>
        <v>18.599999999999998</v>
      </c>
      <c r="I1123" s="346">
        <v>35</v>
      </c>
      <c r="J1123" t="s">
        <v>38</v>
      </c>
      <c r="K1123" t="s">
        <v>85</v>
      </c>
      <c r="L1123" s="59" t="s">
        <v>138</v>
      </c>
    </row>
    <row r="1124" spans="2:12" x14ac:dyDescent="0.2">
      <c r="B1124" s="46">
        <v>1119</v>
      </c>
      <c r="C1124" s="402">
        <v>42638</v>
      </c>
      <c r="D1124" s="124">
        <v>0.93402777777777779</v>
      </c>
      <c r="E1124" s="403">
        <v>15.3</v>
      </c>
      <c r="F1124" s="403">
        <v>15.4</v>
      </c>
      <c r="G1124" s="346">
        <v>19.3</v>
      </c>
      <c r="H1124" s="361">
        <f t="shared" si="37"/>
        <v>16.666666666666668</v>
      </c>
      <c r="I1124" s="346">
        <v>28</v>
      </c>
      <c r="J1124" t="s">
        <v>38</v>
      </c>
      <c r="K1124" t="s">
        <v>86</v>
      </c>
      <c r="L1124" s="59" t="s">
        <v>99</v>
      </c>
    </row>
    <row r="1125" spans="2:12" x14ac:dyDescent="0.2">
      <c r="B1125" s="46">
        <v>1120</v>
      </c>
      <c r="C1125" s="404">
        <v>42639</v>
      </c>
      <c r="D1125" s="124">
        <v>0.99305555555555547</v>
      </c>
      <c r="E1125" s="405">
        <v>15.9</v>
      </c>
      <c r="F1125" s="405">
        <v>16.8</v>
      </c>
      <c r="G1125" s="346">
        <v>19.600000000000001</v>
      </c>
      <c r="H1125" s="361">
        <f t="shared" si="37"/>
        <v>17.433333333333334</v>
      </c>
      <c r="I1125" s="346">
        <v>42</v>
      </c>
      <c r="J1125" t="s">
        <v>38</v>
      </c>
      <c r="K1125" t="s">
        <v>83</v>
      </c>
      <c r="L1125" s="59" t="s">
        <v>98</v>
      </c>
    </row>
    <row r="1126" spans="2:12" x14ac:dyDescent="0.2">
      <c r="B1126" s="46">
        <v>1121</v>
      </c>
      <c r="C1126" s="410">
        <v>42648</v>
      </c>
      <c r="D1126" s="124">
        <v>0.50694444444444442</v>
      </c>
      <c r="E1126" s="411">
        <v>17.899999999999999</v>
      </c>
      <c r="F1126" s="411">
        <v>18.5</v>
      </c>
      <c r="G1126" s="346">
        <v>19.7</v>
      </c>
      <c r="H1126" s="361">
        <f t="shared" ref="H1126:H1131" si="38">AVERAGE(E1126:G1126)</f>
        <v>18.7</v>
      </c>
      <c r="I1126" s="346">
        <v>35</v>
      </c>
      <c r="J1126" t="s">
        <v>38</v>
      </c>
      <c r="K1126" t="s">
        <v>85</v>
      </c>
      <c r="L1126" s="59" t="s">
        <v>99</v>
      </c>
    </row>
    <row r="1127" spans="2:12" x14ac:dyDescent="0.2">
      <c r="B1127" s="46">
        <v>1122</v>
      </c>
      <c r="C1127" s="410">
        <v>42648</v>
      </c>
      <c r="D1127" s="124">
        <v>0.8125</v>
      </c>
      <c r="E1127" s="411">
        <v>14.8</v>
      </c>
      <c r="F1127" s="411">
        <v>18.600000000000001</v>
      </c>
      <c r="G1127" s="346">
        <v>20.6</v>
      </c>
      <c r="H1127" s="361">
        <f t="shared" si="38"/>
        <v>18.000000000000004</v>
      </c>
      <c r="I1127" s="346">
        <v>33</v>
      </c>
      <c r="J1127" t="s">
        <v>38</v>
      </c>
      <c r="K1127" t="s">
        <v>90</v>
      </c>
      <c r="L1127" s="59" t="s">
        <v>99</v>
      </c>
    </row>
    <row r="1128" spans="2:12" x14ac:dyDescent="0.2">
      <c r="B1128" s="46">
        <v>1123</v>
      </c>
      <c r="C1128" s="412">
        <v>42649</v>
      </c>
      <c r="D1128" s="124">
        <v>0.51041666666666663</v>
      </c>
      <c r="E1128" s="413">
        <v>11.3</v>
      </c>
      <c r="F1128" s="413">
        <v>12.7</v>
      </c>
      <c r="G1128" s="346">
        <v>14.5</v>
      </c>
      <c r="H1128" s="361">
        <f t="shared" si="38"/>
        <v>12.833333333333334</v>
      </c>
      <c r="I1128" s="346">
        <v>39</v>
      </c>
      <c r="J1128" t="s">
        <v>38</v>
      </c>
      <c r="K1128" t="s">
        <v>85</v>
      </c>
      <c r="L1128" s="59" t="s">
        <v>99</v>
      </c>
    </row>
    <row r="1129" spans="2:12" x14ac:dyDescent="0.2">
      <c r="B1129" s="46">
        <v>1124</v>
      </c>
      <c r="C1129" s="412">
        <v>42649</v>
      </c>
      <c r="D1129" s="124">
        <v>1.3888888888888888E-2</v>
      </c>
      <c r="E1129" s="413">
        <v>23.2</v>
      </c>
      <c r="F1129" s="413">
        <v>20.399999999999999</v>
      </c>
      <c r="G1129" s="346">
        <v>19.399999999999999</v>
      </c>
      <c r="H1129" s="361">
        <f t="shared" si="38"/>
        <v>20.999999999999996</v>
      </c>
      <c r="I1129" s="346">
        <v>32</v>
      </c>
      <c r="J1129" t="s">
        <v>38</v>
      </c>
      <c r="K1129" t="s">
        <v>90</v>
      </c>
      <c r="L1129" s="59" t="s">
        <v>99</v>
      </c>
    </row>
    <row r="1130" spans="2:12" x14ac:dyDescent="0.2">
      <c r="B1130" s="46">
        <v>1125</v>
      </c>
      <c r="C1130" s="414">
        <v>42650</v>
      </c>
      <c r="D1130" s="124">
        <v>0.51388888888888895</v>
      </c>
      <c r="E1130" s="415">
        <v>16.899999999999999</v>
      </c>
      <c r="F1130" s="415">
        <v>18.8</v>
      </c>
      <c r="G1130" s="346">
        <v>20.3</v>
      </c>
      <c r="H1130" s="361">
        <f t="shared" si="38"/>
        <v>18.666666666666668</v>
      </c>
      <c r="I1130" s="346">
        <v>38</v>
      </c>
      <c r="J1130" t="s">
        <v>38</v>
      </c>
      <c r="K1130" t="s">
        <v>61</v>
      </c>
      <c r="L1130" s="59" t="s">
        <v>99</v>
      </c>
    </row>
    <row r="1131" spans="2:12" x14ac:dyDescent="0.2">
      <c r="B1131" s="46">
        <v>1126</v>
      </c>
      <c r="C1131" s="414">
        <v>42650</v>
      </c>
      <c r="D1131" s="124">
        <v>0.85416666666666663</v>
      </c>
      <c r="E1131" s="415">
        <v>13.6</v>
      </c>
      <c r="F1131" s="415">
        <v>14.3</v>
      </c>
      <c r="G1131" s="346">
        <v>19.399999999999999</v>
      </c>
      <c r="H1131" s="361">
        <f t="shared" si="38"/>
        <v>15.766666666666666</v>
      </c>
      <c r="I1131" s="346">
        <v>39</v>
      </c>
      <c r="J1131" t="s">
        <v>38</v>
      </c>
      <c r="K1131" t="s">
        <v>57</v>
      </c>
      <c r="L1131" s="59" t="s">
        <v>99</v>
      </c>
    </row>
    <row r="1132" spans="2:12" x14ac:dyDescent="0.2">
      <c r="B1132" s="46">
        <v>1127</v>
      </c>
      <c r="C1132" s="416">
        <v>42651</v>
      </c>
      <c r="D1132" s="124">
        <v>0.51041666666666663</v>
      </c>
      <c r="E1132" s="417">
        <v>17.8</v>
      </c>
      <c r="F1132" s="417">
        <v>18.2</v>
      </c>
      <c r="G1132" s="346">
        <v>20.3</v>
      </c>
      <c r="H1132" s="361">
        <f t="shared" ref="H1132:H1144" si="39">AVERAGE(E1132:G1132)</f>
        <v>18.766666666666666</v>
      </c>
      <c r="I1132" s="346">
        <v>35</v>
      </c>
      <c r="J1132" t="s">
        <v>38</v>
      </c>
      <c r="K1132" t="s">
        <v>85</v>
      </c>
      <c r="L1132" s="59" t="s">
        <v>99</v>
      </c>
    </row>
    <row r="1133" spans="2:12" x14ac:dyDescent="0.2">
      <c r="B1133" s="46">
        <v>1128</v>
      </c>
      <c r="C1133" s="416">
        <v>42651</v>
      </c>
      <c r="D1133" s="124">
        <v>0.79861111111111116</v>
      </c>
      <c r="E1133" s="417">
        <v>18.399999999999999</v>
      </c>
      <c r="F1133" s="417">
        <v>20.7</v>
      </c>
      <c r="G1133" s="346">
        <v>22.6</v>
      </c>
      <c r="H1133" s="361">
        <f t="shared" si="39"/>
        <v>20.566666666666666</v>
      </c>
      <c r="I1133" s="346">
        <v>28</v>
      </c>
      <c r="J1133" t="s">
        <v>38</v>
      </c>
      <c r="K1133" t="s">
        <v>83</v>
      </c>
      <c r="L1133" s="59" t="s">
        <v>146</v>
      </c>
    </row>
    <row r="1134" spans="2:12" x14ac:dyDescent="0.2">
      <c r="B1134" s="46">
        <v>1129</v>
      </c>
      <c r="C1134" s="416">
        <v>42652</v>
      </c>
      <c r="D1134" s="124">
        <v>0.51041666666666663</v>
      </c>
      <c r="E1134" s="417">
        <v>16.3</v>
      </c>
      <c r="F1134" s="417">
        <v>16.600000000000001</v>
      </c>
      <c r="G1134" s="346">
        <v>16.899999999999999</v>
      </c>
      <c r="H1134" s="361">
        <f t="shared" si="39"/>
        <v>16.600000000000001</v>
      </c>
      <c r="I1134" s="346">
        <v>40</v>
      </c>
      <c r="J1134" t="s">
        <v>38</v>
      </c>
      <c r="K1134" t="s">
        <v>61</v>
      </c>
      <c r="L1134" s="59" t="s">
        <v>99</v>
      </c>
    </row>
    <row r="1135" spans="2:12" x14ac:dyDescent="0.2">
      <c r="B1135" s="46">
        <v>1130</v>
      </c>
      <c r="C1135" s="416">
        <v>42653</v>
      </c>
      <c r="D1135" s="124">
        <v>1.0416666666666666E-2</v>
      </c>
      <c r="E1135" s="417">
        <v>10.9</v>
      </c>
      <c r="F1135" s="417">
        <v>14.7</v>
      </c>
      <c r="G1135" s="346">
        <v>16</v>
      </c>
      <c r="H1135" s="361">
        <f t="shared" si="39"/>
        <v>13.866666666666667</v>
      </c>
      <c r="I1135" s="346">
        <v>32</v>
      </c>
      <c r="J1135" t="s">
        <v>38</v>
      </c>
      <c r="K1135" t="s">
        <v>57</v>
      </c>
      <c r="L1135" s="59" t="s">
        <v>100</v>
      </c>
    </row>
    <row r="1136" spans="2:12" x14ac:dyDescent="0.2">
      <c r="B1136" s="46">
        <v>1131</v>
      </c>
      <c r="C1136" s="420">
        <v>42653</v>
      </c>
      <c r="D1136" s="124">
        <v>0.55208333333333337</v>
      </c>
      <c r="E1136" s="419">
        <v>19.7</v>
      </c>
      <c r="F1136" s="419">
        <v>20.2</v>
      </c>
      <c r="G1136" s="346">
        <v>21.7</v>
      </c>
      <c r="H1136" s="361">
        <f t="shared" si="39"/>
        <v>20.533333333333331</v>
      </c>
      <c r="I1136" s="346">
        <v>36</v>
      </c>
      <c r="J1136" t="s">
        <v>38</v>
      </c>
      <c r="K1136" t="s">
        <v>61</v>
      </c>
      <c r="L1136" s="59" t="s">
        <v>99</v>
      </c>
    </row>
    <row r="1137" spans="2:12" x14ac:dyDescent="0.2">
      <c r="B1137" s="46">
        <v>1132</v>
      </c>
      <c r="C1137" s="420">
        <v>42653</v>
      </c>
      <c r="D1137" s="124">
        <v>0.92708333333333337</v>
      </c>
      <c r="E1137" s="419">
        <v>18.600000000000001</v>
      </c>
      <c r="F1137" s="419">
        <v>21.3</v>
      </c>
      <c r="G1137" s="346">
        <v>23.4</v>
      </c>
      <c r="H1137" s="361">
        <f t="shared" si="39"/>
        <v>21.1</v>
      </c>
      <c r="I1137" s="346">
        <v>34</v>
      </c>
      <c r="J1137" t="s">
        <v>38</v>
      </c>
      <c r="K1137" t="s">
        <v>86</v>
      </c>
      <c r="L1137" s="59" t="s">
        <v>100</v>
      </c>
    </row>
    <row r="1138" spans="2:12" x14ac:dyDescent="0.2">
      <c r="B1138" s="46">
        <v>1133</v>
      </c>
      <c r="C1138" s="420">
        <v>42654</v>
      </c>
      <c r="D1138" s="124">
        <v>0.54861111111111105</v>
      </c>
      <c r="E1138" s="421">
        <v>20.2</v>
      </c>
      <c r="F1138" s="421">
        <v>21.5</v>
      </c>
      <c r="G1138" s="346">
        <v>23.6</v>
      </c>
      <c r="H1138" s="361">
        <f t="shared" si="39"/>
        <v>21.766666666666669</v>
      </c>
      <c r="I1138" s="346">
        <v>39</v>
      </c>
      <c r="J1138" t="s">
        <v>38</v>
      </c>
      <c r="K1138" t="s">
        <v>85</v>
      </c>
      <c r="L1138" s="59" t="s">
        <v>99</v>
      </c>
    </row>
    <row r="1139" spans="2:12" x14ac:dyDescent="0.2">
      <c r="B1139" s="46">
        <v>1134</v>
      </c>
      <c r="C1139" s="422">
        <v>42655</v>
      </c>
      <c r="D1139" s="124">
        <v>0.54861111111111105</v>
      </c>
      <c r="E1139" s="423">
        <v>19</v>
      </c>
      <c r="F1139" s="423">
        <v>19.600000000000001</v>
      </c>
      <c r="G1139" s="346">
        <v>21.3</v>
      </c>
      <c r="H1139" s="361">
        <f t="shared" si="39"/>
        <v>19.966666666666669</v>
      </c>
      <c r="I1139" s="346">
        <v>44</v>
      </c>
      <c r="J1139" t="s">
        <v>38</v>
      </c>
      <c r="K1139" t="s">
        <v>57</v>
      </c>
      <c r="L1139" s="59" t="s">
        <v>99</v>
      </c>
    </row>
    <row r="1140" spans="2:12" x14ac:dyDescent="0.2">
      <c r="B1140" s="46">
        <v>1135</v>
      </c>
      <c r="C1140" s="422">
        <v>42655</v>
      </c>
      <c r="D1140" s="124">
        <v>0.95486111111111116</v>
      </c>
      <c r="E1140" s="423">
        <v>16.399999999999999</v>
      </c>
      <c r="F1140" s="423">
        <v>18.8</v>
      </c>
      <c r="G1140" s="346">
        <v>20.100000000000001</v>
      </c>
      <c r="H1140" s="361">
        <f t="shared" si="39"/>
        <v>18.433333333333334</v>
      </c>
      <c r="I1140" s="346">
        <v>42</v>
      </c>
      <c r="J1140" t="s">
        <v>38</v>
      </c>
      <c r="K1140" t="s">
        <v>85</v>
      </c>
      <c r="L1140" s="59" t="s">
        <v>99</v>
      </c>
    </row>
    <row r="1141" spans="2:12" x14ac:dyDescent="0.2">
      <c r="B1141" s="46">
        <v>1136</v>
      </c>
      <c r="C1141" s="424">
        <v>42656</v>
      </c>
      <c r="D1141" s="124">
        <v>0.54861111111111105</v>
      </c>
      <c r="E1141" s="425">
        <v>19.2</v>
      </c>
      <c r="F1141" s="425">
        <v>20.7</v>
      </c>
      <c r="G1141" s="346">
        <v>21.4</v>
      </c>
      <c r="H1141" s="361">
        <f t="shared" si="39"/>
        <v>20.433333333333334</v>
      </c>
      <c r="I1141" s="346">
        <v>35</v>
      </c>
      <c r="J1141" t="s">
        <v>38</v>
      </c>
      <c r="K1141" t="s">
        <v>62</v>
      </c>
      <c r="L1141" s="59" t="s">
        <v>99</v>
      </c>
    </row>
    <row r="1142" spans="2:12" x14ac:dyDescent="0.2">
      <c r="B1142" s="46">
        <v>1137</v>
      </c>
      <c r="C1142" s="426">
        <v>42656</v>
      </c>
      <c r="D1142" s="124">
        <v>2.0833333333333332E-2</v>
      </c>
      <c r="E1142" s="425">
        <v>19.399999999999999</v>
      </c>
      <c r="F1142" s="425">
        <v>21.6</v>
      </c>
      <c r="G1142" s="346">
        <v>22.4</v>
      </c>
      <c r="H1142" s="361">
        <f t="shared" si="39"/>
        <v>21.133333333333333</v>
      </c>
      <c r="I1142" s="346">
        <v>39</v>
      </c>
      <c r="J1142" t="s">
        <v>38</v>
      </c>
      <c r="K1142" t="s">
        <v>50</v>
      </c>
      <c r="L1142" s="59" t="s">
        <v>99</v>
      </c>
    </row>
    <row r="1143" spans="2:12" x14ac:dyDescent="0.2">
      <c r="B1143" s="46">
        <v>1138</v>
      </c>
      <c r="C1143" s="426">
        <v>42657</v>
      </c>
      <c r="D1143" s="124">
        <v>0.50694444444444442</v>
      </c>
      <c r="E1143" s="427">
        <v>18.8</v>
      </c>
      <c r="F1143" s="427">
        <v>17.899999999999999</v>
      </c>
      <c r="G1143" s="346">
        <v>15.8</v>
      </c>
      <c r="H1143" s="361">
        <f t="shared" si="39"/>
        <v>17.5</v>
      </c>
      <c r="I1143" s="346">
        <v>37</v>
      </c>
      <c r="J1143" t="s">
        <v>38</v>
      </c>
      <c r="K1143" t="s">
        <v>57</v>
      </c>
      <c r="L1143" s="59" t="s">
        <v>147</v>
      </c>
    </row>
    <row r="1144" spans="2:12" x14ac:dyDescent="0.2">
      <c r="B1144" s="46">
        <v>1139</v>
      </c>
      <c r="C1144" s="426">
        <v>42657</v>
      </c>
      <c r="D1144" s="124">
        <v>0.93402777777777779</v>
      </c>
      <c r="E1144" s="427">
        <v>18.600000000000001</v>
      </c>
      <c r="F1144" s="427">
        <v>23.5</v>
      </c>
      <c r="G1144" s="346">
        <v>24</v>
      </c>
      <c r="H1144" s="361">
        <f t="shared" si="39"/>
        <v>22.033333333333331</v>
      </c>
      <c r="I1144" s="346">
        <v>38</v>
      </c>
      <c r="J1144" t="s">
        <v>38</v>
      </c>
      <c r="K1144" t="s">
        <v>50</v>
      </c>
      <c r="L1144" s="59" t="s">
        <v>147</v>
      </c>
    </row>
    <row r="1145" spans="2:12" x14ac:dyDescent="0.2">
      <c r="B1145" s="46">
        <v>1140</v>
      </c>
      <c r="C1145" s="428">
        <v>42658</v>
      </c>
      <c r="D1145" s="124">
        <v>0.5</v>
      </c>
      <c r="E1145" s="429">
        <v>16.600000000000001</v>
      </c>
      <c r="F1145" s="429">
        <v>17.8</v>
      </c>
      <c r="G1145" s="346">
        <v>19.7</v>
      </c>
      <c r="H1145" s="361">
        <f t="shared" ref="H1145:H1154" si="40">AVERAGE(E1145:G1145)</f>
        <v>18.033333333333335</v>
      </c>
      <c r="I1145" s="346">
        <v>34</v>
      </c>
      <c r="J1145" t="s">
        <v>38</v>
      </c>
      <c r="K1145" t="s">
        <v>57</v>
      </c>
      <c r="L1145" s="59" t="s">
        <v>147</v>
      </c>
    </row>
    <row r="1146" spans="2:12" x14ac:dyDescent="0.2">
      <c r="B1146" s="46">
        <v>1141</v>
      </c>
      <c r="C1146" s="428">
        <v>42658</v>
      </c>
      <c r="D1146" s="124">
        <v>0.93402777777777779</v>
      </c>
      <c r="E1146" s="429">
        <v>14.1</v>
      </c>
      <c r="F1146" s="429">
        <v>17.3</v>
      </c>
      <c r="G1146" s="346">
        <v>16.8</v>
      </c>
      <c r="H1146" s="361">
        <f t="shared" si="40"/>
        <v>16.066666666666666</v>
      </c>
      <c r="I1146" s="346">
        <v>22</v>
      </c>
      <c r="J1146" t="s">
        <v>38</v>
      </c>
      <c r="K1146" t="s">
        <v>50</v>
      </c>
      <c r="L1146" s="59" t="s">
        <v>146</v>
      </c>
    </row>
    <row r="1147" spans="2:12" x14ac:dyDescent="0.2">
      <c r="B1147" s="46">
        <v>1142</v>
      </c>
      <c r="C1147" s="430">
        <v>42659</v>
      </c>
      <c r="D1147" s="124">
        <v>0.51041666666666663</v>
      </c>
      <c r="E1147" s="431">
        <v>13.8</v>
      </c>
      <c r="F1147" s="431">
        <v>16.399999999999999</v>
      </c>
      <c r="G1147" s="346">
        <v>17.5</v>
      </c>
      <c r="H1147" s="361">
        <f t="shared" si="40"/>
        <v>15.9</v>
      </c>
      <c r="I1147" s="346">
        <v>39</v>
      </c>
      <c r="J1147" t="s">
        <v>38</v>
      </c>
      <c r="K1147" t="s">
        <v>57</v>
      </c>
      <c r="L1147" s="59" t="s">
        <v>99</v>
      </c>
    </row>
    <row r="1148" spans="2:12" x14ac:dyDescent="0.2">
      <c r="B1148" s="46">
        <v>1143</v>
      </c>
      <c r="C1148" s="430">
        <v>42659</v>
      </c>
      <c r="D1148" s="124">
        <v>0.93402777777777779</v>
      </c>
      <c r="E1148" s="431">
        <v>15.4</v>
      </c>
      <c r="F1148" s="431">
        <v>18.600000000000001</v>
      </c>
      <c r="G1148" s="346">
        <v>20.399999999999999</v>
      </c>
      <c r="H1148" s="361">
        <f t="shared" si="40"/>
        <v>18.133333333333333</v>
      </c>
      <c r="I1148" s="346">
        <v>32</v>
      </c>
      <c r="J1148" t="s">
        <v>38</v>
      </c>
      <c r="K1148" t="s">
        <v>50</v>
      </c>
      <c r="L1148" s="59" t="s">
        <v>99</v>
      </c>
    </row>
    <row r="1149" spans="2:12" x14ac:dyDescent="0.2">
      <c r="B1149" s="46">
        <v>1144</v>
      </c>
      <c r="C1149" s="432">
        <v>42660</v>
      </c>
      <c r="D1149" s="124">
        <v>0.50694444444444442</v>
      </c>
      <c r="E1149" s="433">
        <v>19.5</v>
      </c>
      <c r="F1149" s="433">
        <v>22.6</v>
      </c>
      <c r="G1149" s="346">
        <v>23.2</v>
      </c>
      <c r="H1149" s="361">
        <f t="shared" si="40"/>
        <v>21.766666666666666</v>
      </c>
      <c r="I1149" s="346">
        <v>31</v>
      </c>
      <c r="J1149" t="s">
        <v>38</v>
      </c>
      <c r="K1149" t="s">
        <v>62</v>
      </c>
      <c r="L1149" s="59" t="s">
        <v>99</v>
      </c>
    </row>
    <row r="1150" spans="2:12" x14ac:dyDescent="0.2">
      <c r="B1150" s="46">
        <v>1145</v>
      </c>
      <c r="C1150" s="432">
        <v>42660</v>
      </c>
      <c r="D1150" s="124">
        <v>0.93055555555555547</v>
      </c>
      <c r="E1150" s="433">
        <v>13.4</v>
      </c>
      <c r="F1150" s="433">
        <v>18.399999999999999</v>
      </c>
      <c r="G1150" s="346">
        <v>21</v>
      </c>
      <c r="H1150" s="361">
        <f t="shared" si="40"/>
        <v>17.599999999999998</v>
      </c>
      <c r="I1150" s="346">
        <v>28</v>
      </c>
      <c r="J1150" t="s">
        <v>38</v>
      </c>
      <c r="K1150" t="s">
        <v>50</v>
      </c>
      <c r="L1150" s="59" t="s">
        <v>99</v>
      </c>
    </row>
    <row r="1151" spans="2:12" x14ac:dyDescent="0.2">
      <c r="B1151" s="46">
        <v>1146</v>
      </c>
      <c r="C1151" s="435">
        <v>42661</v>
      </c>
      <c r="D1151" s="124">
        <v>0.51388888888888895</v>
      </c>
      <c r="E1151" s="436">
        <v>20.399999999999999</v>
      </c>
      <c r="F1151" s="436">
        <v>20.8</v>
      </c>
      <c r="G1151" s="346">
        <v>21.3</v>
      </c>
      <c r="H1151" s="361">
        <f t="shared" si="40"/>
        <v>20.833333333333332</v>
      </c>
      <c r="I1151" s="346">
        <v>39</v>
      </c>
      <c r="J1151" t="s">
        <v>38</v>
      </c>
      <c r="K1151" t="s">
        <v>57</v>
      </c>
      <c r="L1151" s="59" t="s">
        <v>99</v>
      </c>
    </row>
    <row r="1152" spans="2:12" x14ac:dyDescent="0.2">
      <c r="B1152" s="46">
        <v>1147</v>
      </c>
      <c r="C1152" s="435">
        <v>42661</v>
      </c>
      <c r="D1152" s="124">
        <v>0.92708333333333337</v>
      </c>
      <c r="E1152" s="436">
        <v>14.7</v>
      </c>
      <c r="F1152" s="436">
        <v>17.8</v>
      </c>
      <c r="G1152" s="346">
        <v>18.2</v>
      </c>
      <c r="H1152" s="361">
        <f t="shared" si="40"/>
        <v>16.900000000000002</v>
      </c>
      <c r="I1152" s="346">
        <v>24</v>
      </c>
      <c r="J1152" t="s">
        <v>38</v>
      </c>
      <c r="K1152" t="s">
        <v>50</v>
      </c>
      <c r="L1152" s="59" t="s">
        <v>99</v>
      </c>
    </row>
    <row r="1153" spans="2:12" x14ac:dyDescent="0.2">
      <c r="B1153" s="46">
        <v>1148</v>
      </c>
      <c r="C1153" s="438">
        <v>42662</v>
      </c>
      <c r="D1153" s="124">
        <v>0.51041666666666663</v>
      </c>
      <c r="E1153" s="439">
        <v>12.7</v>
      </c>
      <c r="F1153" s="439">
        <v>16.8</v>
      </c>
      <c r="G1153" s="346">
        <v>19.5</v>
      </c>
      <c r="H1153" s="361">
        <f t="shared" si="40"/>
        <v>16.333333333333332</v>
      </c>
      <c r="I1153" s="346">
        <v>30</v>
      </c>
      <c r="J1153" t="s">
        <v>38</v>
      </c>
      <c r="K1153" t="s">
        <v>57</v>
      </c>
      <c r="L1153" s="59" t="s">
        <v>99</v>
      </c>
    </row>
    <row r="1154" spans="2:12" x14ac:dyDescent="0.2">
      <c r="B1154" s="46">
        <v>1149</v>
      </c>
      <c r="C1154" s="438">
        <v>42662</v>
      </c>
      <c r="D1154" s="124">
        <v>0.85069444444444453</v>
      </c>
      <c r="E1154" s="439">
        <v>14.7</v>
      </c>
      <c r="F1154" s="439">
        <v>15.6</v>
      </c>
      <c r="G1154" s="346">
        <v>16.7</v>
      </c>
      <c r="H1154" s="361">
        <f t="shared" si="40"/>
        <v>15.666666666666666</v>
      </c>
      <c r="I1154" s="346">
        <v>44</v>
      </c>
      <c r="J1154" t="s">
        <v>38</v>
      </c>
      <c r="K1154" t="s">
        <v>50</v>
      </c>
      <c r="L1154" s="59" t="s">
        <v>99</v>
      </c>
    </row>
    <row r="1155" spans="2:12" x14ac:dyDescent="0.2">
      <c r="B1155" s="46">
        <v>1150</v>
      </c>
      <c r="C1155" s="440">
        <v>42663</v>
      </c>
      <c r="D1155" s="124">
        <v>0.55208333333333337</v>
      </c>
      <c r="E1155" s="441">
        <v>17.899999999999999</v>
      </c>
      <c r="F1155" s="441">
        <v>18.399999999999999</v>
      </c>
      <c r="G1155" s="346">
        <v>19.399999999999999</v>
      </c>
      <c r="H1155" s="361">
        <f>AVERAGE(E1155:G1155)</f>
        <v>18.566666666666666</v>
      </c>
      <c r="I1155" s="346">
        <v>32</v>
      </c>
      <c r="J1155" t="s">
        <v>38</v>
      </c>
      <c r="K1155" t="s">
        <v>57</v>
      </c>
      <c r="L1155" s="59" t="s">
        <v>99</v>
      </c>
    </row>
    <row r="1156" spans="2:12" x14ac:dyDescent="0.2">
      <c r="B1156" s="46">
        <v>1151</v>
      </c>
      <c r="C1156" s="440">
        <v>42663</v>
      </c>
      <c r="D1156" s="124">
        <v>0.92361111111111116</v>
      </c>
      <c r="E1156" s="441">
        <v>11.8</v>
      </c>
      <c r="F1156" s="441">
        <v>12.4</v>
      </c>
      <c r="G1156" s="346">
        <v>14.1</v>
      </c>
      <c r="H1156" s="361">
        <f>AVERAGE(E1156:G1156)</f>
        <v>12.766666666666667</v>
      </c>
      <c r="I1156" s="346">
        <v>28</v>
      </c>
      <c r="J1156" t="s">
        <v>38</v>
      </c>
      <c r="K1156" t="s">
        <v>50</v>
      </c>
      <c r="L1156" s="59" t="s">
        <v>99</v>
      </c>
    </row>
    <row r="1157" spans="2:12" x14ac:dyDescent="0.2">
      <c r="B1157" s="46">
        <v>1152</v>
      </c>
      <c r="C1157" s="442">
        <v>42664</v>
      </c>
      <c r="D1157" s="124">
        <v>0.48958333333333331</v>
      </c>
      <c r="E1157" s="443">
        <v>17.899999999999999</v>
      </c>
      <c r="F1157" s="443">
        <v>19.3</v>
      </c>
      <c r="G1157" s="346">
        <v>21</v>
      </c>
      <c r="H1157" s="361">
        <f t="shared" ref="H1157:H1164" si="41">AVERAGE(E1157:G1157)</f>
        <v>19.400000000000002</v>
      </c>
      <c r="I1157" s="346">
        <v>29</v>
      </c>
      <c r="J1157" t="s">
        <v>38</v>
      </c>
      <c r="K1157" t="s">
        <v>57</v>
      </c>
      <c r="L1157" s="59" t="s">
        <v>99</v>
      </c>
    </row>
    <row r="1158" spans="2:12" x14ac:dyDescent="0.2">
      <c r="B1158" s="46">
        <v>1153</v>
      </c>
      <c r="C1158" s="442">
        <v>42664</v>
      </c>
      <c r="D1158" s="124">
        <v>0.84722222222222221</v>
      </c>
      <c r="E1158" s="443">
        <v>13.7</v>
      </c>
      <c r="F1158" s="443">
        <v>15.9</v>
      </c>
      <c r="G1158" s="346">
        <v>15.3</v>
      </c>
      <c r="H1158" s="361">
        <f t="shared" si="41"/>
        <v>14.966666666666669</v>
      </c>
      <c r="I1158" s="346">
        <v>39</v>
      </c>
      <c r="J1158" t="s">
        <v>38</v>
      </c>
      <c r="K1158" t="s">
        <v>50</v>
      </c>
      <c r="L1158" s="59" t="s">
        <v>99</v>
      </c>
    </row>
    <row r="1159" spans="2:12" x14ac:dyDescent="0.2">
      <c r="B1159" s="46">
        <v>1154</v>
      </c>
      <c r="C1159" s="444">
        <v>42665</v>
      </c>
      <c r="D1159" s="124">
        <v>0.4513888888888889</v>
      </c>
      <c r="E1159" s="445">
        <v>16.3</v>
      </c>
      <c r="F1159" s="445">
        <v>17.899999999999999</v>
      </c>
      <c r="G1159" s="346">
        <v>17.899999999999999</v>
      </c>
      <c r="H1159" s="361">
        <f t="shared" si="41"/>
        <v>17.366666666666667</v>
      </c>
      <c r="I1159" s="346">
        <v>38</v>
      </c>
      <c r="J1159" t="s">
        <v>38</v>
      </c>
      <c r="K1159" t="s">
        <v>57</v>
      </c>
      <c r="L1159" s="59" t="s">
        <v>99</v>
      </c>
    </row>
    <row r="1160" spans="2:12" x14ac:dyDescent="0.2">
      <c r="B1160" s="46">
        <v>1155</v>
      </c>
      <c r="C1160" s="444">
        <v>42665</v>
      </c>
      <c r="D1160" s="124">
        <v>0.92361111111111116</v>
      </c>
      <c r="E1160" s="445">
        <v>10.199999999999999</v>
      </c>
      <c r="F1160" s="445">
        <v>12.5</v>
      </c>
      <c r="G1160" s="346">
        <v>13.6</v>
      </c>
      <c r="H1160" s="361">
        <f t="shared" si="41"/>
        <v>12.1</v>
      </c>
      <c r="I1160" s="346">
        <v>29</v>
      </c>
      <c r="J1160" t="s">
        <v>38</v>
      </c>
      <c r="K1160" t="s">
        <v>61</v>
      </c>
      <c r="L1160" s="59" t="s">
        <v>100</v>
      </c>
    </row>
    <row r="1161" spans="2:12" x14ac:dyDescent="0.2">
      <c r="B1161" s="46">
        <v>1156</v>
      </c>
      <c r="C1161" s="446">
        <v>42666</v>
      </c>
      <c r="D1161" s="124">
        <v>0.51041666666666663</v>
      </c>
      <c r="E1161" s="447">
        <v>17.3</v>
      </c>
      <c r="F1161" s="447">
        <v>19.3</v>
      </c>
      <c r="G1161" s="346">
        <v>19.7</v>
      </c>
      <c r="H1161" s="361">
        <f t="shared" si="41"/>
        <v>18.766666666666666</v>
      </c>
      <c r="I1161" s="346">
        <v>38</v>
      </c>
      <c r="J1161" t="s">
        <v>38</v>
      </c>
      <c r="K1161" t="s">
        <v>62</v>
      </c>
      <c r="L1161" s="59" t="s">
        <v>99</v>
      </c>
    </row>
    <row r="1162" spans="2:12" x14ac:dyDescent="0.2">
      <c r="B1162" s="46">
        <v>1157</v>
      </c>
      <c r="C1162" s="446">
        <v>42666</v>
      </c>
      <c r="D1162" s="124">
        <v>0.92708333333333337</v>
      </c>
      <c r="E1162" s="447">
        <v>14.2</v>
      </c>
      <c r="F1162" s="447">
        <v>16.100000000000001</v>
      </c>
      <c r="G1162" s="346">
        <v>17.600000000000001</v>
      </c>
      <c r="H1162" s="361">
        <f t="shared" si="41"/>
        <v>15.966666666666669</v>
      </c>
      <c r="I1162" s="346">
        <v>32</v>
      </c>
      <c r="J1162" t="s">
        <v>38</v>
      </c>
      <c r="K1162" t="s">
        <v>50</v>
      </c>
      <c r="L1162" s="59" t="s">
        <v>100</v>
      </c>
    </row>
    <row r="1163" spans="2:12" x14ac:dyDescent="0.2">
      <c r="B1163" s="46">
        <v>1158</v>
      </c>
      <c r="C1163" s="448">
        <v>42667</v>
      </c>
      <c r="D1163" s="124">
        <v>0.60416666666666663</v>
      </c>
      <c r="E1163" s="449">
        <v>15.4</v>
      </c>
      <c r="F1163" s="449">
        <v>16.2</v>
      </c>
      <c r="G1163" s="346">
        <v>19.3</v>
      </c>
      <c r="H1163" s="361">
        <f t="shared" si="41"/>
        <v>16.966666666666669</v>
      </c>
      <c r="I1163" s="346">
        <v>34</v>
      </c>
      <c r="J1163" t="s">
        <v>38</v>
      </c>
      <c r="K1163" t="s">
        <v>62</v>
      </c>
      <c r="L1163" s="59" t="s">
        <v>99</v>
      </c>
    </row>
    <row r="1164" spans="2:12" x14ac:dyDescent="0.2">
      <c r="B1164" s="46">
        <v>1159</v>
      </c>
      <c r="C1164" s="448">
        <v>42667</v>
      </c>
      <c r="D1164" s="124">
        <v>0.92361111111111116</v>
      </c>
      <c r="E1164" s="449">
        <v>12.3</v>
      </c>
      <c r="F1164" s="449">
        <v>13.6</v>
      </c>
      <c r="G1164" s="346">
        <v>17.2</v>
      </c>
      <c r="H1164" s="361">
        <f t="shared" si="41"/>
        <v>14.366666666666665</v>
      </c>
      <c r="I1164" s="346">
        <v>29</v>
      </c>
      <c r="J1164" t="s">
        <v>38</v>
      </c>
      <c r="K1164" t="s">
        <v>50</v>
      </c>
      <c r="L1164" s="59" t="s">
        <v>99</v>
      </c>
    </row>
    <row r="1165" spans="2:12" x14ac:dyDescent="0.2">
      <c r="B1165" s="46">
        <v>1160</v>
      </c>
      <c r="C1165" s="450">
        <v>42670</v>
      </c>
      <c r="D1165" s="124">
        <v>0.67708333333333337</v>
      </c>
      <c r="E1165" s="451">
        <v>19.8</v>
      </c>
      <c r="F1165" s="451">
        <v>20.2</v>
      </c>
      <c r="G1165" s="346">
        <v>23.3</v>
      </c>
      <c r="H1165" s="361">
        <f>AVERAGE(E1165:G1165)</f>
        <v>21.099999999999998</v>
      </c>
      <c r="I1165" s="346">
        <v>34</v>
      </c>
      <c r="J1165" t="s">
        <v>38</v>
      </c>
      <c r="K1165" t="s">
        <v>62</v>
      </c>
      <c r="L1165" s="59" t="s">
        <v>99</v>
      </c>
    </row>
    <row r="1166" spans="2:12" x14ac:dyDescent="0.2">
      <c r="B1166" s="46">
        <v>1161</v>
      </c>
      <c r="C1166" s="450">
        <v>42670</v>
      </c>
      <c r="D1166" s="124">
        <v>1.0416666666666666E-2</v>
      </c>
      <c r="E1166" s="451">
        <v>13.8</v>
      </c>
      <c r="F1166" s="451">
        <v>16.2</v>
      </c>
      <c r="G1166" s="346">
        <v>17.399999999999999</v>
      </c>
      <c r="H1166" s="361">
        <f>AVERAGE(E1166:G1166)</f>
        <v>15.799999999999999</v>
      </c>
      <c r="I1166" s="346">
        <v>30</v>
      </c>
      <c r="J1166" t="s">
        <v>38</v>
      </c>
      <c r="K1166" t="s">
        <v>50</v>
      </c>
      <c r="L1166" s="59" t="s">
        <v>99</v>
      </c>
    </row>
    <row r="1167" spans="2:12" x14ac:dyDescent="0.2">
      <c r="B1167" s="46">
        <v>1162</v>
      </c>
      <c r="C1167" s="452">
        <v>42671</v>
      </c>
      <c r="D1167" s="124">
        <v>0.48958333333333331</v>
      </c>
      <c r="E1167" s="453">
        <v>16.5</v>
      </c>
      <c r="F1167" s="453">
        <v>16.5</v>
      </c>
      <c r="G1167" s="346">
        <v>19.8</v>
      </c>
      <c r="H1167" s="361">
        <f t="shared" ref="H1167:H1178" si="42">AVERAGE(E1167:G1167)</f>
        <v>17.599999999999998</v>
      </c>
      <c r="I1167" s="346">
        <v>38</v>
      </c>
      <c r="J1167" t="s">
        <v>38</v>
      </c>
      <c r="K1167" t="s">
        <v>62</v>
      </c>
      <c r="L1167" s="59" t="s">
        <v>99</v>
      </c>
    </row>
    <row r="1168" spans="2:12" x14ac:dyDescent="0.2">
      <c r="B1168" s="46">
        <v>1163</v>
      </c>
      <c r="C1168" s="452">
        <v>42671</v>
      </c>
      <c r="D1168" s="124">
        <v>6.9444444444444441E-3</v>
      </c>
      <c r="E1168" s="453">
        <v>18.8</v>
      </c>
      <c r="F1168" s="453">
        <v>19.899999999999999</v>
      </c>
      <c r="G1168" s="346">
        <v>22.3</v>
      </c>
      <c r="H1168" s="361">
        <f t="shared" si="42"/>
        <v>20.333333333333332</v>
      </c>
      <c r="I1168" s="346">
        <v>38</v>
      </c>
      <c r="J1168" t="s">
        <v>38</v>
      </c>
      <c r="K1168" t="s">
        <v>50</v>
      </c>
      <c r="L1168" s="59" t="s">
        <v>99</v>
      </c>
    </row>
    <row r="1169" spans="2:12" x14ac:dyDescent="0.2">
      <c r="B1169" s="46">
        <v>1164</v>
      </c>
      <c r="C1169" s="454">
        <v>42672</v>
      </c>
      <c r="D1169" s="124">
        <v>0.49652777777777773</v>
      </c>
      <c r="E1169" s="455">
        <v>17.5</v>
      </c>
      <c r="F1169" s="455">
        <v>18.899999999999999</v>
      </c>
      <c r="G1169" s="346">
        <v>19.399999999999999</v>
      </c>
      <c r="H1169" s="361">
        <f t="shared" si="42"/>
        <v>18.599999999999998</v>
      </c>
      <c r="I1169" s="346">
        <v>36</v>
      </c>
      <c r="J1169" t="s">
        <v>38</v>
      </c>
      <c r="K1169" t="s">
        <v>57</v>
      </c>
      <c r="L1169" s="59" t="s">
        <v>99</v>
      </c>
    </row>
    <row r="1170" spans="2:12" x14ac:dyDescent="0.2">
      <c r="B1170" s="46">
        <v>1165</v>
      </c>
      <c r="C1170" s="454">
        <v>42672</v>
      </c>
      <c r="D1170" s="124">
        <v>0.92708333333333337</v>
      </c>
      <c r="E1170" s="455">
        <v>18.8</v>
      </c>
      <c r="F1170" s="455">
        <v>19.3</v>
      </c>
      <c r="G1170" s="346">
        <v>20.399999999999999</v>
      </c>
      <c r="H1170" s="361">
        <f t="shared" si="42"/>
        <v>19.5</v>
      </c>
      <c r="I1170" s="346">
        <v>28</v>
      </c>
      <c r="J1170" t="s">
        <v>38</v>
      </c>
      <c r="K1170" t="s">
        <v>61</v>
      </c>
      <c r="L1170" s="59" t="s">
        <v>99</v>
      </c>
    </row>
    <row r="1171" spans="2:12" x14ac:dyDescent="0.2">
      <c r="B1171" s="46">
        <v>1166</v>
      </c>
      <c r="C1171" s="457">
        <v>42673</v>
      </c>
      <c r="D1171" s="124">
        <v>0.66666666666666663</v>
      </c>
      <c r="E1171" s="458">
        <v>16.7</v>
      </c>
      <c r="F1171" s="458">
        <v>19.899999999999999</v>
      </c>
      <c r="G1171" s="346">
        <v>21.4</v>
      </c>
      <c r="H1171" s="361">
        <f t="shared" si="42"/>
        <v>19.333333333333332</v>
      </c>
      <c r="I1171" s="346">
        <v>43</v>
      </c>
      <c r="J1171" t="s">
        <v>38</v>
      </c>
      <c r="K1171" t="s">
        <v>62</v>
      </c>
      <c r="L1171" s="59" t="s">
        <v>99</v>
      </c>
    </row>
    <row r="1172" spans="2:12" x14ac:dyDescent="0.2">
      <c r="B1172" s="46">
        <v>1167</v>
      </c>
      <c r="C1172" s="457">
        <v>42674</v>
      </c>
      <c r="D1172" s="124">
        <v>2.0833333333333332E-2</v>
      </c>
      <c r="E1172" s="458">
        <v>18.2</v>
      </c>
      <c r="F1172" s="458">
        <v>19.600000000000001</v>
      </c>
      <c r="G1172" s="346">
        <v>20.8</v>
      </c>
      <c r="H1172" s="361">
        <f t="shared" si="42"/>
        <v>19.533333333333331</v>
      </c>
      <c r="I1172" s="346">
        <v>41</v>
      </c>
      <c r="J1172" t="s">
        <v>38</v>
      </c>
      <c r="K1172" t="s">
        <v>50</v>
      </c>
      <c r="L1172" s="59" t="s">
        <v>99</v>
      </c>
    </row>
    <row r="1173" spans="2:12" x14ac:dyDescent="0.2">
      <c r="B1173" s="46">
        <v>1168</v>
      </c>
      <c r="C1173" s="459">
        <v>42674</v>
      </c>
      <c r="D1173" s="124">
        <v>0.55208333333333337</v>
      </c>
      <c r="E1173" s="460">
        <v>16.3</v>
      </c>
      <c r="F1173" s="460">
        <v>18.399999999999999</v>
      </c>
      <c r="G1173" s="346">
        <v>20</v>
      </c>
      <c r="H1173" s="361">
        <f t="shared" si="42"/>
        <v>18.233333333333334</v>
      </c>
      <c r="I1173" s="346">
        <v>32</v>
      </c>
      <c r="J1173" t="s">
        <v>38</v>
      </c>
      <c r="K1173" t="s">
        <v>62</v>
      </c>
      <c r="L1173" s="59" t="s">
        <v>99</v>
      </c>
    </row>
    <row r="1174" spans="2:12" x14ac:dyDescent="0.2">
      <c r="B1174" s="46">
        <v>1169</v>
      </c>
      <c r="C1174" s="459">
        <v>42674</v>
      </c>
      <c r="D1174" s="124">
        <v>0.88541666666666663</v>
      </c>
      <c r="E1174" s="460">
        <v>15.9</v>
      </c>
      <c r="F1174" s="460">
        <v>17.600000000000001</v>
      </c>
      <c r="G1174" s="346">
        <v>20.9</v>
      </c>
      <c r="H1174" s="361">
        <f t="shared" si="42"/>
        <v>18.133333333333333</v>
      </c>
      <c r="I1174" s="346">
        <v>36</v>
      </c>
      <c r="J1174" t="s">
        <v>38</v>
      </c>
      <c r="K1174" t="s">
        <v>50</v>
      </c>
      <c r="L1174" s="59" t="s">
        <v>99</v>
      </c>
    </row>
    <row r="1175" spans="2:12" x14ac:dyDescent="0.2">
      <c r="B1175" s="46">
        <v>1170</v>
      </c>
      <c r="C1175" s="462">
        <v>42675</v>
      </c>
      <c r="D1175" s="124">
        <v>0.59027777777777779</v>
      </c>
      <c r="E1175" s="463">
        <v>17.8</v>
      </c>
      <c r="F1175" s="463">
        <v>19.399999999999999</v>
      </c>
      <c r="G1175" s="346">
        <v>21.5</v>
      </c>
      <c r="H1175" s="361">
        <f t="shared" si="42"/>
        <v>19.566666666666666</v>
      </c>
      <c r="I1175" s="346">
        <v>39</v>
      </c>
      <c r="J1175" t="s">
        <v>38</v>
      </c>
      <c r="K1175" t="s">
        <v>62</v>
      </c>
      <c r="L1175" s="59" t="s">
        <v>99</v>
      </c>
    </row>
    <row r="1176" spans="2:12" x14ac:dyDescent="0.2">
      <c r="B1176" s="46">
        <v>1171</v>
      </c>
      <c r="C1176" s="462">
        <v>42676</v>
      </c>
      <c r="D1176" s="124">
        <v>2.0833333333333332E-2</v>
      </c>
      <c r="E1176" s="463">
        <v>18.7</v>
      </c>
      <c r="F1176" s="463">
        <v>19.7</v>
      </c>
      <c r="G1176" s="346">
        <v>24.2</v>
      </c>
      <c r="H1176" s="361">
        <f t="shared" si="42"/>
        <v>20.866666666666664</v>
      </c>
      <c r="I1176" s="346">
        <v>28</v>
      </c>
      <c r="J1176" t="s">
        <v>38</v>
      </c>
      <c r="K1176" t="s">
        <v>50</v>
      </c>
      <c r="L1176" s="59" t="s">
        <v>99</v>
      </c>
    </row>
    <row r="1177" spans="2:12" x14ac:dyDescent="0.2">
      <c r="B1177" s="46">
        <v>1172</v>
      </c>
      <c r="C1177" s="464">
        <v>42677</v>
      </c>
      <c r="D1177" s="124">
        <v>0.59722222222222221</v>
      </c>
      <c r="E1177" s="465">
        <v>20.9</v>
      </c>
      <c r="F1177" s="465">
        <v>21.7</v>
      </c>
      <c r="G1177" s="346">
        <v>22.6</v>
      </c>
      <c r="H1177" s="361">
        <f t="shared" si="42"/>
        <v>21.733333333333331</v>
      </c>
      <c r="I1177" s="346">
        <v>37</v>
      </c>
      <c r="J1177" t="s">
        <v>38</v>
      </c>
      <c r="K1177" t="s">
        <v>57</v>
      </c>
      <c r="L1177" s="59" t="s">
        <v>100</v>
      </c>
    </row>
    <row r="1178" spans="2:12" x14ac:dyDescent="0.2">
      <c r="B1178" s="46">
        <v>1173</v>
      </c>
      <c r="C1178" s="464">
        <v>42677</v>
      </c>
      <c r="D1178" s="124">
        <v>6.25E-2</v>
      </c>
      <c r="E1178" s="465">
        <v>16</v>
      </c>
      <c r="F1178" s="465">
        <v>20.6</v>
      </c>
      <c r="G1178" s="346">
        <v>22.2</v>
      </c>
      <c r="H1178" s="361">
        <f t="shared" si="42"/>
        <v>19.599999999999998</v>
      </c>
      <c r="I1178" s="346">
        <v>32</v>
      </c>
      <c r="J1178" t="s">
        <v>38</v>
      </c>
      <c r="K1178" t="s">
        <v>61</v>
      </c>
      <c r="L1178" s="59" t="s">
        <v>99</v>
      </c>
    </row>
    <row r="1179" spans="2:12" x14ac:dyDescent="0.2">
      <c r="B1179" s="46">
        <v>1174</v>
      </c>
      <c r="C1179" s="466">
        <v>42677</v>
      </c>
      <c r="D1179" s="124">
        <v>0.61111111111111105</v>
      </c>
      <c r="E1179" s="467">
        <v>17.3</v>
      </c>
      <c r="F1179" s="467">
        <v>19.600000000000001</v>
      </c>
      <c r="G1179" s="346">
        <v>23.3</v>
      </c>
      <c r="H1179" s="361">
        <f>AVERAGE(E1179:G1179)</f>
        <v>20.066666666666666</v>
      </c>
      <c r="I1179" s="346">
        <v>32</v>
      </c>
      <c r="J1179" t="s">
        <v>38</v>
      </c>
      <c r="K1179" t="s">
        <v>61</v>
      </c>
      <c r="L1179" s="59" t="s">
        <v>99</v>
      </c>
    </row>
    <row r="1180" spans="2:12" x14ac:dyDescent="0.2">
      <c r="B1180" s="46">
        <v>1175</v>
      </c>
      <c r="C1180" s="466">
        <v>42678</v>
      </c>
      <c r="D1180" s="124">
        <v>5.2083333333333336E-2</v>
      </c>
      <c r="E1180" s="467">
        <v>16.399999999999999</v>
      </c>
      <c r="F1180" s="467">
        <v>17.5</v>
      </c>
      <c r="G1180" s="346">
        <v>18.8</v>
      </c>
      <c r="H1180" s="361">
        <f>AVERAGE(E1180:G1180)</f>
        <v>17.566666666666666</v>
      </c>
      <c r="I1180" s="346">
        <v>30</v>
      </c>
      <c r="J1180" t="s">
        <v>38</v>
      </c>
      <c r="K1180" t="s">
        <v>61</v>
      </c>
      <c r="L1180" s="59" t="s">
        <v>99</v>
      </c>
    </row>
    <row r="1181" spans="2:12" x14ac:dyDescent="0.2">
      <c r="B1181" s="46">
        <v>1176</v>
      </c>
      <c r="C1181" s="469">
        <v>42679</v>
      </c>
      <c r="D1181" s="124">
        <v>0.3576388888888889</v>
      </c>
      <c r="E1181" s="470">
        <v>17.100000000000001</v>
      </c>
      <c r="F1181" s="470">
        <v>17.5</v>
      </c>
      <c r="G1181" s="346">
        <v>18</v>
      </c>
      <c r="H1181" s="361">
        <f>AVERAGE(E1181:G1181)</f>
        <v>17.533333333333335</v>
      </c>
      <c r="I1181" s="346">
        <v>36</v>
      </c>
      <c r="J1181" t="s">
        <v>38</v>
      </c>
      <c r="K1181" t="s">
        <v>61</v>
      </c>
      <c r="L1181" s="59" t="s">
        <v>99</v>
      </c>
    </row>
    <row r="1182" spans="2:12" x14ac:dyDescent="0.2">
      <c r="B1182" s="46">
        <v>1177</v>
      </c>
      <c r="C1182" s="469">
        <v>42680</v>
      </c>
      <c r="D1182" s="124">
        <v>1.3888888888888888E-2</v>
      </c>
      <c r="E1182" s="470">
        <v>16.399999999999999</v>
      </c>
      <c r="F1182" s="470">
        <v>17.2</v>
      </c>
      <c r="G1182" s="346">
        <v>19.7</v>
      </c>
      <c r="H1182" s="361">
        <f>AVERAGE(E1182:G1182)</f>
        <v>17.766666666666666</v>
      </c>
      <c r="I1182" s="346">
        <v>29</v>
      </c>
      <c r="J1182" t="s">
        <v>38</v>
      </c>
      <c r="K1182" t="s">
        <v>61</v>
      </c>
      <c r="L1182" s="59" t="s">
        <v>99</v>
      </c>
    </row>
    <row r="1183" spans="2:12" x14ac:dyDescent="0.2">
      <c r="B1183" s="46">
        <v>1178</v>
      </c>
      <c r="C1183" s="471">
        <v>42681</v>
      </c>
      <c r="D1183" s="124">
        <v>0.4236111111111111</v>
      </c>
      <c r="E1183" s="472">
        <v>19.3</v>
      </c>
      <c r="F1183" s="472">
        <v>20.7</v>
      </c>
      <c r="G1183" s="346">
        <v>21.3</v>
      </c>
      <c r="H1183" s="361">
        <f>AVERAGE(E1183:G1183)</f>
        <v>20.433333333333334</v>
      </c>
      <c r="I1183" s="346">
        <v>28</v>
      </c>
      <c r="J1183" t="s">
        <v>38</v>
      </c>
      <c r="K1183" t="s">
        <v>61</v>
      </c>
      <c r="L1183" s="59" t="s">
        <v>149</v>
      </c>
    </row>
    <row r="1184" spans="2:12" x14ac:dyDescent="0.2">
      <c r="B1184" s="46">
        <v>1179</v>
      </c>
      <c r="C1184" s="473">
        <v>42681</v>
      </c>
      <c r="D1184" s="124">
        <v>0.4236111111111111</v>
      </c>
      <c r="E1184" s="474">
        <v>18.2</v>
      </c>
      <c r="F1184" s="474">
        <v>18.899999999999999</v>
      </c>
      <c r="G1184" s="346">
        <v>19.600000000000001</v>
      </c>
      <c r="H1184" s="361">
        <f t="shared" ref="H1184:H1192" si="43">AVERAGE(E1184:G1184)</f>
        <v>18.899999999999999</v>
      </c>
      <c r="I1184" s="346">
        <v>23</v>
      </c>
      <c r="J1184" t="s">
        <v>38</v>
      </c>
      <c r="K1184" t="s">
        <v>61</v>
      </c>
      <c r="L1184" s="59" t="s">
        <v>150</v>
      </c>
    </row>
    <row r="1185" spans="2:12" x14ac:dyDescent="0.2">
      <c r="B1185" s="46">
        <v>1180</v>
      </c>
      <c r="C1185" s="481">
        <v>42712</v>
      </c>
      <c r="D1185" s="124">
        <v>0.34027777777777773</v>
      </c>
      <c r="E1185" s="480">
        <v>16.8</v>
      </c>
      <c r="F1185" s="480">
        <v>17.600000000000001</v>
      </c>
      <c r="G1185" s="346">
        <v>18.3</v>
      </c>
      <c r="H1185" s="361">
        <f t="shared" si="43"/>
        <v>17.566666666666666</v>
      </c>
      <c r="I1185" s="346">
        <v>27.5</v>
      </c>
      <c r="J1185" t="s">
        <v>38</v>
      </c>
      <c r="K1185" t="s">
        <v>62</v>
      </c>
      <c r="L1185" s="59" t="s">
        <v>99</v>
      </c>
    </row>
    <row r="1186" spans="2:12" x14ac:dyDescent="0.2">
      <c r="B1186" s="46">
        <v>1181</v>
      </c>
      <c r="C1186" s="481">
        <v>42712</v>
      </c>
      <c r="D1186" s="124">
        <v>0.50694444444444442</v>
      </c>
      <c r="E1186" s="480">
        <v>15.2</v>
      </c>
      <c r="F1186" s="480">
        <v>16.5</v>
      </c>
      <c r="G1186" s="346">
        <v>17.600000000000001</v>
      </c>
      <c r="H1186" s="361">
        <f t="shared" si="43"/>
        <v>16.433333333333334</v>
      </c>
      <c r="I1186" s="346">
        <v>30</v>
      </c>
      <c r="J1186" t="s">
        <v>38</v>
      </c>
      <c r="K1186" t="s">
        <v>57</v>
      </c>
      <c r="L1186" s="59" t="s">
        <v>99</v>
      </c>
    </row>
    <row r="1187" spans="2:12" x14ac:dyDescent="0.2">
      <c r="B1187" s="46">
        <v>1182</v>
      </c>
      <c r="C1187" s="481">
        <v>42712</v>
      </c>
      <c r="D1187" s="124">
        <v>0.99305555555555547</v>
      </c>
      <c r="E1187" s="480">
        <v>14.2</v>
      </c>
      <c r="F1187" s="480">
        <v>15.9</v>
      </c>
      <c r="G1187" s="346">
        <v>18.600000000000001</v>
      </c>
      <c r="H1187" s="361">
        <f t="shared" si="43"/>
        <v>16.233333333333334</v>
      </c>
      <c r="I1187" s="346">
        <v>38</v>
      </c>
      <c r="J1187" t="s">
        <v>38</v>
      </c>
      <c r="K1187" t="s">
        <v>50</v>
      </c>
      <c r="L1187" s="59" t="s">
        <v>99</v>
      </c>
    </row>
    <row r="1188" spans="2:12" x14ac:dyDescent="0.2">
      <c r="B1188" s="46">
        <v>1183</v>
      </c>
      <c r="C1188" s="481">
        <v>42713</v>
      </c>
      <c r="D1188" s="124">
        <v>23.5</v>
      </c>
      <c r="E1188" s="480">
        <v>17.7</v>
      </c>
      <c r="F1188" s="480">
        <v>19.3</v>
      </c>
      <c r="G1188" s="346">
        <v>21.1</v>
      </c>
      <c r="H1188" s="361">
        <f t="shared" si="43"/>
        <v>19.366666666666667</v>
      </c>
      <c r="I1188" s="346">
        <v>26</v>
      </c>
      <c r="J1188" t="s">
        <v>38</v>
      </c>
      <c r="K1188" t="s">
        <v>50</v>
      </c>
      <c r="L1188" s="59" t="s">
        <v>99</v>
      </c>
    </row>
    <row r="1189" spans="2:12" x14ac:dyDescent="0.2">
      <c r="B1189" s="46">
        <v>1184</v>
      </c>
      <c r="C1189" s="481">
        <v>42714</v>
      </c>
      <c r="D1189" s="124">
        <v>0.55555555555555558</v>
      </c>
      <c r="E1189" s="480">
        <v>16.399999999999999</v>
      </c>
      <c r="F1189" s="480">
        <v>17.600000000000001</v>
      </c>
      <c r="G1189" s="346">
        <v>18.2</v>
      </c>
      <c r="H1189" s="361">
        <f t="shared" si="43"/>
        <v>17.400000000000002</v>
      </c>
      <c r="I1189" s="346">
        <v>30</v>
      </c>
      <c r="J1189" t="s">
        <v>38</v>
      </c>
      <c r="K1189" t="s">
        <v>62</v>
      </c>
      <c r="L1189" s="59" t="s">
        <v>99</v>
      </c>
    </row>
    <row r="1190" spans="2:12" x14ac:dyDescent="0.2">
      <c r="B1190" s="46">
        <v>1185</v>
      </c>
      <c r="C1190" s="481">
        <v>42714</v>
      </c>
      <c r="D1190" s="124">
        <v>0.98958333333333337</v>
      </c>
      <c r="E1190" s="480">
        <v>16</v>
      </c>
      <c r="F1190" s="480">
        <v>17.8</v>
      </c>
      <c r="G1190" s="346">
        <v>21.5</v>
      </c>
      <c r="H1190" s="361">
        <f t="shared" si="43"/>
        <v>18.433333333333334</v>
      </c>
      <c r="I1190" s="346">
        <v>36</v>
      </c>
      <c r="J1190" t="s">
        <v>38</v>
      </c>
      <c r="K1190" t="s">
        <v>61</v>
      </c>
      <c r="L1190" s="59" t="s">
        <v>99</v>
      </c>
    </row>
    <row r="1191" spans="2:12" x14ac:dyDescent="0.2">
      <c r="B1191" s="46">
        <v>1186</v>
      </c>
      <c r="C1191" s="488">
        <v>42715</v>
      </c>
      <c r="D1191" s="124">
        <v>0.51041666666666663</v>
      </c>
      <c r="E1191" s="487">
        <v>12.3</v>
      </c>
      <c r="F1191" s="487">
        <v>14.5</v>
      </c>
      <c r="G1191" s="346">
        <v>16.7</v>
      </c>
      <c r="H1191" s="361">
        <f t="shared" si="43"/>
        <v>14.5</v>
      </c>
      <c r="I1191" s="346">
        <v>28</v>
      </c>
      <c r="J1191" t="s">
        <v>38</v>
      </c>
      <c r="K1191" t="s">
        <v>62</v>
      </c>
      <c r="L1191" s="59" t="s">
        <v>99</v>
      </c>
    </row>
    <row r="1192" spans="2:12" x14ac:dyDescent="0.2">
      <c r="B1192" s="46">
        <v>1187</v>
      </c>
      <c r="C1192" s="488">
        <v>42715</v>
      </c>
      <c r="D1192" s="124">
        <v>0.83333333333333337</v>
      </c>
      <c r="E1192" s="487">
        <v>12.1</v>
      </c>
      <c r="F1192" s="487">
        <v>13.5</v>
      </c>
      <c r="G1192" s="346">
        <v>17.600000000000001</v>
      </c>
      <c r="H1192" s="361">
        <f t="shared" si="43"/>
        <v>14.4</v>
      </c>
      <c r="I1192" s="346">
        <v>43</v>
      </c>
      <c r="J1192" t="s">
        <v>38</v>
      </c>
      <c r="K1192" t="s">
        <v>61</v>
      </c>
      <c r="L1192" s="59" t="s">
        <v>99</v>
      </c>
    </row>
    <row r="1193" spans="2:12" x14ac:dyDescent="0.2">
      <c r="B1193" s="46">
        <v>1188</v>
      </c>
      <c r="C1193" s="496">
        <v>42716</v>
      </c>
      <c r="D1193" s="124">
        <v>0.86458333333333337</v>
      </c>
      <c r="E1193" s="495">
        <v>15.6</v>
      </c>
      <c r="F1193" s="495">
        <v>17.2</v>
      </c>
      <c r="G1193" s="346">
        <v>19.399999999999999</v>
      </c>
      <c r="H1193" s="361">
        <f t="shared" ref="H1193" si="44">AVERAGE(E1193:G1193)</f>
        <v>17.399999999999999</v>
      </c>
      <c r="I1193" s="346">
        <v>42</v>
      </c>
      <c r="J1193" t="s">
        <v>38</v>
      </c>
      <c r="K1193" t="s">
        <v>57</v>
      </c>
      <c r="L1193" s="59" t="s">
        <v>99</v>
      </c>
    </row>
    <row r="1194" spans="2:12" x14ac:dyDescent="0.2">
      <c r="B1194" s="46">
        <v>1189</v>
      </c>
      <c r="C1194" s="499">
        <v>42717</v>
      </c>
      <c r="D1194" s="124">
        <v>0.56944444444444442</v>
      </c>
      <c r="E1194" s="498">
        <v>15.5</v>
      </c>
      <c r="F1194" s="498">
        <v>17.399999999999999</v>
      </c>
      <c r="G1194" s="346">
        <v>18.100000000000001</v>
      </c>
      <c r="H1194" s="361">
        <f t="shared" ref="H1194:H1195" si="45">AVERAGE(E1194:G1194)</f>
        <v>17</v>
      </c>
      <c r="I1194" s="346">
        <v>26</v>
      </c>
      <c r="J1194" t="s">
        <v>38</v>
      </c>
      <c r="K1194" t="s">
        <v>57</v>
      </c>
      <c r="L1194" s="59" t="s">
        <v>99</v>
      </c>
    </row>
    <row r="1195" spans="2:12" x14ac:dyDescent="0.2">
      <c r="B1195" s="46">
        <v>1190</v>
      </c>
      <c r="C1195" s="499">
        <v>42717</v>
      </c>
      <c r="D1195" s="124">
        <v>0.98958333333333337</v>
      </c>
      <c r="E1195" s="498">
        <v>14.8</v>
      </c>
      <c r="F1195" s="498">
        <v>15.5</v>
      </c>
      <c r="G1195" s="346">
        <v>18.3</v>
      </c>
      <c r="H1195" s="361">
        <f t="shared" si="45"/>
        <v>16.2</v>
      </c>
      <c r="I1195" s="346">
        <v>34</v>
      </c>
      <c r="J1195" t="s">
        <v>38</v>
      </c>
      <c r="K1195" t="s">
        <v>57</v>
      </c>
      <c r="L1195" s="59" t="s">
        <v>99</v>
      </c>
    </row>
    <row r="1196" spans="2:12" x14ac:dyDescent="0.2">
      <c r="B1196" s="46">
        <v>1191</v>
      </c>
      <c r="C1196" s="501">
        <v>42718</v>
      </c>
      <c r="D1196" s="124">
        <v>0.94791666666666663</v>
      </c>
      <c r="E1196" s="500">
        <v>14.4</v>
      </c>
      <c r="F1196" s="500">
        <v>17.7</v>
      </c>
      <c r="G1196" s="346">
        <v>19.5</v>
      </c>
      <c r="H1196" s="361">
        <f t="shared" ref="H1196" si="46">AVERAGE(E1196:G1196)</f>
        <v>17.2</v>
      </c>
      <c r="I1196" s="346">
        <v>31</v>
      </c>
      <c r="J1196" t="s">
        <v>38</v>
      </c>
      <c r="K1196" t="s">
        <v>50</v>
      </c>
      <c r="L1196" s="59" t="s">
        <v>99</v>
      </c>
    </row>
    <row r="1197" spans="2:12" x14ac:dyDescent="0.2">
      <c r="B1197" s="46">
        <v>1192</v>
      </c>
      <c r="C1197" s="503">
        <v>42719</v>
      </c>
      <c r="D1197" s="124">
        <v>0.52777777777777779</v>
      </c>
      <c r="E1197" s="502">
        <v>17.899999999999999</v>
      </c>
      <c r="F1197" s="502">
        <v>18.399999999999999</v>
      </c>
      <c r="G1197" s="346">
        <v>19.600000000000001</v>
      </c>
      <c r="H1197" s="361">
        <f t="shared" ref="H1197:H1198" si="47">AVERAGE(E1197:G1197)</f>
        <v>18.633333333333333</v>
      </c>
      <c r="I1197" s="346">
        <v>36</v>
      </c>
      <c r="J1197" t="s">
        <v>38</v>
      </c>
      <c r="K1197" t="s">
        <v>62</v>
      </c>
      <c r="L1197" s="59" t="s">
        <v>99</v>
      </c>
    </row>
    <row r="1198" spans="2:12" x14ac:dyDescent="0.2">
      <c r="B1198" s="46">
        <v>1193</v>
      </c>
      <c r="C1198" s="503">
        <v>42719</v>
      </c>
      <c r="D1198" s="124">
        <v>3.125E-2</v>
      </c>
      <c r="E1198" s="502">
        <v>19.5</v>
      </c>
      <c r="F1198" s="502">
        <v>21.3</v>
      </c>
      <c r="G1198" s="346">
        <v>22.4</v>
      </c>
      <c r="H1198" s="361">
        <f t="shared" si="47"/>
        <v>21.066666666666666</v>
      </c>
      <c r="I1198" s="346">
        <v>41</v>
      </c>
      <c r="J1198" t="s">
        <v>38</v>
      </c>
      <c r="K1198" t="s">
        <v>50</v>
      </c>
      <c r="L1198" s="59" t="s">
        <v>99</v>
      </c>
    </row>
    <row r="1199" spans="2:12" x14ac:dyDescent="0.2">
      <c r="B1199" s="46">
        <v>1194</v>
      </c>
      <c r="C1199" s="505">
        <v>42720</v>
      </c>
      <c r="D1199" s="124">
        <v>0.51041666666666663</v>
      </c>
      <c r="E1199" s="504">
        <v>13.9</v>
      </c>
      <c r="F1199" s="504">
        <v>16.600000000000001</v>
      </c>
      <c r="G1199" s="346">
        <v>16.7</v>
      </c>
      <c r="H1199" s="361">
        <f t="shared" ref="H1199:H1210" si="48">AVERAGE(E1199:G1199)</f>
        <v>15.733333333333334</v>
      </c>
      <c r="I1199" s="346">
        <v>31</v>
      </c>
      <c r="J1199" t="s">
        <v>38</v>
      </c>
      <c r="K1199" t="s">
        <v>62</v>
      </c>
      <c r="L1199" s="59" t="s">
        <v>99</v>
      </c>
    </row>
    <row r="1200" spans="2:12" x14ac:dyDescent="0.2">
      <c r="B1200" s="46">
        <v>1195</v>
      </c>
      <c r="C1200" s="505">
        <v>42720</v>
      </c>
      <c r="D1200" s="124">
        <v>9.7222222222222224E-2</v>
      </c>
      <c r="E1200" s="504">
        <v>18.600000000000001</v>
      </c>
      <c r="F1200" s="504">
        <v>19.8</v>
      </c>
      <c r="G1200" s="346">
        <v>20.2</v>
      </c>
      <c r="H1200" s="361">
        <f t="shared" si="48"/>
        <v>19.533333333333335</v>
      </c>
      <c r="I1200" s="346">
        <v>29</v>
      </c>
      <c r="J1200" t="s">
        <v>38</v>
      </c>
      <c r="K1200" t="s">
        <v>50</v>
      </c>
      <c r="L1200" s="59" t="s">
        <v>99</v>
      </c>
    </row>
    <row r="1201" spans="2:12" x14ac:dyDescent="0.2">
      <c r="B1201" s="46">
        <v>1196</v>
      </c>
      <c r="C1201" s="507">
        <v>42721</v>
      </c>
      <c r="D1201" s="124">
        <v>0.73958333333333337</v>
      </c>
      <c r="E1201" s="506">
        <v>19.2</v>
      </c>
      <c r="F1201" s="506">
        <v>21.1</v>
      </c>
      <c r="G1201" s="346">
        <v>22.1</v>
      </c>
      <c r="H1201" s="361">
        <f t="shared" si="48"/>
        <v>20.8</v>
      </c>
      <c r="I1201" s="346">
        <v>22</v>
      </c>
      <c r="J1201" t="s">
        <v>38</v>
      </c>
      <c r="K1201" t="s">
        <v>62</v>
      </c>
      <c r="L1201" s="59" t="s">
        <v>99</v>
      </c>
    </row>
    <row r="1202" spans="2:12" x14ac:dyDescent="0.2">
      <c r="B1202" s="46">
        <v>1197</v>
      </c>
      <c r="C1202" s="507">
        <v>42721</v>
      </c>
      <c r="D1202" s="124">
        <v>0.94791666666666663</v>
      </c>
      <c r="E1202" s="506">
        <v>17.600000000000001</v>
      </c>
      <c r="F1202" s="506">
        <v>18.8</v>
      </c>
      <c r="G1202" s="346">
        <v>20.9</v>
      </c>
      <c r="H1202" s="361">
        <f t="shared" si="48"/>
        <v>19.100000000000001</v>
      </c>
      <c r="I1202" s="346">
        <v>38</v>
      </c>
      <c r="J1202" t="s">
        <v>38</v>
      </c>
      <c r="K1202" t="s">
        <v>50</v>
      </c>
      <c r="L1202" s="59" t="s">
        <v>108</v>
      </c>
    </row>
    <row r="1203" spans="2:12" x14ac:dyDescent="0.2">
      <c r="B1203" s="46">
        <v>1198</v>
      </c>
      <c r="C1203" s="509">
        <v>42722</v>
      </c>
      <c r="D1203" s="124">
        <v>0.63888888888888895</v>
      </c>
      <c r="E1203" s="508">
        <v>14.7</v>
      </c>
      <c r="F1203" s="508">
        <v>15.6</v>
      </c>
      <c r="G1203" s="346">
        <v>18.2</v>
      </c>
      <c r="H1203" s="361">
        <f t="shared" si="48"/>
        <v>16.166666666666668</v>
      </c>
      <c r="I1203" s="346">
        <v>23.5</v>
      </c>
      <c r="J1203" t="s">
        <v>38</v>
      </c>
      <c r="K1203" t="s">
        <v>57</v>
      </c>
      <c r="L1203" s="59" t="s">
        <v>99</v>
      </c>
    </row>
    <row r="1204" spans="2:12" x14ac:dyDescent="0.2">
      <c r="B1204" s="46">
        <v>1199</v>
      </c>
      <c r="C1204" s="509">
        <v>42722</v>
      </c>
      <c r="D1204" s="124">
        <v>0.94791666666666663</v>
      </c>
      <c r="E1204" s="508">
        <v>13.7</v>
      </c>
      <c r="F1204" s="508">
        <v>14.4</v>
      </c>
      <c r="G1204" s="346">
        <v>17.5</v>
      </c>
      <c r="H1204" s="361">
        <f t="shared" si="48"/>
        <v>15.200000000000001</v>
      </c>
      <c r="I1204" s="346">
        <v>34</v>
      </c>
      <c r="J1204" t="s">
        <v>38</v>
      </c>
      <c r="K1204" t="s">
        <v>50</v>
      </c>
      <c r="L1204" s="59" t="s">
        <v>99</v>
      </c>
    </row>
    <row r="1205" spans="2:12" x14ac:dyDescent="0.2">
      <c r="B1205" s="46">
        <v>1200</v>
      </c>
      <c r="C1205" s="515">
        <v>42723</v>
      </c>
      <c r="D1205" s="124">
        <v>0.52777777777777779</v>
      </c>
      <c r="E1205" s="514">
        <v>10.7</v>
      </c>
      <c r="F1205" s="514">
        <v>11.3</v>
      </c>
      <c r="G1205" s="346">
        <v>12.7</v>
      </c>
      <c r="H1205" s="361">
        <f t="shared" si="48"/>
        <v>11.566666666666668</v>
      </c>
      <c r="I1205" s="346">
        <v>18</v>
      </c>
      <c r="J1205" t="s">
        <v>38</v>
      </c>
      <c r="K1205" t="s">
        <v>50</v>
      </c>
      <c r="L1205" s="59" t="s">
        <v>99</v>
      </c>
    </row>
    <row r="1206" spans="2:12" x14ac:dyDescent="0.2">
      <c r="B1206" s="46">
        <v>1201</v>
      </c>
      <c r="C1206" s="517">
        <v>42724</v>
      </c>
      <c r="D1206" s="124">
        <v>0.11458333333333333</v>
      </c>
      <c r="E1206" s="514">
        <v>14.5</v>
      </c>
      <c r="F1206" s="514">
        <v>19.7</v>
      </c>
      <c r="G1206" s="346">
        <v>25.3</v>
      </c>
      <c r="H1206" s="361">
        <f t="shared" si="48"/>
        <v>19.833333333333332</v>
      </c>
      <c r="I1206" s="346">
        <v>28</v>
      </c>
      <c r="J1206" t="s">
        <v>38</v>
      </c>
      <c r="K1206" t="s">
        <v>57</v>
      </c>
      <c r="L1206" s="59" t="s">
        <v>99</v>
      </c>
    </row>
    <row r="1207" spans="2:12" x14ac:dyDescent="0.2">
      <c r="B1207" s="46">
        <v>1202</v>
      </c>
      <c r="C1207" s="517">
        <v>42724</v>
      </c>
      <c r="D1207" s="124">
        <v>0.60416666666666663</v>
      </c>
      <c r="E1207" s="516">
        <v>15.8</v>
      </c>
      <c r="F1207" s="516">
        <v>16.8</v>
      </c>
      <c r="G1207" s="346">
        <v>17.899999999999999</v>
      </c>
      <c r="H1207" s="361">
        <f t="shared" si="48"/>
        <v>16.833333333333332</v>
      </c>
      <c r="I1207" s="346">
        <v>37</v>
      </c>
      <c r="J1207" t="s">
        <v>38</v>
      </c>
      <c r="K1207" t="s">
        <v>50</v>
      </c>
      <c r="L1207" s="59" t="s">
        <v>150</v>
      </c>
    </row>
    <row r="1208" spans="2:12" x14ac:dyDescent="0.2">
      <c r="B1208" s="46">
        <v>1203</v>
      </c>
      <c r="C1208" s="517">
        <v>42725</v>
      </c>
      <c r="D1208" s="124">
        <v>0.125</v>
      </c>
      <c r="E1208" s="516">
        <v>11</v>
      </c>
      <c r="F1208" s="516">
        <v>12.7</v>
      </c>
      <c r="G1208" s="346">
        <v>15.7</v>
      </c>
      <c r="H1208" s="361">
        <f t="shared" si="48"/>
        <v>13.133333333333333</v>
      </c>
      <c r="I1208" s="346">
        <v>37</v>
      </c>
      <c r="J1208" t="s">
        <v>38</v>
      </c>
      <c r="K1208" t="s">
        <v>57</v>
      </c>
      <c r="L1208" s="59" t="s">
        <v>150</v>
      </c>
    </row>
    <row r="1209" spans="2:12" x14ac:dyDescent="0.2">
      <c r="B1209" s="46">
        <v>1204</v>
      </c>
      <c r="C1209" s="519">
        <v>42725</v>
      </c>
      <c r="D1209" s="124">
        <v>0.52083333333333337</v>
      </c>
      <c r="E1209" s="518">
        <v>21.9</v>
      </c>
      <c r="F1209" s="518">
        <v>25.8</v>
      </c>
      <c r="G1209" s="346">
        <v>28.3</v>
      </c>
      <c r="H1209" s="361">
        <f t="shared" si="48"/>
        <v>25.333333333333332</v>
      </c>
      <c r="I1209" s="346">
        <v>29</v>
      </c>
      <c r="J1209" t="s">
        <v>38</v>
      </c>
      <c r="K1209" t="s">
        <v>50</v>
      </c>
      <c r="L1209" s="59" t="s">
        <v>108</v>
      </c>
    </row>
    <row r="1210" spans="2:12" x14ac:dyDescent="0.2">
      <c r="B1210" s="46">
        <v>1205</v>
      </c>
      <c r="C1210" s="519">
        <v>42725</v>
      </c>
      <c r="D1210" s="124">
        <v>0.60069444444444442</v>
      </c>
      <c r="E1210" s="518">
        <v>19.5</v>
      </c>
      <c r="F1210" s="518">
        <v>20.399999999999999</v>
      </c>
      <c r="G1210" s="346">
        <v>22.5</v>
      </c>
      <c r="H1210" s="361">
        <f t="shared" si="48"/>
        <v>20.8</v>
      </c>
      <c r="I1210" s="346">
        <v>35</v>
      </c>
      <c r="J1210" t="s">
        <v>38</v>
      </c>
      <c r="K1210" t="s">
        <v>62</v>
      </c>
      <c r="L1210" s="59" t="s">
        <v>150</v>
      </c>
    </row>
    <row r="1211" spans="2:12" x14ac:dyDescent="0.2">
      <c r="B1211" s="46">
        <v>1206</v>
      </c>
      <c r="C1211" s="521">
        <v>42726</v>
      </c>
      <c r="D1211" s="124">
        <v>0.5</v>
      </c>
      <c r="E1211" s="520">
        <v>12.2</v>
      </c>
      <c r="F1211" s="520">
        <v>15.4</v>
      </c>
      <c r="G1211" s="346">
        <v>17</v>
      </c>
      <c r="H1211" s="361">
        <f t="shared" ref="H1211:H1212" si="49">AVERAGE(E1211:G1211)</f>
        <v>14.866666666666667</v>
      </c>
      <c r="I1211" s="346">
        <v>21</v>
      </c>
      <c r="J1211" t="s">
        <v>38</v>
      </c>
      <c r="K1211" t="s">
        <v>50</v>
      </c>
      <c r="L1211" s="59" t="s">
        <v>150</v>
      </c>
    </row>
    <row r="1212" spans="2:12" x14ac:dyDescent="0.2">
      <c r="B1212" s="46">
        <v>1207</v>
      </c>
      <c r="C1212" s="521">
        <v>42726</v>
      </c>
      <c r="D1212" s="124">
        <v>0.9375</v>
      </c>
      <c r="E1212" s="520">
        <v>14.1</v>
      </c>
      <c r="F1212" s="520">
        <v>18.100000000000001</v>
      </c>
      <c r="G1212" s="346">
        <v>18.5</v>
      </c>
      <c r="H1212" s="361">
        <f t="shared" si="49"/>
        <v>16.900000000000002</v>
      </c>
      <c r="I1212" s="346">
        <v>35</v>
      </c>
      <c r="J1212" t="s">
        <v>38</v>
      </c>
      <c r="K1212" t="s">
        <v>57</v>
      </c>
      <c r="L1212" s="59" t="s">
        <v>150</v>
      </c>
    </row>
    <row r="1213" spans="2:12" x14ac:dyDescent="0.2">
      <c r="B1213" s="46">
        <v>1208</v>
      </c>
      <c r="C1213" s="523">
        <v>42727</v>
      </c>
      <c r="D1213" s="124">
        <v>0.51041666666666663</v>
      </c>
      <c r="E1213" s="522">
        <v>17.2</v>
      </c>
      <c r="F1213" s="522">
        <v>18</v>
      </c>
      <c r="G1213" s="346">
        <v>18.2</v>
      </c>
      <c r="H1213" s="361">
        <f t="shared" ref="H1213" si="50">AVERAGE(E1213:G1213)</f>
        <v>17.8</v>
      </c>
      <c r="I1213" s="346">
        <v>38</v>
      </c>
      <c r="J1213" t="s">
        <v>38</v>
      </c>
      <c r="K1213" t="s">
        <v>61</v>
      </c>
      <c r="L1213" s="59" t="s">
        <v>150</v>
      </c>
    </row>
    <row r="1214" spans="2:12" x14ac:dyDescent="0.2">
      <c r="B1214" s="46">
        <v>1209</v>
      </c>
      <c r="C1214" s="525">
        <v>42728</v>
      </c>
      <c r="D1214" s="124">
        <v>3.8194444444444441E-2</v>
      </c>
      <c r="E1214" s="522">
        <v>16.8</v>
      </c>
      <c r="F1214" s="522">
        <v>19.7</v>
      </c>
      <c r="G1214" s="346">
        <v>20.6</v>
      </c>
      <c r="H1214" s="361">
        <f t="shared" ref="H1214:H1223" si="51">AVERAGE(E1214:G1214)</f>
        <v>19.033333333333335</v>
      </c>
      <c r="I1214" s="346">
        <v>36</v>
      </c>
      <c r="J1214" t="s">
        <v>38</v>
      </c>
      <c r="K1214" t="s">
        <v>62</v>
      </c>
      <c r="L1214" s="59" t="s">
        <v>150</v>
      </c>
    </row>
    <row r="1215" spans="2:12" x14ac:dyDescent="0.2">
      <c r="B1215" s="46">
        <v>1210</v>
      </c>
      <c r="C1215" s="525">
        <v>42728</v>
      </c>
      <c r="D1215" s="124">
        <v>0.55208333333333337</v>
      </c>
      <c r="E1215" s="524">
        <v>15</v>
      </c>
      <c r="F1215" s="524">
        <v>17.3</v>
      </c>
      <c r="G1215" s="346">
        <v>18.3</v>
      </c>
      <c r="H1215" s="361">
        <f t="shared" si="51"/>
        <v>16.866666666666664</v>
      </c>
      <c r="I1215" s="346">
        <v>28</v>
      </c>
      <c r="J1215" t="s">
        <v>38</v>
      </c>
      <c r="K1215" t="s">
        <v>61</v>
      </c>
      <c r="L1215" s="59" t="s">
        <v>150</v>
      </c>
    </row>
    <row r="1216" spans="2:12" x14ac:dyDescent="0.2">
      <c r="B1216" s="46">
        <v>1211</v>
      </c>
      <c r="C1216" s="525">
        <v>42728</v>
      </c>
      <c r="D1216" s="124">
        <v>0.94791666666666663</v>
      </c>
      <c r="E1216" s="524">
        <v>12.6</v>
      </c>
      <c r="F1216" s="524">
        <v>14.7</v>
      </c>
      <c r="G1216" s="346">
        <v>15.1</v>
      </c>
      <c r="H1216" s="361">
        <f t="shared" si="51"/>
        <v>14.133333333333333</v>
      </c>
      <c r="I1216" s="346">
        <v>32</v>
      </c>
      <c r="J1216" t="s">
        <v>38</v>
      </c>
      <c r="K1216" t="s">
        <v>57</v>
      </c>
      <c r="L1216" s="59" t="s">
        <v>150</v>
      </c>
    </row>
    <row r="1217" spans="2:12" x14ac:dyDescent="0.2">
      <c r="B1217" s="46">
        <v>1212</v>
      </c>
      <c r="C1217" s="527">
        <v>42729</v>
      </c>
      <c r="D1217" s="124">
        <v>0.5</v>
      </c>
      <c r="E1217" s="526">
        <v>18.100000000000001</v>
      </c>
      <c r="F1217" s="526">
        <v>18.3</v>
      </c>
      <c r="G1217" s="346">
        <v>18.8</v>
      </c>
      <c r="H1217" s="361">
        <f t="shared" si="51"/>
        <v>18.400000000000002</v>
      </c>
      <c r="I1217" s="346">
        <v>22</v>
      </c>
      <c r="J1217" t="s">
        <v>38</v>
      </c>
      <c r="K1217" t="s">
        <v>50</v>
      </c>
      <c r="L1217" s="59" t="s">
        <v>150</v>
      </c>
    </row>
    <row r="1218" spans="2:12" x14ac:dyDescent="0.2">
      <c r="B1218" s="46">
        <v>1213</v>
      </c>
      <c r="C1218" s="527">
        <v>42729</v>
      </c>
      <c r="D1218" s="124">
        <v>0.80555555555555547</v>
      </c>
      <c r="E1218" s="526">
        <v>14.5</v>
      </c>
      <c r="F1218" s="526">
        <v>18.600000000000001</v>
      </c>
      <c r="G1218" s="346">
        <v>21.6</v>
      </c>
      <c r="H1218" s="361">
        <f t="shared" si="51"/>
        <v>18.233333333333334</v>
      </c>
      <c r="I1218" s="346">
        <v>27</v>
      </c>
      <c r="J1218" t="s">
        <v>38</v>
      </c>
      <c r="K1218" t="s">
        <v>62</v>
      </c>
      <c r="L1218" s="59" t="s">
        <v>150</v>
      </c>
    </row>
    <row r="1219" spans="2:12" x14ac:dyDescent="0.2">
      <c r="B1219" s="46">
        <v>1214</v>
      </c>
      <c r="C1219" s="529">
        <v>42730</v>
      </c>
      <c r="D1219" s="124">
        <v>0.5</v>
      </c>
      <c r="E1219" s="528">
        <v>14.7</v>
      </c>
      <c r="F1219" s="528">
        <v>16</v>
      </c>
      <c r="G1219" s="346">
        <v>17.8</v>
      </c>
      <c r="H1219" s="361">
        <f t="shared" si="51"/>
        <v>16.166666666666668</v>
      </c>
      <c r="I1219" s="346">
        <v>29</v>
      </c>
      <c r="J1219" t="s">
        <v>38</v>
      </c>
      <c r="K1219" t="s">
        <v>50</v>
      </c>
      <c r="L1219" s="59" t="s">
        <v>150</v>
      </c>
    </row>
    <row r="1220" spans="2:12" x14ac:dyDescent="0.2">
      <c r="B1220" s="46">
        <v>1215</v>
      </c>
      <c r="C1220" s="531">
        <v>42731</v>
      </c>
      <c r="D1220" s="124">
        <v>0.51041666666666663</v>
      </c>
      <c r="E1220" s="530">
        <v>21.9</v>
      </c>
      <c r="F1220" s="530">
        <v>20.6</v>
      </c>
      <c r="G1220" s="530">
        <v>17.3</v>
      </c>
      <c r="H1220" s="361">
        <f t="shared" si="51"/>
        <v>19.933333333333334</v>
      </c>
      <c r="I1220" s="346">
        <v>24</v>
      </c>
      <c r="J1220" t="s">
        <v>38</v>
      </c>
      <c r="K1220" t="s">
        <v>50</v>
      </c>
      <c r="L1220" s="59" t="s">
        <v>150</v>
      </c>
    </row>
    <row r="1221" spans="2:12" x14ac:dyDescent="0.2">
      <c r="B1221" s="46">
        <v>1216</v>
      </c>
      <c r="C1221" s="531">
        <v>42731</v>
      </c>
      <c r="D1221" s="124">
        <v>9.375E-2</v>
      </c>
      <c r="E1221" s="530">
        <v>21.8</v>
      </c>
      <c r="F1221" s="530">
        <v>18.600000000000001</v>
      </c>
      <c r="G1221" s="530">
        <v>17.899999999999999</v>
      </c>
      <c r="H1221" s="361">
        <f t="shared" si="51"/>
        <v>19.433333333333334</v>
      </c>
      <c r="I1221" s="346">
        <v>38</v>
      </c>
      <c r="J1221" t="s">
        <v>38</v>
      </c>
      <c r="K1221" t="s">
        <v>57</v>
      </c>
      <c r="L1221" s="59" t="s">
        <v>99</v>
      </c>
    </row>
    <row r="1222" spans="2:12" x14ac:dyDescent="0.2">
      <c r="B1222" s="46">
        <v>1217</v>
      </c>
      <c r="C1222" s="533">
        <v>42732</v>
      </c>
      <c r="D1222" s="124">
        <v>0.52083333333333337</v>
      </c>
      <c r="E1222" s="532">
        <v>23.7</v>
      </c>
      <c r="F1222" s="532">
        <v>22</v>
      </c>
      <c r="G1222" s="532">
        <v>19.600000000000001</v>
      </c>
      <c r="H1222" s="361">
        <f t="shared" si="51"/>
        <v>21.766666666666669</v>
      </c>
      <c r="I1222" s="346">
        <v>17</v>
      </c>
      <c r="J1222" t="s">
        <v>38</v>
      </c>
      <c r="K1222" t="s">
        <v>61</v>
      </c>
      <c r="L1222" s="59" t="s">
        <v>150</v>
      </c>
    </row>
    <row r="1223" spans="2:12" x14ac:dyDescent="0.2">
      <c r="B1223" s="46">
        <v>1218</v>
      </c>
      <c r="C1223" s="533">
        <v>42732</v>
      </c>
      <c r="D1223" s="124">
        <v>0.99861111111111101</v>
      </c>
      <c r="E1223" s="532">
        <v>20.8</v>
      </c>
      <c r="F1223" s="532">
        <v>19.600000000000001</v>
      </c>
      <c r="G1223" s="532">
        <v>17.399999999999999</v>
      </c>
      <c r="H1223" s="361">
        <f t="shared" si="51"/>
        <v>19.266666666666669</v>
      </c>
      <c r="I1223" s="346">
        <v>43</v>
      </c>
      <c r="J1223" t="s">
        <v>38</v>
      </c>
      <c r="K1223" t="s">
        <v>62</v>
      </c>
      <c r="L1223" s="59" t="s">
        <v>150</v>
      </c>
    </row>
    <row r="1224" spans="2:12" x14ac:dyDescent="0.2">
      <c r="B1224" s="46">
        <v>1219</v>
      </c>
      <c r="C1224" s="535">
        <v>42733</v>
      </c>
      <c r="D1224" s="124">
        <v>0.60763888888888895</v>
      </c>
      <c r="E1224" s="534">
        <v>24.1</v>
      </c>
      <c r="F1224" s="534">
        <v>21.4</v>
      </c>
      <c r="G1224" s="534">
        <v>19.3</v>
      </c>
      <c r="H1224" s="361">
        <f t="shared" ref="H1224" si="52">AVERAGE(E1224:G1224)</f>
        <v>21.599999999999998</v>
      </c>
      <c r="I1224" s="346">
        <v>25</v>
      </c>
      <c r="J1224" t="s">
        <v>38</v>
      </c>
      <c r="K1224" t="s">
        <v>62</v>
      </c>
      <c r="L1224" s="59" t="s">
        <v>150</v>
      </c>
    </row>
    <row r="1225" spans="2:12" x14ac:dyDescent="0.2">
      <c r="B1225" s="46">
        <v>1220</v>
      </c>
      <c r="C1225" s="537">
        <v>42734</v>
      </c>
      <c r="D1225" s="124">
        <v>0.49652777777777773</v>
      </c>
      <c r="E1225" s="536">
        <v>21.4</v>
      </c>
      <c r="F1225" s="536">
        <v>18.600000000000001</v>
      </c>
      <c r="G1225" s="536">
        <v>17.5</v>
      </c>
      <c r="H1225" s="361">
        <f t="shared" ref="H1225" si="53">AVERAGE(E1225:G1225)</f>
        <v>19.166666666666668</v>
      </c>
      <c r="I1225" s="346">
        <v>37</v>
      </c>
      <c r="J1225" t="s">
        <v>38</v>
      </c>
      <c r="K1225" t="s">
        <v>62</v>
      </c>
      <c r="L1225" s="59" t="s">
        <v>150</v>
      </c>
    </row>
    <row r="1226" spans="2:12" x14ac:dyDescent="0.2">
      <c r="B1226" s="46">
        <v>1221</v>
      </c>
      <c r="C1226" s="539">
        <v>42735</v>
      </c>
      <c r="D1226" s="124">
        <v>0.50694444444444442</v>
      </c>
      <c r="E1226" s="538">
        <v>23.6</v>
      </c>
      <c r="F1226" s="538">
        <v>19.5</v>
      </c>
      <c r="G1226" s="538">
        <v>17</v>
      </c>
      <c r="H1226" s="361">
        <f t="shared" ref="H1226" si="54">AVERAGE(E1226:G1226)</f>
        <v>20.033333333333335</v>
      </c>
      <c r="I1226" s="346">
        <v>34</v>
      </c>
      <c r="J1226" t="s">
        <v>38</v>
      </c>
      <c r="K1226" t="s">
        <v>62</v>
      </c>
      <c r="L1226" s="59" t="s">
        <v>150</v>
      </c>
    </row>
    <row r="1227" spans="2:12" x14ac:dyDescent="0.2">
      <c r="B1227" s="46">
        <v>1222</v>
      </c>
      <c r="C1227" s="539">
        <v>42735</v>
      </c>
      <c r="D1227" s="124">
        <v>0.98263888888888884</v>
      </c>
      <c r="E1227" s="538">
        <v>17.2</v>
      </c>
      <c r="F1227" s="538">
        <v>16.2</v>
      </c>
      <c r="G1227" s="538">
        <v>14.4</v>
      </c>
      <c r="H1227" s="361">
        <f t="shared" ref="H1227:H1235" si="55">AVERAGE(E1227:G1227)</f>
        <v>15.933333333333332</v>
      </c>
      <c r="I1227" s="346">
        <v>40</v>
      </c>
      <c r="J1227" t="s">
        <v>39</v>
      </c>
      <c r="K1227" t="s">
        <v>57</v>
      </c>
      <c r="L1227" s="59" t="s">
        <v>150</v>
      </c>
    </row>
    <row r="1228" spans="2:12" x14ac:dyDescent="0.2">
      <c r="B1228" s="46">
        <v>1223</v>
      </c>
      <c r="C1228" s="541">
        <v>42736</v>
      </c>
      <c r="D1228" s="124">
        <v>0.5</v>
      </c>
      <c r="E1228" s="540">
        <v>17.8</v>
      </c>
      <c r="F1228" s="540">
        <v>14.6</v>
      </c>
      <c r="G1228" s="540">
        <v>14.2</v>
      </c>
      <c r="H1228" s="361">
        <f t="shared" si="55"/>
        <v>15.533333333333331</v>
      </c>
      <c r="I1228" s="346">
        <v>35</v>
      </c>
      <c r="J1228" t="s">
        <v>38</v>
      </c>
      <c r="K1228" t="s">
        <v>57</v>
      </c>
      <c r="L1228" s="59" t="s">
        <v>99</v>
      </c>
    </row>
    <row r="1229" spans="2:12" x14ac:dyDescent="0.2">
      <c r="B1229" s="46">
        <v>1224</v>
      </c>
      <c r="C1229" s="541">
        <v>42736</v>
      </c>
      <c r="D1229" s="124">
        <v>0.9375</v>
      </c>
      <c r="E1229" s="540">
        <v>16.899999999999999</v>
      </c>
      <c r="F1229" s="540">
        <v>16.2</v>
      </c>
      <c r="G1229" s="540">
        <v>13.5</v>
      </c>
      <c r="H1229" s="361">
        <f t="shared" si="55"/>
        <v>15.533333333333331</v>
      </c>
      <c r="I1229" s="346">
        <v>30</v>
      </c>
      <c r="J1229" t="s">
        <v>38</v>
      </c>
      <c r="K1229" t="s">
        <v>57</v>
      </c>
      <c r="L1229" s="59" t="s">
        <v>150</v>
      </c>
    </row>
    <row r="1230" spans="2:12" x14ac:dyDescent="0.2">
      <c r="B1230" s="46">
        <v>1225</v>
      </c>
      <c r="C1230" s="541">
        <v>42737</v>
      </c>
      <c r="D1230" s="124">
        <v>0.51388888888888895</v>
      </c>
      <c r="E1230" s="540">
        <v>18.5</v>
      </c>
      <c r="F1230" s="540">
        <v>19</v>
      </c>
      <c r="G1230" s="540">
        <v>19.7</v>
      </c>
      <c r="H1230" s="361">
        <f t="shared" si="55"/>
        <v>19.066666666666666</v>
      </c>
      <c r="I1230" s="346">
        <v>36</v>
      </c>
      <c r="J1230" t="s">
        <v>38</v>
      </c>
      <c r="K1230" t="s">
        <v>57</v>
      </c>
      <c r="L1230" s="59" t="s">
        <v>99</v>
      </c>
    </row>
    <row r="1231" spans="2:12" x14ac:dyDescent="0.2">
      <c r="B1231" s="46">
        <v>1226</v>
      </c>
      <c r="C1231" s="541">
        <v>42737</v>
      </c>
      <c r="D1231" s="124">
        <v>0.99652777777777779</v>
      </c>
      <c r="E1231" s="540">
        <v>24.3</v>
      </c>
      <c r="F1231" s="540">
        <v>15.7</v>
      </c>
      <c r="G1231" s="540">
        <v>13.3</v>
      </c>
      <c r="H1231" s="361">
        <f t="shared" si="55"/>
        <v>17.766666666666666</v>
      </c>
      <c r="I1231" s="346">
        <v>28</v>
      </c>
      <c r="J1231" t="s">
        <v>38</v>
      </c>
      <c r="K1231" t="s">
        <v>62</v>
      </c>
      <c r="L1231" s="59" t="s">
        <v>150</v>
      </c>
    </row>
    <row r="1232" spans="2:12" x14ac:dyDescent="0.2">
      <c r="B1232" s="46">
        <v>1227</v>
      </c>
      <c r="C1232" s="548">
        <v>42738</v>
      </c>
      <c r="D1232" s="124">
        <v>0.51041666666666663</v>
      </c>
      <c r="E1232" s="547">
        <v>21.3</v>
      </c>
      <c r="F1232" s="547">
        <v>20.8</v>
      </c>
      <c r="G1232" s="547">
        <v>19.899999999999999</v>
      </c>
      <c r="H1232" s="361">
        <f t="shared" si="55"/>
        <v>20.666666666666668</v>
      </c>
      <c r="I1232" s="346">
        <v>38</v>
      </c>
      <c r="J1232" t="s">
        <v>38</v>
      </c>
      <c r="K1232" t="s">
        <v>57</v>
      </c>
      <c r="L1232" s="59" t="s">
        <v>99</v>
      </c>
    </row>
    <row r="1233" spans="2:12" x14ac:dyDescent="0.2">
      <c r="B1233" s="46">
        <v>1228</v>
      </c>
      <c r="C1233" s="548">
        <v>42738</v>
      </c>
      <c r="D1233" s="124">
        <v>0.94444444444444453</v>
      </c>
      <c r="E1233" s="547">
        <v>19.399999999999999</v>
      </c>
      <c r="F1233" s="547">
        <v>18.7</v>
      </c>
      <c r="G1233" s="547">
        <v>16.2</v>
      </c>
      <c r="H1233" s="361">
        <f t="shared" si="55"/>
        <v>18.099999999999998</v>
      </c>
      <c r="I1233" s="346">
        <v>37</v>
      </c>
      <c r="J1233" t="s">
        <v>38</v>
      </c>
      <c r="K1233" t="s">
        <v>57</v>
      </c>
      <c r="L1233" s="59" t="s">
        <v>150</v>
      </c>
    </row>
    <row r="1234" spans="2:12" x14ac:dyDescent="0.2">
      <c r="B1234" s="46">
        <v>1229</v>
      </c>
      <c r="C1234" s="550">
        <v>42739</v>
      </c>
      <c r="D1234" s="124">
        <v>0.52083333333333337</v>
      </c>
      <c r="E1234" s="549">
        <v>21.3</v>
      </c>
      <c r="F1234" s="549">
        <v>19.8</v>
      </c>
      <c r="G1234" s="549">
        <v>17.600000000000001</v>
      </c>
      <c r="H1234" s="361">
        <f t="shared" si="55"/>
        <v>19.566666666666666</v>
      </c>
      <c r="I1234" s="346">
        <v>32</v>
      </c>
      <c r="J1234" t="s">
        <v>38</v>
      </c>
      <c r="K1234" t="s">
        <v>57</v>
      </c>
      <c r="L1234" s="59" t="s">
        <v>99</v>
      </c>
    </row>
    <row r="1235" spans="2:12" x14ac:dyDescent="0.2">
      <c r="B1235" s="46">
        <v>1230</v>
      </c>
      <c r="C1235" s="550">
        <v>42739</v>
      </c>
      <c r="D1235" s="124">
        <v>0.99652777777777779</v>
      </c>
      <c r="E1235" s="549">
        <v>21.4</v>
      </c>
      <c r="F1235" s="549">
        <v>20.3</v>
      </c>
      <c r="G1235" s="549">
        <v>18</v>
      </c>
      <c r="H1235" s="361">
        <f t="shared" si="55"/>
        <v>19.900000000000002</v>
      </c>
      <c r="I1235" s="346">
        <v>35</v>
      </c>
      <c r="J1235" t="s">
        <v>38</v>
      </c>
      <c r="K1235" t="s">
        <v>57</v>
      </c>
      <c r="L1235" s="59" t="s">
        <v>150</v>
      </c>
    </row>
    <row r="1236" spans="2:12" x14ac:dyDescent="0.2">
      <c r="B1236" s="46">
        <v>1231</v>
      </c>
      <c r="C1236" s="552">
        <v>42740</v>
      </c>
      <c r="D1236" s="124">
        <v>0.52083333333333337</v>
      </c>
      <c r="E1236" s="551">
        <v>19.899999999999999</v>
      </c>
      <c r="F1236" s="551">
        <v>18.3</v>
      </c>
      <c r="G1236" s="551">
        <v>17.8</v>
      </c>
      <c r="H1236" s="361">
        <f t="shared" ref="H1236" si="56">AVERAGE(E1236:G1236)</f>
        <v>18.666666666666668</v>
      </c>
      <c r="I1236" s="346">
        <v>34</v>
      </c>
      <c r="J1236" t="s">
        <v>38</v>
      </c>
      <c r="K1236" t="s">
        <v>57</v>
      </c>
      <c r="L1236" s="59" t="s">
        <v>180</v>
      </c>
    </row>
    <row r="1237" spans="2:12" x14ac:dyDescent="0.2">
      <c r="B1237" s="46">
        <v>1232</v>
      </c>
      <c r="C1237" s="555">
        <v>42741</v>
      </c>
      <c r="D1237" s="124">
        <v>0.52777777777777779</v>
      </c>
      <c r="E1237" s="553">
        <v>19.8</v>
      </c>
      <c r="F1237" s="553">
        <v>18.3</v>
      </c>
      <c r="G1237" s="553">
        <v>17.600000000000001</v>
      </c>
      <c r="H1237" s="361">
        <f t="shared" ref="H1237:H1248" si="57">AVERAGE(E1237:G1237)</f>
        <v>18.566666666666666</v>
      </c>
      <c r="I1237" s="346">
        <v>32</v>
      </c>
      <c r="J1237" t="s">
        <v>38</v>
      </c>
      <c r="K1237" t="s">
        <v>62</v>
      </c>
      <c r="L1237" s="59" t="s">
        <v>180</v>
      </c>
    </row>
    <row r="1238" spans="2:12" x14ac:dyDescent="0.2">
      <c r="B1238" s="46">
        <v>1233</v>
      </c>
      <c r="C1238" s="555">
        <v>42741</v>
      </c>
      <c r="D1238" s="124">
        <v>0.1111111111111111</v>
      </c>
      <c r="E1238" s="553">
        <v>17.399999999999999</v>
      </c>
      <c r="F1238" s="553">
        <v>15.6</v>
      </c>
      <c r="G1238" s="553">
        <v>13.7</v>
      </c>
      <c r="H1238" s="361">
        <f t="shared" si="57"/>
        <v>15.566666666666668</v>
      </c>
      <c r="I1238" s="346">
        <v>45</v>
      </c>
      <c r="J1238" t="s">
        <v>39</v>
      </c>
      <c r="K1238" t="s">
        <v>62</v>
      </c>
      <c r="L1238" s="59" t="s">
        <v>99</v>
      </c>
    </row>
    <row r="1239" spans="2:12" x14ac:dyDescent="0.2">
      <c r="B1239" s="46">
        <v>1234</v>
      </c>
      <c r="C1239" s="558">
        <v>42742</v>
      </c>
      <c r="D1239" s="124">
        <v>0.59722222222222221</v>
      </c>
      <c r="E1239" s="556">
        <v>13.2</v>
      </c>
      <c r="F1239" s="556">
        <v>14.3</v>
      </c>
      <c r="G1239" s="556">
        <v>17.7</v>
      </c>
      <c r="H1239" s="361">
        <f t="shared" si="57"/>
        <v>15.066666666666668</v>
      </c>
      <c r="I1239" s="346">
        <v>45</v>
      </c>
      <c r="J1239" t="s">
        <v>38</v>
      </c>
      <c r="K1239" t="s">
        <v>62</v>
      </c>
      <c r="L1239" s="59" t="s">
        <v>180</v>
      </c>
    </row>
    <row r="1240" spans="2:12" x14ac:dyDescent="0.2">
      <c r="B1240" s="46">
        <v>1235</v>
      </c>
      <c r="C1240" s="558">
        <v>42742</v>
      </c>
      <c r="D1240" s="124">
        <v>0.97222222222222221</v>
      </c>
      <c r="E1240" s="556">
        <v>19.5</v>
      </c>
      <c r="F1240" s="556">
        <v>17.899999999999999</v>
      </c>
      <c r="G1240" s="556">
        <v>15.7</v>
      </c>
      <c r="H1240" s="361">
        <f t="shared" si="57"/>
        <v>17.7</v>
      </c>
      <c r="I1240" s="346">
        <v>39</v>
      </c>
      <c r="J1240" t="s">
        <v>39</v>
      </c>
      <c r="K1240" t="s">
        <v>57</v>
      </c>
      <c r="L1240" s="59" t="s">
        <v>99</v>
      </c>
    </row>
    <row r="1241" spans="2:12" x14ac:dyDescent="0.2">
      <c r="B1241" s="46">
        <v>1236</v>
      </c>
      <c r="C1241" s="560">
        <v>42743</v>
      </c>
      <c r="D1241" s="124">
        <v>0.51041666666666663</v>
      </c>
      <c r="E1241" s="559">
        <v>18</v>
      </c>
      <c r="F1241" s="559">
        <v>13.8</v>
      </c>
      <c r="G1241" s="559">
        <v>13.5</v>
      </c>
      <c r="H1241" s="361">
        <f t="shared" si="57"/>
        <v>15.1</v>
      </c>
      <c r="I1241" s="346">
        <v>21</v>
      </c>
      <c r="J1241" t="s">
        <v>38</v>
      </c>
      <c r="K1241" t="s">
        <v>57</v>
      </c>
      <c r="L1241" s="59" t="s">
        <v>99</v>
      </c>
    </row>
    <row r="1242" spans="2:12" x14ac:dyDescent="0.2">
      <c r="B1242" s="46">
        <v>1237</v>
      </c>
      <c r="C1242" s="560">
        <v>42743</v>
      </c>
      <c r="D1242" s="124">
        <v>0.99652777777777779</v>
      </c>
      <c r="E1242" s="559">
        <v>17.2</v>
      </c>
      <c r="F1242" s="559">
        <v>15.3</v>
      </c>
      <c r="G1242" s="559">
        <v>14.7</v>
      </c>
      <c r="H1242" s="361">
        <f t="shared" si="57"/>
        <v>15.733333333333334</v>
      </c>
      <c r="I1242" s="346">
        <v>35</v>
      </c>
      <c r="J1242" t="s">
        <v>39</v>
      </c>
      <c r="K1242" t="s">
        <v>62</v>
      </c>
      <c r="L1242" s="59" t="s">
        <v>99</v>
      </c>
    </row>
    <row r="1243" spans="2:12" x14ac:dyDescent="0.2">
      <c r="B1243" s="46">
        <v>1238</v>
      </c>
      <c r="C1243" s="562">
        <v>42744</v>
      </c>
      <c r="D1243" s="124">
        <v>0.51041666666666663</v>
      </c>
      <c r="E1243" s="561">
        <v>28</v>
      </c>
      <c r="F1243" s="561">
        <v>14.5</v>
      </c>
      <c r="G1243" s="561">
        <v>13.4</v>
      </c>
      <c r="H1243" s="361">
        <f t="shared" si="57"/>
        <v>18.633333333333333</v>
      </c>
      <c r="I1243" s="346">
        <v>34</v>
      </c>
      <c r="J1243" t="s">
        <v>38</v>
      </c>
      <c r="K1243" t="s">
        <v>62</v>
      </c>
      <c r="L1243" s="59" t="s">
        <v>99</v>
      </c>
    </row>
    <row r="1244" spans="2:12" x14ac:dyDescent="0.2">
      <c r="B1244" s="46">
        <v>1239</v>
      </c>
      <c r="C1244" s="562">
        <v>42744</v>
      </c>
      <c r="D1244" s="124">
        <v>0.9375</v>
      </c>
      <c r="E1244" s="561">
        <v>17.5</v>
      </c>
      <c r="F1244" s="561">
        <v>14.1</v>
      </c>
      <c r="G1244" s="561">
        <v>12.4</v>
      </c>
      <c r="H1244" s="361">
        <f t="shared" si="57"/>
        <v>14.666666666666666</v>
      </c>
      <c r="I1244" s="346">
        <v>29</v>
      </c>
      <c r="J1244" t="s">
        <v>39</v>
      </c>
      <c r="K1244" t="s">
        <v>57</v>
      </c>
      <c r="L1244" s="59" t="s">
        <v>150</v>
      </c>
    </row>
    <row r="1245" spans="2:12" x14ac:dyDescent="0.2">
      <c r="B1245" s="46">
        <v>1240</v>
      </c>
      <c r="C1245" s="565">
        <v>42745</v>
      </c>
      <c r="D1245" s="124">
        <v>0.52430555555555558</v>
      </c>
      <c r="E1245" s="563">
        <v>20.100000000000001</v>
      </c>
      <c r="F1245" s="563">
        <v>19.2</v>
      </c>
      <c r="G1245" s="563">
        <v>18.600000000000001</v>
      </c>
      <c r="H1245" s="361">
        <f t="shared" si="57"/>
        <v>19.3</v>
      </c>
      <c r="I1245" s="346">
        <v>32</v>
      </c>
      <c r="J1245" t="s">
        <v>38</v>
      </c>
      <c r="K1245" t="s">
        <v>62</v>
      </c>
      <c r="L1245" s="59" t="s">
        <v>99</v>
      </c>
    </row>
    <row r="1246" spans="2:12" x14ac:dyDescent="0.2">
      <c r="B1246" s="46">
        <v>1241</v>
      </c>
      <c r="C1246" s="565">
        <v>42745</v>
      </c>
      <c r="D1246" s="124">
        <v>0.99861111111111101</v>
      </c>
      <c r="E1246" s="563">
        <v>18.7</v>
      </c>
      <c r="F1246" s="563">
        <v>16.600000000000001</v>
      </c>
      <c r="G1246" s="563">
        <v>14.9</v>
      </c>
      <c r="H1246" s="361">
        <f t="shared" si="57"/>
        <v>16.733333333333331</v>
      </c>
      <c r="I1246" s="346">
        <v>26</v>
      </c>
      <c r="J1246" t="s">
        <v>39</v>
      </c>
      <c r="K1246" t="s">
        <v>62</v>
      </c>
      <c r="L1246" s="59" t="s">
        <v>150</v>
      </c>
    </row>
    <row r="1247" spans="2:12" x14ac:dyDescent="0.2">
      <c r="B1247" s="46">
        <v>1242</v>
      </c>
      <c r="C1247" s="568">
        <v>42746</v>
      </c>
      <c r="D1247" s="124">
        <v>0.62152777777777779</v>
      </c>
      <c r="E1247" s="566">
        <v>18</v>
      </c>
      <c r="F1247" s="566">
        <v>12.3</v>
      </c>
      <c r="G1247" s="566">
        <v>10.4</v>
      </c>
      <c r="H1247" s="361">
        <f t="shared" si="57"/>
        <v>13.566666666666668</v>
      </c>
      <c r="I1247" s="346">
        <v>35</v>
      </c>
      <c r="J1247" t="s">
        <v>38</v>
      </c>
      <c r="K1247" t="s">
        <v>62</v>
      </c>
      <c r="L1247" s="59" t="s">
        <v>99</v>
      </c>
    </row>
    <row r="1248" spans="2:12" x14ac:dyDescent="0.2">
      <c r="B1248" s="46">
        <v>1243</v>
      </c>
      <c r="C1248" s="568">
        <v>42746</v>
      </c>
      <c r="D1248" s="124">
        <v>0.97916666666666663</v>
      </c>
      <c r="E1248" s="566">
        <v>19.399999999999999</v>
      </c>
      <c r="F1248" s="566">
        <v>16.8</v>
      </c>
      <c r="G1248" s="566">
        <v>15.5</v>
      </c>
      <c r="H1248" s="361">
        <f t="shared" si="57"/>
        <v>17.233333333333334</v>
      </c>
      <c r="I1248" s="346">
        <v>43</v>
      </c>
      <c r="J1248" t="s">
        <v>39</v>
      </c>
      <c r="K1248" t="s">
        <v>57</v>
      </c>
      <c r="L1248" s="59" t="s">
        <v>150</v>
      </c>
    </row>
    <row r="1249" spans="2:12" x14ac:dyDescent="0.2">
      <c r="B1249" s="46">
        <v>1244</v>
      </c>
      <c r="C1249" s="570">
        <v>42747</v>
      </c>
      <c r="D1249" s="124">
        <v>0.64583333333333337</v>
      </c>
      <c r="E1249" s="569">
        <v>17.2</v>
      </c>
      <c r="F1249" s="569">
        <v>16.100000000000001</v>
      </c>
      <c r="G1249" s="569">
        <v>15.6</v>
      </c>
      <c r="H1249" s="361">
        <f t="shared" ref="H1249:H1250" si="58">AVERAGE(E1249:G1249)</f>
        <v>16.3</v>
      </c>
      <c r="I1249" s="346">
        <v>33</v>
      </c>
      <c r="J1249" t="s">
        <v>38</v>
      </c>
      <c r="K1249" t="s">
        <v>62</v>
      </c>
      <c r="L1249" s="59" t="s">
        <v>150</v>
      </c>
    </row>
    <row r="1250" spans="2:12" x14ac:dyDescent="0.2">
      <c r="B1250" s="46">
        <v>1245</v>
      </c>
      <c r="C1250" s="570">
        <v>42747</v>
      </c>
      <c r="D1250" s="124">
        <v>8.3333333333333329E-2</v>
      </c>
      <c r="E1250" s="569">
        <v>22.2</v>
      </c>
      <c r="F1250" s="569">
        <v>19.899999999999999</v>
      </c>
      <c r="G1250" s="569">
        <v>18.899999999999999</v>
      </c>
      <c r="H1250" s="361">
        <f t="shared" si="58"/>
        <v>20.333333333333332</v>
      </c>
      <c r="I1250" s="346">
        <v>36</v>
      </c>
      <c r="J1250" t="s">
        <v>39</v>
      </c>
      <c r="K1250" t="s">
        <v>62</v>
      </c>
      <c r="L1250" s="59" t="s">
        <v>150</v>
      </c>
    </row>
    <row r="1251" spans="2:12" x14ac:dyDescent="0.2">
      <c r="B1251" s="46">
        <v>1246</v>
      </c>
      <c r="C1251" s="572">
        <v>42748</v>
      </c>
      <c r="D1251" s="124">
        <v>0.56944444444444442</v>
      </c>
      <c r="E1251" s="571">
        <v>20.7</v>
      </c>
      <c r="F1251" s="571">
        <v>18.600000000000001</v>
      </c>
      <c r="G1251" s="571">
        <v>17.3</v>
      </c>
      <c r="H1251" s="361">
        <f t="shared" ref="H1251:H1254" si="59">AVERAGE(E1251:G1251)</f>
        <v>18.866666666666664</v>
      </c>
      <c r="I1251" s="346">
        <v>32</v>
      </c>
      <c r="J1251" t="s">
        <v>38</v>
      </c>
      <c r="K1251" t="s">
        <v>62</v>
      </c>
      <c r="L1251" s="59" t="s">
        <v>150</v>
      </c>
    </row>
    <row r="1252" spans="2:12" x14ac:dyDescent="0.2">
      <c r="B1252" s="46">
        <v>1247</v>
      </c>
      <c r="C1252" s="572">
        <v>42748</v>
      </c>
      <c r="D1252" s="124">
        <v>6.25E-2</v>
      </c>
      <c r="E1252" s="571">
        <v>19.600000000000001</v>
      </c>
      <c r="F1252" s="571">
        <v>18.2</v>
      </c>
      <c r="G1252" s="571">
        <v>17.100000000000001</v>
      </c>
      <c r="H1252" s="361">
        <f t="shared" si="59"/>
        <v>18.3</v>
      </c>
      <c r="I1252" s="346">
        <v>37</v>
      </c>
      <c r="J1252" t="s">
        <v>39</v>
      </c>
      <c r="K1252" t="s">
        <v>62</v>
      </c>
      <c r="L1252" s="59" t="s">
        <v>150</v>
      </c>
    </row>
    <row r="1253" spans="2:12" x14ac:dyDescent="0.2">
      <c r="B1253" s="46">
        <v>1248</v>
      </c>
      <c r="C1253" s="574">
        <v>42749</v>
      </c>
      <c r="D1253" s="124">
        <v>0.4861111111111111</v>
      </c>
      <c r="E1253" s="573">
        <v>23</v>
      </c>
      <c r="F1253" s="573">
        <v>18.7</v>
      </c>
      <c r="G1253" s="573">
        <v>16.5</v>
      </c>
      <c r="H1253" s="361">
        <f t="shared" si="59"/>
        <v>19.400000000000002</v>
      </c>
      <c r="I1253" s="346">
        <v>36</v>
      </c>
      <c r="J1253" t="s">
        <v>38</v>
      </c>
      <c r="K1253" t="s">
        <v>57</v>
      </c>
      <c r="L1253" s="59" t="s">
        <v>150</v>
      </c>
    </row>
    <row r="1254" spans="2:12" x14ac:dyDescent="0.2">
      <c r="B1254" s="46">
        <v>1249</v>
      </c>
      <c r="C1254" s="574">
        <v>42749</v>
      </c>
      <c r="D1254" s="124">
        <v>0.98958333333333337</v>
      </c>
      <c r="E1254" s="573">
        <v>16.7</v>
      </c>
      <c r="F1254" s="573">
        <v>14.6</v>
      </c>
      <c r="G1254" s="573">
        <v>13.8</v>
      </c>
      <c r="H1254" s="361">
        <f t="shared" si="59"/>
        <v>15.033333333333331</v>
      </c>
      <c r="I1254" s="346">
        <v>39</v>
      </c>
      <c r="J1254" t="s">
        <v>39</v>
      </c>
      <c r="K1254" t="s">
        <v>57</v>
      </c>
      <c r="L1254" s="59" t="s">
        <v>150</v>
      </c>
    </row>
    <row r="1255" spans="2:12" x14ac:dyDescent="0.2">
      <c r="B1255" s="46">
        <v>1250</v>
      </c>
      <c r="C1255" s="578">
        <v>42751</v>
      </c>
      <c r="D1255" s="124">
        <v>9.7222222222222224E-2</v>
      </c>
      <c r="E1255" s="576">
        <v>18.2</v>
      </c>
      <c r="F1255" s="576">
        <v>16.8</v>
      </c>
      <c r="G1255" s="576">
        <v>14.5</v>
      </c>
      <c r="H1255" s="361">
        <f t="shared" ref="H1255" si="60">AVERAGE(E1255:G1255)</f>
        <v>16.5</v>
      </c>
      <c r="I1255" s="346">
        <v>24</v>
      </c>
      <c r="J1255" t="s">
        <v>39</v>
      </c>
      <c r="K1255" t="s">
        <v>62</v>
      </c>
      <c r="L1255" s="59" t="s">
        <v>150</v>
      </c>
    </row>
    <row r="1256" spans="2:12" x14ac:dyDescent="0.2">
      <c r="B1256" s="46">
        <v>1251</v>
      </c>
      <c r="C1256" s="581">
        <v>42752</v>
      </c>
      <c r="D1256" s="124">
        <v>0.50694444444444442</v>
      </c>
      <c r="E1256" s="579">
        <v>21.1</v>
      </c>
      <c r="F1256" s="579">
        <v>20.8</v>
      </c>
      <c r="G1256" s="579">
        <v>19.399999999999999</v>
      </c>
      <c r="H1256" s="361">
        <f t="shared" ref="H1256:H1258" si="61">AVERAGE(E1256:G1256)</f>
        <v>20.433333333333334</v>
      </c>
      <c r="I1256" s="346">
        <v>42</v>
      </c>
      <c r="J1256" t="s">
        <v>38</v>
      </c>
      <c r="K1256" t="s">
        <v>57</v>
      </c>
      <c r="L1256" s="59" t="s">
        <v>150</v>
      </c>
    </row>
    <row r="1257" spans="2:12" x14ac:dyDescent="0.2">
      <c r="B1257" s="46">
        <v>1252</v>
      </c>
      <c r="C1257" s="584">
        <v>42753</v>
      </c>
      <c r="D1257" s="124">
        <v>0.51041666666666663</v>
      </c>
      <c r="E1257" s="583">
        <v>9.6999999999999993</v>
      </c>
      <c r="F1257" s="583">
        <v>18.600000000000001</v>
      </c>
      <c r="G1257" s="583">
        <v>17.2</v>
      </c>
      <c r="H1257" s="361">
        <f t="shared" si="61"/>
        <v>15.166666666666666</v>
      </c>
      <c r="I1257" s="346">
        <v>42</v>
      </c>
      <c r="J1257" t="s">
        <v>38</v>
      </c>
      <c r="K1257" t="s">
        <v>62</v>
      </c>
      <c r="L1257" s="59" t="s">
        <v>150</v>
      </c>
    </row>
    <row r="1258" spans="2:12" x14ac:dyDescent="0.2">
      <c r="B1258" s="46">
        <v>1253</v>
      </c>
      <c r="C1258" s="584">
        <v>42753</v>
      </c>
      <c r="D1258" s="124">
        <v>0.99930555555555556</v>
      </c>
      <c r="E1258" s="583">
        <v>20.8</v>
      </c>
      <c r="F1258" s="583">
        <v>19.600000000000001</v>
      </c>
      <c r="G1258" s="583">
        <v>17.8</v>
      </c>
      <c r="H1258" s="361">
        <f t="shared" si="61"/>
        <v>19.400000000000002</v>
      </c>
      <c r="I1258" s="346">
        <v>38</v>
      </c>
      <c r="J1258" t="s">
        <v>39</v>
      </c>
      <c r="K1258" t="s">
        <v>57</v>
      </c>
      <c r="L1258" s="59" t="s">
        <v>150</v>
      </c>
    </row>
    <row r="1259" spans="2:12" x14ac:dyDescent="0.2">
      <c r="B1259" s="46">
        <v>1254</v>
      </c>
      <c r="C1259" s="586">
        <v>42754</v>
      </c>
      <c r="D1259" s="124">
        <v>0.50694444444444442</v>
      </c>
      <c r="E1259" s="585">
        <v>20.2</v>
      </c>
      <c r="F1259" s="585">
        <v>19.5</v>
      </c>
      <c r="G1259" s="585">
        <v>18.7</v>
      </c>
      <c r="H1259" s="361">
        <f t="shared" ref="H1259:H1260" si="62">AVERAGE(E1259:G1259)</f>
        <v>19.466666666666669</v>
      </c>
      <c r="I1259" s="346">
        <v>32</v>
      </c>
      <c r="J1259" t="s">
        <v>38</v>
      </c>
      <c r="K1259" t="s">
        <v>62</v>
      </c>
      <c r="L1259" s="59" t="s">
        <v>99</v>
      </c>
    </row>
    <row r="1260" spans="2:12" x14ac:dyDescent="0.2">
      <c r="B1260" s="46">
        <v>1255</v>
      </c>
      <c r="C1260" s="586">
        <v>42754</v>
      </c>
      <c r="D1260" s="124">
        <v>6.9444444444444434E-2</v>
      </c>
      <c r="E1260" s="585">
        <v>17.3</v>
      </c>
      <c r="F1260" s="585">
        <v>14.9</v>
      </c>
      <c r="G1260" s="585">
        <v>12.8</v>
      </c>
      <c r="H1260" s="361">
        <f t="shared" si="62"/>
        <v>15</v>
      </c>
      <c r="I1260" s="346">
        <v>36</v>
      </c>
      <c r="J1260" t="s">
        <v>39</v>
      </c>
      <c r="K1260" t="s">
        <v>62</v>
      </c>
      <c r="L1260" s="59" t="s">
        <v>99</v>
      </c>
    </row>
    <row r="1261" spans="2:12" x14ac:dyDescent="0.2">
      <c r="B1261" s="46">
        <v>1256</v>
      </c>
      <c r="C1261" s="589">
        <v>42755</v>
      </c>
      <c r="D1261" s="124">
        <v>0.65277777777777779</v>
      </c>
      <c r="E1261" s="587">
        <v>20</v>
      </c>
      <c r="F1261" s="587">
        <v>17.8</v>
      </c>
      <c r="G1261" s="587">
        <v>14.3</v>
      </c>
      <c r="H1261" s="361">
        <f t="shared" ref="H1261" si="63">AVERAGE(E1261:G1261)</f>
        <v>17.366666666666664</v>
      </c>
      <c r="I1261" s="346">
        <v>28</v>
      </c>
      <c r="J1261" t="s">
        <v>38</v>
      </c>
      <c r="K1261" t="s">
        <v>62</v>
      </c>
      <c r="L1261" s="59" t="s">
        <v>99</v>
      </c>
    </row>
    <row r="1262" spans="2:12" x14ac:dyDescent="0.2">
      <c r="B1262" s="46">
        <v>1257</v>
      </c>
      <c r="C1262" s="592">
        <v>42756</v>
      </c>
      <c r="D1262" s="124">
        <v>0.61458333333333337</v>
      </c>
      <c r="E1262" s="590">
        <v>19.8</v>
      </c>
      <c r="F1262" s="590">
        <v>17.2</v>
      </c>
      <c r="G1262" s="590">
        <v>16.8</v>
      </c>
      <c r="H1262" s="361">
        <f t="shared" ref="H1262" si="64">AVERAGE(E1262:G1262)</f>
        <v>17.933333333333334</v>
      </c>
      <c r="I1262" s="346">
        <v>28.8</v>
      </c>
      <c r="J1262" t="s">
        <v>38</v>
      </c>
      <c r="K1262" t="s">
        <v>62</v>
      </c>
      <c r="L1262" s="59" t="s">
        <v>99</v>
      </c>
    </row>
    <row r="1263" spans="2:12" x14ac:dyDescent="0.2">
      <c r="B1263" s="46">
        <v>1258</v>
      </c>
      <c r="C1263" s="594">
        <v>42757</v>
      </c>
      <c r="D1263" s="124">
        <v>0.61111111111111105</v>
      </c>
      <c r="E1263" s="593">
        <v>12.4</v>
      </c>
      <c r="F1263" s="593">
        <v>11.5</v>
      </c>
      <c r="G1263" s="593">
        <v>11</v>
      </c>
      <c r="H1263" s="361">
        <f t="shared" ref="H1263" si="65">AVERAGE(E1263:G1263)</f>
        <v>11.633333333333333</v>
      </c>
      <c r="I1263" s="346">
        <v>38.299999999999997</v>
      </c>
      <c r="J1263" t="s">
        <v>38</v>
      </c>
      <c r="K1263" t="s">
        <v>50</v>
      </c>
      <c r="L1263" s="59" t="s">
        <v>99</v>
      </c>
    </row>
    <row r="1264" spans="2:12" x14ac:dyDescent="0.2">
      <c r="B1264" s="46">
        <v>1259</v>
      </c>
      <c r="C1264" s="597">
        <v>42758</v>
      </c>
      <c r="D1264" s="124">
        <v>0.19444444444444445</v>
      </c>
      <c r="E1264" s="595">
        <v>14.2</v>
      </c>
      <c r="F1264" s="595">
        <v>13.1</v>
      </c>
      <c r="G1264" s="595">
        <v>11</v>
      </c>
      <c r="H1264" s="361">
        <f t="shared" ref="H1264:H1265" si="66">AVERAGE(E1264:G1264)</f>
        <v>12.766666666666666</v>
      </c>
      <c r="I1264" s="346">
        <v>29</v>
      </c>
      <c r="J1264" t="s">
        <v>39</v>
      </c>
      <c r="K1264" t="s">
        <v>50</v>
      </c>
      <c r="L1264" s="59" t="s">
        <v>150</v>
      </c>
    </row>
    <row r="1265" spans="2:12" x14ac:dyDescent="0.2">
      <c r="B1265" s="46">
        <v>1260</v>
      </c>
      <c r="C1265" s="600">
        <v>42759</v>
      </c>
      <c r="D1265" s="124">
        <v>0.51041666666666663</v>
      </c>
      <c r="E1265" s="598">
        <v>19.5</v>
      </c>
      <c r="F1265" s="598">
        <v>15.2</v>
      </c>
      <c r="G1265" s="598">
        <v>12.7</v>
      </c>
      <c r="H1265" s="361">
        <f t="shared" si="66"/>
        <v>15.800000000000002</v>
      </c>
      <c r="I1265" s="346">
        <v>34.299999999999997</v>
      </c>
      <c r="J1265" t="s">
        <v>38</v>
      </c>
      <c r="K1265" t="s">
        <v>61</v>
      </c>
      <c r="L1265" s="59" t="s">
        <v>150</v>
      </c>
    </row>
    <row r="1266" spans="2:12" x14ac:dyDescent="0.2">
      <c r="B1266" s="46">
        <v>1261</v>
      </c>
      <c r="C1266" s="600">
        <v>42759</v>
      </c>
      <c r="D1266" s="124">
        <v>0.96875</v>
      </c>
      <c r="E1266" s="598">
        <v>18.8</v>
      </c>
      <c r="F1266" s="598">
        <v>15.6</v>
      </c>
      <c r="G1266" s="598">
        <v>14.7</v>
      </c>
      <c r="H1266" s="361">
        <f t="shared" ref="H1266" si="67">AVERAGE(E1266:G1266)</f>
        <v>16.366666666666664</v>
      </c>
      <c r="I1266" s="346">
        <v>37</v>
      </c>
      <c r="J1266" t="s">
        <v>38</v>
      </c>
      <c r="K1266" t="s">
        <v>83</v>
      </c>
      <c r="L1266" s="59" t="s">
        <v>150</v>
      </c>
    </row>
    <row r="1267" spans="2:12" x14ac:dyDescent="0.2">
      <c r="B1267" s="46">
        <v>1262</v>
      </c>
      <c r="C1267" s="603">
        <v>42760</v>
      </c>
      <c r="D1267" s="124">
        <v>0.47569444444444442</v>
      </c>
      <c r="E1267" s="601">
        <v>19.399999999999999</v>
      </c>
      <c r="F1267" s="601">
        <v>18.7</v>
      </c>
      <c r="G1267" s="601">
        <v>17.2</v>
      </c>
      <c r="H1267" s="361">
        <f t="shared" ref="H1267" si="68">AVERAGE(E1267:G1267)</f>
        <v>18.433333333333334</v>
      </c>
      <c r="I1267" s="346">
        <v>24</v>
      </c>
      <c r="J1267" t="s">
        <v>38</v>
      </c>
      <c r="K1267" t="s">
        <v>50</v>
      </c>
      <c r="L1267" s="59" t="s">
        <v>150</v>
      </c>
    </row>
    <row r="1268" spans="2:12" x14ac:dyDescent="0.2">
      <c r="B1268" s="46">
        <v>1263</v>
      </c>
      <c r="C1268" s="606">
        <v>42761</v>
      </c>
      <c r="D1268" s="124">
        <v>0.51041666666666663</v>
      </c>
      <c r="E1268" s="604">
        <v>19.100000000000001</v>
      </c>
      <c r="F1268" s="604">
        <v>18.399999999999999</v>
      </c>
      <c r="G1268" s="604">
        <v>17.600000000000001</v>
      </c>
      <c r="H1268" s="361">
        <f t="shared" ref="H1268:H1277" si="69">AVERAGE(E1268:G1268)</f>
        <v>18.366666666666667</v>
      </c>
      <c r="I1268" s="346">
        <v>36</v>
      </c>
      <c r="J1268" t="s">
        <v>38</v>
      </c>
      <c r="K1268" t="s">
        <v>50</v>
      </c>
      <c r="L1268" s="59" t="s">
        <v>150</v>
      </c>
    </row>
    <row r="1269" spans="2:12" x14ac:dyDescent="0.2">
      <c r="B1269" s="46">
        <v>1264</v>
      </c>
      <c r="C1269" s="609">
        <v>42762</v>
      </c>
      <c r="D1269" s="124">
        <v>0.52777777777777779</v>
      </c>
      <c r="E1269" s="607">
        <v>17.3</v>
      </c>
      <c r="F1269" s="607">
        <v>17.2</v>
      </c>
      <c r="G1269" s="607">
        <v>15.3</v>
      </c>
      <c r="H1269" s="361">
        <f t="shared" ref="H1269" si="70">AVERAGE(E1269:G1269)</f>
        <v>16.599999999999998</v>
      </c>
      <c r="I1269" s="346">
        <v>31</v>
      </c>
      <c r="J1269" t="s">
        <v>38</v>
      </c>
      <c r="K1269" t="s">
        <v>50</v>
      </c>
      <c r="L1269" s="59" t="s">
        <v>150</v>
      </c>
    </row>
    <row r="1270" spans="2:12" x14ac:dyDescent="0.2">
      <c r="B1270" s="46">
        <v>1265</v>
      </c>
      <c r="C1270" s="612">
        <v>42763</v>
      </c>
      <c r="D1270" s="124">
        <v>0.51388888888888895</v>
      </c>
      <c r="E1270" s="610">
        <v>11.1</v>
      </c>
      <c r="F1270" s="610">
        <v>13.8</v>
      </c>
      <c r="G1270" s="610">
        <v>15.5</v>
      </c>
      <c r="H1270" s="361">
        <f t="shared" si="69"/>
        <v>13.466666666666667</v>
      </c>
      <c r="I1270" s="346">
        <v>18</v>
      </c>
      <c r="J1270" t="s">
        <v>38</v>
      </c>
      <c r="K1270" t="s">
        <v>50</v>
      </c>
      <c r="L1270" s="59" t="s">
        <v>150</v>
      </c>
    </row>
    <row r="1271" spans="2:12" x14ac:dyDescent="0.2">
      <c r="B1271" s="46">
        <v>1266</v>
      </c>
      <c r="C1271" s="618">
        <v>42764</v>
      </c>
      <c r="D1271" s="124">
        <v>0.46527777777777773</v>
      </c>
      <c r="E1271" s="616">
        <v>20.3</v>
      </c>
      <c r="F1271" s="616">
        <v>19.5</v>
      </c>
      <c r="G1271" s="616">
        <v>18.899999999999999</v>
      </c>
      <c r="H1271" s="361">
        <f t="shared" si="69"/>
        <v>19.566666666666666</v>
      </c>
      <c r="I1271" s="346">
        <v>31</v>
      </c>
      <c r="J1271" t="s">
        <v>38</v>
      </c>
      <c r="K1271" t="s">
        <v>50</v>
      </c>
      <c r="L1271" s="59" t="s">
        <v>150</v>
      </c>
    </row>
    <row r="1272" spans="2:12" x14ac:dyDescent="0.2">
      <c r="B1272" s="46">
        <v>1267</v>
      </c>
      <c r="C1272" s="625">
        <v>42765</v>
      </c>
      <c r="D1272" s="124">
        <v>0.50694444444444442</v>
      </c>
      <c r="E1272" s="623">
        <v>22.1</v>
      </c>
      <c r="F1272" s="623">
        <v>20.3</v>
      </c>
      <c r="G1272" s="623">
        <v>19.899999999999999</v>
      </c>
      <c r="H1272" s="361">
        <f t="shared" si="69"/>
        <v>20.766666666666669</v>
      </c>
      <c r="I1272" s="346">
        <v>36</v>
      </c>
      <c r="J1272" t="s">
        <v>38</v>
      </c>
      <c r="K1272" t="s">
        <v>62</v>
      </c>
      <c r="L1272" s="59" t="s">
        <v>150</v>
      </c>
    </row>
    <row r="1273" spans="2:12" x14ac:dyDescent="0.2">
      <c r="B1273" s="46">
        <v>1268</v>
      </c>
      <c r="C1273" s="625">
        <v>42765</v>
      </c>
      <c r="D1273" s="124">
        <v>0.9375</v>
      </c>
      <c r="E1273" s="623">
        <v>16.8</v>
      </c>
      <c r="F1273" s="623">
        <v>15.3</v>
      </c>
      <c r="G1273" s="623">
        <v>12.7</v>
      </c>
      <c r="H1273" s="361">
        <f t="shared" si="69"/>
        <v>14.933333333333332</v>
      </c>
      <c r="I1273" s="346">
        <v>38</v>
      </c>
      <c r="J1273" t="s">
        <v>38</v>
      </c>
      <c r="K1273" t="s">
        <v>50</v>
      </c>
      <c r="L1273" s="59" t="s">
        <v>150</v>
      </c>
    </row>
    <row r="1274" spans="2:12" x14ac:dyDescent="0.2">
      <c r="B1274" s="46">
        <v>1269</v>
      </c>
      <c r="C1274" s="627">
        <v>42766</v>
      </c>
      <c r="D1274" s="124">
        <v>0.46875</v>
      </c>
      <c r="E1274" s="626">
        <v>19.8</v>
      </c>
      <c r="F1274" s="626">
        <v>17.3</v>
      </c>
      <c r="G1274" s="626">
        <v>16.8</v>
      </c>
      <c r="H1274" s="361">
        <f t="shared" si="69"/>
        <v>17.966666666666669</v>
      </c>
      <c r="I1274" s="346">
        <v>28</v>
      </c>
      <c r="J1274" t="s">
        <v>38</v>
      </c>
      <c r="K1274" t="s">
        <v>61</v>
      </c>
      <c r="L1274" s="638" t="s">
        <v>150</v>
      </c>
    </row>
    <row r="1275" spans="2:12" x14ac:dyDescent="0.2">
      <c r="B1275" s="46">
        <v>1270</v>
      </c>
      <c r="C1275" s="627">
        <v>42766</v>
      </c>
      <c r="D1275" s="124">
        <v>0.93055555555555547</v>
      </c>
      <c r="E1275" s="626">
        <v>17.600000000000001</v>
      </c>
      <c r="F1275" s="626">
        <v>14.4</v>
      </c>
      <c r="G1275" s="626">
        <v>11.4</v>
      </c>
      <c r="H1275" s="361">
        <f t="shared" si="69"/>
        <v>14.466666666666667</v>
      </c>
      <c r="I1275" s="346">
        <v>28</v>
      </c>
      <c r="J1275" t="s">
        <v>38</v>
      </c>
      <c r="K1275" t="s">
        <v>83</v>
      </c>
      <c r="L1275" s="638" t="s">
        <v>150</v>
      </c>
    </row>
    <row r="1276" spans="2:12" x14ac:dyDescent="0.2">
      <c r="B1276" s="46">
        <v>1271</v>
      </c>
      <c r="C1276" s="631">
        <v>42767</v>
      </c>
      <c r="D1276" s="124">
        <v>0.50694444444444442</v>
      </c>
      <c r="E1276" s="629">
        <v>23.9</v>
      </c>
      <c r="F1276" s="629">
        <v>18.399999999999999</v>
      </c>
      <c r="G1276" s="629">
        <v>13.5</v>
      </c>
      <c r="H1276" s="361">
        <f t="shared" si="69"/>
        <v>18.599999999999998</v>
      </c>
      <c r="I1276" s="346">
        <v>21</v>
      </c>
      <c r="J1276" t="s">
        <v>38</v>
      </c>
      <c r="K1276" t="s">
        <v>83</v>
      </c>
      <c r="L1276" s="638" t="s">
        <v>150</v>
      </c>
    </row>
    <row r="1277" spans="2:12" x14ac:dyDescent="0.2">
      <c r="B1277" s="46">
        <v>1272</v>
      </c>
      <c r="C1277" s="631">
        <v>42767</v>
      </c>
      <c r="D1277" s="124">
        <v>0.94791666666666663</v>
      </c>
      <c r="E1277" s="629">
        <v>20.6</v>
      </c>
      <c r="F1277" s="629">
        <v>17.2</v>
      </c>
      <c r="G1277" s="629">
        <v>15.3</v>
      </c>
      <c r="H1277" s="361">
        <f t="shared" si="69"/>
        <v>17.7</v>
      </c>
      <c r="I1277" s="346">
        <v>34</v>
      </c>
      <c r="J1277" t="s">
        <v>38</v>
      </c>
      <c r="K1277" t="s">
        <v>50</v>
      </c>
      <c r="L1277" s="59" t="s">
        <v>99</v>
      </c>
    </row>
    <row r="1278" spans="2:12" x14ac:dyDescent="0.2">
      <c r="B1278" s="46">
        <v>1273</v>
      </c>
      <c r="C1278" s="634">
        <v>42768</v>
      </c>
      <c r="D1278" s="124">
        <v>0.5</v>
      </c>
      <c r="E1278" s="632">
        <v>23.2</v>
      </c>
      <c r="F1278" s="632">
        <v>18.600000000000001</v>
      </c>
      <c r="G1278" s="632">
        <v>17.2</v>
      </c>
      <c r="H1278" s="361">
        <f t="shared" ref="H1278:H1279" si="71">AVERAGE(E1278:G1278)</f>
        <v>19.666666666666668</v>
      </c>
      <c r="I1278" s="346">
        <v>21</v>
      </c>
      <c r="J1278" t="s">
        <v>38</v>
      </c>
      <c r="K1278" t="s">
        <v>83</v>
      </c>
      <c r="L1278" s="638" t="s">
        <v>150</v>
      </c>
    </row>
    <row r="1279" spans="2:12" x14ac:dyDescent="0.2">
      <c r="B1279" s="46">
        <v>1274</v>
      </c>
      <c r="C1279" s="634">
        <v>42768</v>
      </c>
      <c r="D1279" s="124">
        <v>0.94791666666666663</v>
      </c>
      <c r="E1279" s="632">
        <v>18.899999999999999</v>
      </c>
      <c r="F1279" s="632">
        <v>17.3</v>
      </c>
      <c r="G1279" s="632">
        <v>14.5</v>
      </c>
      <c r="H1279" s="361">
        <f t="shared" si="71"/>
        <v>16.900000000000002</v>
      </c>
      <c r="I1279" s="346">
        <v>34</v>
      </c>
      <c r="J1279" t="s">
        <v>38</v>
      </c>
      <c r="K1279" t="s">
        <v>50</v>
      </c>
      <c r="L1279" s="59" t="s">
        <v>99</v>
      </c>
    </row>
    <row r="1280" spans="2:12" x14ac:dyDescent="0.2">
      <c r="B1280" s="46">
        <v>1275</v>
      </c>
      <c r="C1280" s="637">
        <v>42769</v>
      </c>
      <c r="D1280" s="124">
        <v>0.4375</v>
      </c>
      <c r="E1280" s="635">
        <v>22.8</v>
      </c>
      <c r="F1280" s="635">
        <v>18.7</v>
      </c>
      <c r="G1280" s="635">
        <v>15.5</v>
      </c>
      <c r="H1280" s="361">
        <f t="shared" ref="H1280:H1283" si="72">AVERAGE(E1280:G1280)</f>
        <v>19</v>
      </c>
      <c r="I1280" s="346">
        <v>23</v>
      </c>
      <c r="J1280" t="s">
        <v>38</v>
      </c>
      <c r="K1280" t="s">
        <v>50</v>
      </c>
      <c r="L1280" s="638" t="s">
        <v>150</v>
      </c>
    </row>
    <row r="1281" spans="2:12" x14ac:dyDescent="0.2">
      <c r="B1281" s="59">
        <v>1276</v>
      </c>
      <c r="C1281" s="637">
        <v>42769</v>
      </c>
      <c r="D1281" s="124">
        <v>0.88541666666666663</v>
      </c>
      <c r="E1281" s="635">
        <v>17.3</v>
      </c>
      <c r="F1281" s="635">
        <v>15.2</v>
      </c>
      <c r="G1281" s="635">
        <v>14.5</v>
      </c>
      <c r="H1281" s="361">
        <f t="shared" si="72"/>
        <v>15.666666666666666</v>
      </c>
      <c r="I1281" s="346">
        <v>42</v>
      </c>
      <c r="J1281" t="s">
        <v>38</v>
      </c>
      <c r="K1281" t="s">
        <v>83</v>
      </c>
      <c r="L1281" s="59" t="s">
        <v>99</v>
      </c>
    </row>
    <row r="1282" spans="2:12" x14ac:dyDescent="0.2">
      <c r="B1282" s="46">
        <v>1277</v>
      </c>
      <c r="C1282" s="641">
        <v>42770</v>
      </c>
      <c r="D1282" s="124">
        <v>0.44444444444444442</v>
      </c>
      <c r="E1282" s="639">
        <v>13.9</v>
      </c>
      <c r="F1282" s="639">
        <v>11.8</v>
      </c>
      <c r="G1282" s="639">
        <v>10.8</v>
      </c>
      <c r="H1282" s="361">
        <f t="shared" si="72"/>
        <v>12.166666666666666</v>
      </c>
      <c r="I1282" s="346">
        <v>30</v>
      </c>
      <c r="J1282" t="s">
        <v>38</v>
      </c>
      <c r="K1282" t="s">
        <v>50</v>
      </c>
      <c r="L1282" s="638" t="s">
        <v>150</v>
      </c>
    </row>
    <row r="1283" spans="2:12" x14ac:dyDescent="0.2">
      <c r="B1283" s="46">
        <v>1278</v>
      </c>
      <c r="C1283" s="645">
        <v>42771</v>
      </c>
      <c r="D1283" s="124">
        <v>0.50694444444444442</v>
      </c>
      <c r="E1283" s="639">
        <v>20.3</v>
      </c>
      <c r="F1283" s="644">
        <v>19.5</v>
      </c>
      <c r="G1283" s="644">
        <v>17.899999999999999</v>
      </c>
      <c r="H1283" s="361">
        <f t="shared" si="72"/>
        <v>19.233333333333331</v>
      </c>
      <c r="I1283" s="346">
        <v>36</v>
      </c>
      <c r="J1283" t="s">
        <v>38</v>
      </c>
      <c r="K1283" t="s">
        <v>50</v>
      </c>
      <c r="L1283" s="638" t="s">
        <v>150</v>
      </c>
    </row>
    <row r="1284" spans="2:12" x14ac:dyDescent="0.2">
      <c r="B1284" s="59">
        <v>1279</v>
      </c>
      <c r="C1284" s="648">
        <v>42772</v>
      </c>
      <c r="D1284" s="124">
        <v>0.46875</v>
      </c>
      <c r="E1284" s="646">
        <v>22.3</v>
      </c>
      <c r="F1284" s="646">
        <v>21.5</v>
      </c>
      <c r="G1284" s="646">
        <v>20.100000000000001</v>
      </c>
      <c r="H1284" s="361">
        <f t="shared" ref="H1284:H1285" si="73">AVERAGE(E1284:G1284)</f>
        <v>21.3</v>
      </c>
      <c r="I1284" s="346">
        <v>26</v>
      </c>
      <c r="J1284" t="s">
        <v>38</v>
      </c>
      <c r="K1284" t="s">
        <v>57</v>
      </c>
      <c r="L1284" s="638" t="s">
        <v>150</v>
      </c>
    </row>
    <row r="1285" spans="2:12" x14ac:dyDescent="0.2">
      <c r="B1285" s="46">
        <v>1280</v>
      </c>
      <c r="C1285" s="648">
        <v>42772</v>
      </c>
      <c r="D1285" s="124">
        <v>0.9375</v>
      </c>
      <c r="E1285" s="646">
        <v>19</v>
      </c>
      <c r="F1285" s="646">
        <v>18.5</v>
      </c>
      <c r="G1285" s="646">
        <v>16.899999999999999</v>
      </c>
      <c r="H1285" s="361">
        <f t="shared" si="73"/>
        <v>18.133333333333333</v>
      </c>
      <c r="I1285" s="346">
        <v>28</v>
      </c>
      <c r="J1285" t="s">
        <v>38</v>
      </c>
      <c r="K1285" t="s">
        <v>61</v>
      </c>
      <c r="L1285" s="638" t="s">
        <v>150</v>
      </c>
    </row>
    <row r="1286" spans="2:12" x14ac:dyDescent="0.2">
      <c r="B1286" s="46">
        <v>1281</v>
      </c>
      <c r="C1286" s="651">
        <v>42773</v>
      </c>
      <c r="D1286" s="124">
        <v>0.46527777777777773</v>
      </c>
      <c r="E1286" s="649">
        <v>17.8</v>
      </c>
      <c r="F1286" s="649">
        <v>15.3</v>
      </c>
      <c r="G1286" s="649">
        <v>13.9</v>
      </c>
      <c r="H1286" s="361">
        <f t="shared" ref="H1286:H1287" si="74">AVERAGE(E1286:G1286)</f>
        <v>15.666666666666666</v>
      </c>
      <c r="I1286" s="346">
        <v>31</v>
      </c>
      <c r="J1286" t="s">
        <v>38</v>
      </c>
      <c r="K1286" t="s">
        <v>62</v>
      </c>
      <c r="L1286" s="638" t="s">
        <v>150</v>
      </c>
    </row>
    <row r="1287" spans="2:12" x14ac:dyDescent="0.2">
      <c r="B1287" s="59">
        <v>1282</v>
      </c>
      <c r="C1287" s="651">
        <v>42773</v>
      </c>
      <c r="D1287" s="124">
        <v>0.94791666666666663</v>
      </c>
      <c r="E1287" s="649">
        <v>20.6</v>
      </c>
      <c r="F1287" s="649">
        <v>18.899999999999999</v>
      </c>
      <c r="G1287" s="649">
        <v>17.8</v>
      </c>
      <c r="H1287" s="361">
        <f t="shared" si="74"/>
        <v>19.099999999999998</v>
      </c>
      <c r="I1287" s="346">
        <v>36</v>
      </c>
      <c r="J1287" t="s">
        <v>38</v>
      </c>
      <c r="K1287" t="s">
        <v>50</v>
      </c>
      <c r="L1287" s="638" t="s">
        <v>150</v>
      </c>
    </row>
    <row r="1288" spans="2:12" x14ac:dyDescent="0.2">
      <c r="B1288" s="46">
        <v>1283</v>
      </c>
      <c r="C1288" s="654">
        <v>42774</v>
      </c>
      <c r="D1288" s="124">
        <v>0.50694444444444442</v>
      </c>
      <c r="E1288" s="652">
        <v>18.2</v>
      </c>
      <c r="F1288" s="652">
        <v>17.8</v>
      </c>
      <c r="G1288" s="652">
        <v>16.899999999999999</v>
      </c>
      <c r="H1288" s="361">
        <f t="shared" ref="H1288:H1289" si="75">AVERAGE(E1288:G1288)</f>
        <v>17.633333333333333</v>
      </c>
      <c r="I1288" s="346">
        <v>27</v>
      </c>
      <c r="J1288" t="s">
        <v>38</v>
      </c>
      <c r="K1288" t="s">
        <v>62</v>
      </c>
      <c r="L1288" s="638" t="s">
        <v>150</v>
      </c>
    </row>
    <row r="1289" spans="2:12" x14ac:dyDescent="0.2">
      <c r="B1289" s="59">
        <v>1284</v>
      </c>
      <c r="C1289" s="654">
        <v>42774</v>
      </c>
      <c r="D1289" s="124">
        <v>0.95138888888888884</v>
      </c>
      <c r="E1289" s="652">
        <v>21.3</v>
      </c>
      <c r="F1289" s="652">
        <v>19.2</v>
      </c>
      <c r="G1289" s="652">
        <v>17.5</v>
      </c>
      <c r="H1289" s="361">
        <f t="shared" si="75"/>
        <v>19.333333333333332</v>
      </c>
      <c r="I1289" s="346">
        <v>29</v>
      </c>
      <c r="J1289" t="s">
        <v>38</v>
      </c>
      <c r="K1289" t="s">
        <v>50</v>
      </c>
      <c r="L1289" s="638" t="s">
        <v>99</v>
      </c>
    </row>
    <row r="1290" spans="2:12" x14ac:dyDescent="0.2">
      <c r="B1290" s="46">
        <v>1285</v>
      </c>
      <c r="C1290" s="657">
        <v>42775</v>
      </c>
      <c r="D1290" s="124">
        <v>0.52083333333333337</v>
      </c>
      <c r="E1290" s="656">
        <v>15.6</v>
      </c>
      <c r="F1290" s="656">
        <v>13.2</v>
      </c>
      <c r="G1290" s="656">
        <v>12.8</v>
      </c>
      <c r="H1290" s="361">
        <f t="shared" ref="H1290:H1291" si="76">AVERAGE(E1290:G1290)</f>
        <v>13.866666666666665</v>
      </c>
      <c r="I1290" s="346">
        <v>32</v>
      </c>
      <c r="J1290" t="s">
        <v>38</v>
      </c>
      <c r="K1290" t="s">
        <v>62</v>
      </c>
      <c r="L1290" s="638" t="s">
        <v>150</v>
      </c>
    </row>
    <row r="1291" spans="2:12" x14ac:dyDescent="0.2">
      <c r="B1291" s="59">
        <v>1286</v>
      </c>
      <c r="C1291" s="657">
        <v>42775</v>
      </c>
      <c r="D1291" s="124">
        <v>0.94444444444444453</v>
      </c>
      <c r="E1291" s="656">
        <v>19.600000000000001</v>
      </c>
      <c r="F1291" s="656">
        <v>17.3</v>
      </c>
      <c r="G1291" s="656">
        <v>16.2</v>
      </c>
      <c r="H1291" s="361">
        <f t="shared" si="76"/>
        <v>17.700000000000003</v>
      </c>
      <c r="I1291" s="346">
        <v>34</v>
      </c>
      <c r="J1291" t="s">
        <v>38</v>
      </c>
      <c r="K1291" t="s">
        <v>50</v>
      </c>
      <c r="L1291" s="638" t="s">
        <v>99</v>
      </c>
    </row>
    <row r="1292" spans="2:12" x14ac:dyDescent="0.2">
      <c r="B1292" s="46">
        <v>1287</v>
      </c>
      <c r="C1292" s="662">
        <v>42776</v>
      </c>
      <c r="D1292" s="124">
        <v>0.48958333333333331</v>
      </c>
      <c r="E1292" s="660">
        <v>17.3</v>
      </c>
      <c r="F1292" s="660">
        <v>15.9</v>
      </c>
      <c r="G1292" s="660">
        <v>15.7</v>
      </c>
      <c r="H1292" s="361">
        <f t="shared" ref="H1292:H1293" si="77">AVERAGE(E1292:G1292)</f>
        <v>16.3</v>
      </c>
      <c r="I1292" s="346">
        <v>25</v>
      </c>
      <c r="J1292" t="s">
        <v>38</v>
      </c>
      <c r="K1292" t="s">
        <v>62</v>
      </c>
      <c r="L1292" s="638" t="s">
        <v>150</v>
      </c>
    </row>
    <row r="1293" spans="2:12" x14ac:dyDescent="0.2">
      <c r="B1293" s="59">
        <v>1288</v>
      </c>
      <c r="C1293" s="662">
        <v>42776</v>
      </c>
      <c r="D1293" s="124">
        <v>3.4722222222222224E-2</v>
      </c>
      <c r="E1293" s="660">
        <v>20.2</v>
      </c>
      <c r="F1293" s="660">
        <v>19.3</v>
      </c>
      <c r="G1293" s="660">
        <v>18.7</v>
      </c>
      <c r="H1293" s="361">
        <f t="shared" si="77"/>
        <v>19.400000000000002</v>
      </c>
      <c r="I1293" s="346">
        <v>25</v>
      </c>
      <c r="J1293" t="s">
        <v>38</v>
      </c>
      <c r="K1293" t="s">
        <v>50</v>
      </c>
      <c r="L1293" s="638" t="s">
        <v>99</v>
      </c>
    </row>
    <row r="1294" spans="2:12" x14ac:dyDescent="0.2">
      <c r="B1294" s="59">
        <v>1289</v>
      </c>
      <c r="C1294" s="664">
        <v>42777</v>
      </c>
      <c r="D1294" s="124">
        <v>0.51041666666666663</v>
      </c>
      <c r="E1294" s="663">
        <v>14</v>
      </c>
      <c r="F1294" s="663">
        <v>13.8</v>
      </c>
      <c r="G1294" s="663">
        <v>12.4</v>
      </c>
      <c r="H1294" s="361">
        <f t="shared" ref="H1294:H1295" si="78">AVERAGE(E1294:G1294)</f>
        <v>13.4</v>
      </c>
      <c r="I1294" s="346">
        <v>35</v>
      </c>
      <c r="J1294" t="s">
        <v>38</v>
      </c>
      <c r="K1294" t="s">
        <v>62</v>
      </c>
      <c r="L1294" s="638" t="s">
        <v>197</v>
      </c>
    </row>
    <row r="1295" spans="2:12" x14ac:dyDescent="0.2">
      <c r="B1295" s="46">
        <v>1290</v>
      </c>
      <c r="C1295" s="664">
        <v>42777</v>
      </c>
      <c r="D1295" s="124">
        <v>0.92361111111111116</v>
      </c>
      <c r="E1295" s="663">
        <v>19.2</v>
      </c>
      <c r="F1295" s="663">
        <v>17.7</v>
      </c>
      <c r="G1295" s="663">
        <v>15.9</v>
      </c>
      <c r="H1295" s="361">
        <f t="shared" si="78"/>
        <v>17.599999999999998</v>
      </c>
      <c r="I1295" s="346">
        <v>37</v>
      </c>
      <c r="J1295" t="s">
        <v>38</v>
      </c>
      <c r="K1295" t="s">
        <v>50</v>
      </c>
      <c r="L1295" s="638" t="s">
        <v>99</v>
      </c>
    </row>
    <row r="1296" spans="2:12" x14ac:dyDescent="0.2">
      <c r="B1296" s="59">
        <v>1291</v>
      </c>
      <c r="C1296" s="668">
        <v>42778</v>
      </c>
      <c r="D1296" s="124">
        <v>0.51041666666666663</v>
      </c>
      <c r="E1296" s="666">
        <v>20.5</v>
      </c>
      <c r="F1296" s="666">
        <v>19.7</v>
      </c>
      <c r="G1296" s="666">
        <v>18.100000000000001</v>
      </c>
      <c r="H1296" s="361">
        <f t="shared" ref="H1296:H1297" si="79">AVERAGE(E1296:G1296)</f>
        <v>19.433333333333334</v>
      </c>
      <c r="I1296" s="346">
        <v>25</v>
      </c>
      <c r="J1296" t="s">
        <v>38</v>
      </c>
      <c r="K1296" t="s">
        <v>62</v>
      </c>
      <c r="L1296" s="638" t="s">
        <v>197</v>
      </c>
    </row>
    <row r="1297" spans="2:12" x14ac:dyDescent="0.2">
      <c r="B1297" s="59">
        <v>1292</v>
      </c>
      <c r="C1297" s="668">
        <v>42778</v>
      </c>
      <c r="D1297" s="124">
        <v>0.93194444444444446</v>
      </c>
      <c r="E1297" s="666">
        <v>17.3</v>
      </c>
      <c r="F1297" s="666">
        <v>16.3</v>
      </c>
      <c r="G1297" s="666">
        <v>15.5</v>
      </c>
      <c r="H1297" s="361">
        <f t="shared" si="79"/>
        <v>16.366666666666667</v>
      </c>
      <c r="I1297" s="346">
        <v>25</v>
      </c>
      <c r="J1297" t="s">
        <v>38</v>
      </c>
      <c r="K1297" t="s">
        <v>50</v>
      </c>
      <c r="L1297" s="638" t="s">
        <v>99</v>
      </c>
    </row>
    <row r="1298" spans="2:12" x14ac:dyDescent="0.2">
      <c r="B1298" s="46">
        <v>1293</v>
      </c>
      <c r="C1298" s="671">
        <v>42779</v>
      </c>
      <c r="D1298" s="124">
        <v>0.50694444444444442</v>
      </c>
      <c r="E1298" s="669">
        <v>21.2</v>
      </c>
      <c r="F1298" s="669">
        <v>20.7</v>
      </c>
      <c r="G1298" s="669">
        <v>18.899999999999999</v>
      </c>
      <c r="H1298" s="361">
        <f t="shared" ref="H1298:H1301" si="80">AVERAGE(E1298:G1298)</f>
        <v>20.266666666666666</v>
      </c>
      <c r="I1298" s="346">
        <v>26</v>
      </c>
      <c r="J1298" t="s">
        <v>38</v>
      </c>
      <c r="K1298" t="s">
        <v>62</v>
      </c>
      <c r="L1298" s="638" t="s">
        <v>197</v>
      </c>
    </row>
    <row r="1299" spans="2:12" x14ac:dyDescent="0.2">
      <c r="B1299" s="59">
        <v>1294</v>
      </c>
      <c r="C1299" s="671">
        <v>42779</v>
      </c>
      <c r="D1299" s="124">
        <v>0.90972222222222221</v>
      </c>
      <c r="E1299" s="669">
        <v>17.2</v>
      </c>
      <c r="F1299" s="669">
        <v>15.7</v>
      </c>
      <c r="G1299" s="669">
        <v>13.9</v>
      </c>
      <c r="H1299" s="361">
        <f t="shared" si="80"/>
        <v>15.6</v>
      </c>
      <c r="I1299" s="346">
        <v>38</v>
      </c>
      <c r="J1299" t="s">
        <v>38</v>
      </c>
      <c r="K1299" t="s">
        <v>50</v>
      </c>
      <c r="L1299" s="638" t="s">
        <v>99</v>
      </c>
    </row>
    <row r="1300" spans="2:12" x14ac:dyDescent="0.2">
      <c r="B1300" s="59">
        <v>1295</v>
      </c>
      <c r="C1300" s="674">
        <v>42780</v>
      </c>
      <c r="D1300" s="124">
        <v>0.52083333333333337</v>
      </c>
      <c r="E1300" s="673">
        <v>15.2</v>
      </c>
      <c r="F1300" s="673">
        <v>13.3</v>
      </c>
      <c r="G1300" s="673">
        <v>10.5</v>
      </c>
      <c r="H1300" s="361">
        <f t="shared" si="80"/>
        <v>13</v>
      </c>
      <c r="I1300" s="346">
        <v>27</v>
      </c>
      <c r="J1300" t="s">
        <v>38</v>
      </c>
      <c r="K1300" t="s">
        <v>62</v>
      </c>
      <c r="L1300" s="638" t="s">
        <v>197</v>
      </c>
    </row>
    <row r="1301" spans="2:12" x14ac:dyDescent="0.2">
      <c r="B1301" s="46">
        <v>1296</v>
      </c>
      <c r="C1301" s="677">
        <v>42781</v>
      </c>
      <c r="D1301" s="124">
        <v>0.46875</v>
      </c>
      <c r="E1301" s="675">
        <v>17.2</v>
      </c>
      <c r="F1301" s="675">
        <v>12.3</v>
      </c>
      <c r="G1301" s="675">
        <v>12</v>
      </c>
      <c r="H1301" s="361">
        <f t="shared" si="80"/>
        <v>13.833333333333334</v>
      </c>
      <c r="I1301" s="346">
        <v>25</v>
      </c>
      <c r="J1301" t="s">
        <v>38</v>
      </c>
      <c r="K1301" t="s">
        <v>62</v>
      </c>
      <c r="L1301" s="638" t="s">
        <v>197</v>
      </c>
    </row>
    <row r="1302" spans="2:12" x14ac:dyDescent="0.2">
      <c r="B1302" s="59">
        <v>1297</v>
      </c>
      <c r="C1302" s="688">
        <v>42790</v>
      </c>
      <c r="D1302" s="124">
        <v>0.50694444444444442</v>
      </c>
      <c r="E1302" s="686">
        <v>20</v>
      </c>
      <c r="F1302" s="686">
        <v>18.7</v>
      </c>
      <c r="G1302" s="686">
        <v>15.9</v>
      </c>
      <c r="H1302" s="361">
        <f t="shared" ref="H1302:H1303" si="81">AVERAGE(E1302:G1302)</f>
        <v>18.2</v>
      </c>
      <c r="I1302" s="346">
        <v>22</v>
      </c>
      <c r="J1302" t="s">
        <v>38</v>
      </c>
      <c r="K1302" t="s">
        <v>61</v>
      </c>
      <c r="L1302" s="638" t="s">
        <v>98</v>
      </c>
    </row>
    <row r="1303" spans="2:12" x14ac:dyDescent="0.2">
      <c r="B1303" s="59">
        <v>1298</v>
      </c>
      <c r="C1303" s="703">
        <v>42791</v>
      </c>
      <c r="D1303" s="124">
        <v>0.50347222222222221</v>
      </c>
      <c r="E1303" s="702">
        <v>19.5</v>
      </c>
      <c r="F1303" s="702">
        <v>17.3</v>
      </c>
      <c r="G1303" s="702">
        <v>15.6</v>
      </c>
      <c r="H1303" s="361">
        <f t="shared" si="81"/>
        <v>17.466666666666665</v>
      </c>
      <c r="I1303" s="346">
        <v>38</v>
      </c>
      <c r="J1303" t="s">
        <v>38</v>
      </c>
      <c r="K1303" t="s">
        <v>50</v>
      </c>
      <c r="L1303" s="638" t="s">
        <v>197</v>
      </c>
    </row>
    <row r="1304" spans="2:12" x14ac:dyDescent="0.2">
      <c r="B1304" s="46">
        <v>1299</v>
      </c>
      <c r="C1304" s="706">
        <v>42792</v>
      </c>
      <c r="D1304" s="124">
        <v>0.51041666666666663</v>
      </c>
      <c r="E1304" s="705">
        <v>23.3</v>
      </c>
      <c r="F1304" s="705">
        <v>20.6</v>
      </c>
      <c r="G1304" s="705">
        <v>18.7</v>
      </c>
      <c r="H1304" s="361">
        <f t="shared" ref="H1304:H1305" si="82">AVERAGE(E1304:G1304)</f>
        <v>20.866666666666671</v>
      </c>
      <c r="I1304" s="346">
        <v>37</v>
      </c>
      <c r="J1304" t="s">
        <v>38</v>
      </c>
      <c r="K1304" t="s">
        <v>61</v>
      </c>
      <c r="L1304" s="638" t="s">
        <v>197</v>
      </c>
    </row>
    <row r="1305" spans="2:12" x14ac:dyDescent="0.2">
      <c r="B1305" s="59">
        <v>1300</v>
      </c>
      <c r="C1305" s="710">
        <v>42793</v>
      </c>
      <c r="D1305" s="124">
        <v>0.51736111111111105</v>
      </c>
      <c r="E1305" s="708">
        <v>21.2</v>
      </c>
      <c r="F1305" s="708">
        <v>18.600000000000001</v>
      </c>
      <c r="G1305" s="708">
        <v>18.7</v>
      </c>
      <c r="H1305" s="361">
        <f t="shared" si="82"/>
        <v>19.5</v>
      </c>
      <c r="I1305" s="346">
        <v>26</v>
      </c>
      <c r="J1305" t="s">
        <v>38</v>
      </c>
      <c r="K1305" t="s">
        <v>61</v>
      </c>
      <c r="L1305" s="638" t="s">
        <v>197</v>
      </c>
    </row>
    <row r="1306" spans="2:12" x14ac:dyDescent="0.2">
      <c r="B1306" s="59">
        <v>1301</v>
      </c>
      <c r="C1306" s="727">
        <v>42797</v>
      </c>
      <c r="D1306" s="124">
        <v>0.51041666666666663</v>
      </c>
      <c r="E1306" s="725">
        <v>13.8</v>
      </c>
      <c r="F1306" s="725">
        <v>12.6</v>
      </c>
      <c r="G1306" s="725">
        <v>12.2</v>
      </c>
      <c r="H1306" s="361">
        <f t="shared" ref="H1306:H1307" si="83">AVERAGE(E1306:G1306)</f>
        <v>12.866666666666665</v>
      </c>
      <c r="I1306" s="346">
        <v>30</v>
      </c>
      <c r="J1306" t="s">
        <v>38</v>
      </c>
      <c r="K1306" t="s">
        <v>50</v>
      </c>
      <c r="L1306" s="638" t="s">
        <v>197</v>
      </c>
    </row>
    <row r="1307" spans="2:12" x14ac:dyDescent="0.2">
      <c r="B1307" s="46">
        <v>1302</v>
      </c>
      <c r="C1307" s="727">
        <v>42797</v>
      </c>
      <c r="D1307" s="124">
        <v>0.93402777777777779</v>
      </c>
      <c r="E1307" s="725">
        <v>16.5</v>
      </c>
      <c r="F1307" s="725">
        <v>15.3</v>
      </c>
      <c r="G1307" s="725">
        <v>13.6</v>
      </c>
      <c r="H1307" s="361">
        <f t="shared" si="83"/>
        <v>15.133333333333333</v>
      </c>
      <c r="I1307" s="346">
        <v>39</v>
      </c>
      <c r="J1307" t="s">
        <v>38</v>
      </c>
      <c r="K1307" t="s">
        <v>57</v>
      </c>
      <c r="L1307" s="638" t="s">
        <v>197</v>
      </c>
    </row>
    <row r="1308" spans="2:12" x14ac:dyDescent="0.2">
      <c r="B1308" s="59">
        <v>1303</v>
      </c>
      <c r="C1308" s="730">
        <v>42798</v>
      </c>
      <c r="D1308" s="124">
        <v>0.93055555555555547</v>
      </c>
      <c r="E1308" s="728">
        <v>13.5</v>
      </c>
      <c r="F1308" s="728">
        <v>11.6</v>
      </c>
      <c r="G1308" s="728">
        <v>10.5</v>
      </c>
      <c r="H1308" s="361">
        <f t="shared" ref="H1308:H1309" si="84">AVERAGE(E1308:G1308)</f>
        <v>11.866666666666667</v>
      </c>
      <c r="I1308" s="346">
        <v>35</v>
      </c>
      <c r="J1308" t="s">
        <v>38</v>
      </c>
      <c r="K1308" t="s">
        <v>57</v>
      </c>
      <c r="L1308" s="638" t="s">
        <v>203</v>
      </c>
    </row>
    <row r="1309" spans="2:12" x14ac:dyDescent="0.2">
      <c r="B1309" s="59">
        <v>1304</v>
      </c>
      <c r="C1309" s="734">
        <v>42799</v>
      </c>
      <c r="D1309" s="124">
        <v>0.9375</v>
      </c>
      <c r="E1309" s="732">
        <v>22.2</v>
      </c>
      <c r="F1309" s="732">
        <v>17.8</v>
      </c>
      <c r="G1309" s="732">
        <v>16.2</v>
      </c>
      <c r="H1309" s="361">
        <f t="shared" si="84"/>
        <v>18.733333333333334</v>
      </c>
      <c r="I1309" s="346">
        <v>37</v>
      </c>
      <c r="J1309" t="s">
        <v>38</v>
      </c>
      <c r="K1309" t="s">
        <v>62</v>
      </c>
      <c r="L1309" s="638" t="s">
        <v>203</v>
      </c>
    </row>
    <row r="1310" spans="2:12" x14ac:dyDescent="0.2">
      <c r="B1310" s="46">
        <v>1305</v>
      </c>
      <c r="C1310" s="773">
        <v>42825</v>
      </c>
      <c r="D1310" s="124">
        <v>0.51041666666666663</v>
      </c>
      <c r="E1310" s="771">
        <v>10.5</v>
      </c>
      <c r="F1310" s="771">
        <v>9.4</v>
      </c>
      <c r="G1310" s="771">
        <v>7.3</v>
      </c>
      <c r="H1310" s="361">
        <f t="shared" ref="H1310" si="85">AVERAGE(E1310:G1310)</f>
        <v>9.0666666666666664</v>
      </c>
      <c r="I1310" s="346">
        <v>35</v>
      </c>
      <c r="J1310" t="s">
        <v>38</v>
      </c>
      <c r="K1310" t="s">
        <v>61</v>
      </c>
      <c r="L1310" s="638" t="s">
        <v>260</v>
      </c>
    </row>
    <row r="1311" spans="2:12" x14ac:dyDescent="0.2">
      <c r="B1311" s="59">
        <v>1306</v>
      </c>
      <c r="C1311" s="777">
        <v>42827</v>
      </c>
      <c r="D1311" s="124">
        <v>0.59722222222222221</v>
      </c>
      <c r="E1311" s="775">
        <v>14.3</v>
      </c>
      <c r="F1311" s="775">
        <v>13.6</v>
      </c>
      <c r="G1311" s="775">
        <v>11.6</v>
      </c>
      <c r="H1311" s="361">
        <f t="shared" ref="H1311" si="86">AVERAGE(E1311:G1311)</f>
        <v>13.166666666666666</v>
      </c>
      <c r="I1311" s="346">
        <v>35</v>
      </c>
      <c r="J1311" t="s">
        <v>38</v>
      </c>
      <c r="K1311" t="s">
        <v>57</v>
      </c>
      <c r="L1311" s="638" t="s">
        <v>260</v>
      </c>
    </row>
    <row r="1312" spans="2:12" x14ac:dyDescent="0.2">
      <c r="B1312" s="59">
        <v>1307</v>
      </c>
      <c r="C1312" s="780">
        <v>42828</v>
      </c>
      <c r="D1312" s="124">
        <v>0.63194444444444442</v>
      </c>
      <c r="E1312" s="779">
        <v>12.1</v>
      </c>
      <c r="F1312" s="779">
        <v>9.8000000000000007</v>
      </c>
      <c r="G1312" s="779">
        <v>11.6</v>
      </c>
      <c r="H1312" s="361">
        <f t="shared" ref="H1312" si="87">AVERAGE(E1312:G1312)</f>
        <v>11.166666666666666</v>
      </c>
      <c r="I1312" s="346">
        <v>32</v>
      </c>
      <c r="J1312" t="s">
        <v>38</v>
      </c>
      <c r="K1312" t="s">
        <v>57</v>
      </c>
      <c r="L1312" s="638" t="s">
        <v>260</v>
      </c>
    </row>
    <row r="1313" spans="2:12" x14ac:dyDescent="0.2">
      <c r="B1313" s="46">
        <v>1308</v>
      </c>
      <c r="C1313" s="783">
        <v>42829</v>
      </c>
      <c r="D1313" s="124">
        <v>0.92569444444444438</v>
      </c>
      <c r="E1313" s="781">
        <v>13.1</v>
      </c>
      <c r="F1313" s="781">
        <v>11.3</v>
      </c>
      <c r="G1313" s="781">
        <v>10.1</v>
      </c>
      <c r="H1313" s="361">
        <f t="shared" ref="H1313" si="88">AVERAGE(E1313:G1313)</f>
        <v>11.5</v>
      </c>
      <c r="I1313" s="346">
        <v>41</v>
      </c>
      <c r="J1313" t="s">
        <v>38</v>
      </c>
      <c r="K1313" t="s">
        <v>50</v>
      </c>
      <c r="L1313" s="638" t="s">
        <v>260</v>
      </c>
    </row>
    <row r="1314" spans="2:12" x14ac:dyDescent="0.2">
      <c r="B1314" s="59">
        <v>1309</v>
      </c>
      <c r="C1314" s="786">
        <v>42830</v>
      </c>
      <c r="D1314" s="124">
        <v>0.50694444444444442</v>
      </c>
      <c r="E1314" s="785">
        <v>22.3</v>
      </c>
      <c r="F1314" s="785">
        <v>21.8</v>
      </c>
      <c r="G1314" s="785">
        <v>20.9</v>
      </c>
      <c r="H1314" s="361">
        <f t="shared" ref="H1314:H1315" si="89">AVERAGE(E1314:G1314)</f>
        <v>21.666666666666668</v>
      </c>
      <c r="I1314" s="346">
        <v>44</v>
      </c>
      <c r="J1314" t="s">
        <v>38</v>
      </c>
      <c r="K1314" t="s">
        <v>50</v>
      </c>
      <c r="L1314" s="638" t="s">
        <v>260</v>
      </c>
    </row>
    <row r="1315" spans="2:12" x14ac:dyDescent="0.2">
      <c r="B1315" s="59">
        <v>1310</v>
      </c>
      <c r="C1315" s="786">
        <v>42830</v>
      </c>
      <c r="D1315" s="124">
        <v>0.94097222222222221</v>
      </c>
      <c r="E1315" s="785">
        <v>12.5</v>
      </c>
      <c r="F1315" s="785">
        <v>11.6</v>
      </c>
      <c r="G1315" s="785">
        <v>10.7</v>
      </c>
      <c r="H1315" s="361">
        <f t="shared" si="89"/>
        <v>11.6</v>
      </c>
      <c r="I1315" s="346">
        <v>36</v>
      </c>
      <c r="J1315" t="s">
        <v>38</v>
      </c>
      <c r="K1315" t="s">
        <v>57</v>
      </c>
      <c r="L1315" s="638" t="s">
        <v>260</v>
      </c>
    </row>
    <row r="1316" spans="2:12" x14ac:dyDescent="0.2">
      <c r="B1316" s="46">
        <v>1311</v>
      </c>
      <c r="C1316" s="789">
        <v>42831</v>
      </c>
      <c r="D1316" s="124">
        <v>0.94097222222222221</v>
      </c>
      <c r="E1316" s="787">
        <v>10.5</v>
      </c>
      <c r="F1316" s="787">
        <v>9.6</v>
      </c>
      <c r="G1316" s="787">
        <v>8.3000000000000007</v>
      </c>
      <c r="H1316" s="361">
        <f t="shared" ref="H1316" si="90">AVERAGE(E1316:G1316)</f>
        <v>9.4666666666666668</v>
      </c>
      <c r="I1316" s="346">
        <v>30</v>
      </c>
      <c r="J1316" t="s">
        <v>38</v>
      </c>
      <c r="K1316" t="s">
        <v>57</v>
      </c>
      <c r="L1316" s="638" t="s">
        <v>260</v>
      </c>
    </row>
    <row r="1317" spans="2:12" x14ac:dyDescent="0.2">
      <c r="B1317" s="59">
        <v>1312</v>
      </c>
      <c r="C1317" s="793">
        <v>42832</v>
      </c>
      <c r="D1317" s="124">
        <v>0.51041666666666663</v>
      </c>
      <c r="E1317" s="791">
        <v>10.7</v>
      </c>
      <c r="F1317" s="791">
        <v>9.8000000000000007</v>
      </c>
      <c r="G1317" s="791">
        <v>9.6</v>
      </c>
      <c r="H1317" s="361">
        <f t="shared" ref="H1317:H1319" si="91">AVERAGE(E1317:G1317)</f>
        <v>10.033333333333333</v>
      </c>
      <c r="I1317" s="346">
        <v>29</v>
      </c>
      <c r="J1317" t="s">
        <v>38</v>
      </c>
      <c r="K1317" t="s">
        <v>61</v>
      </c>
      <c r="L1317" s="638" t="s">
        <v>260</v>
      </c>
    </row>
    <row r="1318" spans="2:12" x14ac:dyDescent="0.2">
      <c r="B1318" s="59">
        <v>1313</v>
      </c>
      <c r="C1318" s="793">
        <v>42832</v>
      </c>
      <c r="D1318" s="124">
        <v>0.9375</v>
      </c>
      <c r="E1318" s="791">
        <v>10.8</v>
      </c>
      <c r="F1318" s="791">
        <v>9.3000000000000007</v>
      </c>
      <c r="G1318" s="791">
        <v>7.9</v>
      </c>
      <c r="H1318" s="361">
        <f t="shared" si="91"/>
        <v>9.3333333333333339</v>
      </c>
      <c r="I1318" s="346">
        <v>35</v>
      </c>
      <c r="J1318" t="s">
        <v>38</v>
      </c>
      <c r="K1318" t="s">
        <v>62</v>
      </c>
      <c r="L1318" s="638" t="s">
        <v>260</v>
      </c>
    </row>
    <row r="1319" spans="2:12" x14ac:dyDescent="0.2">
      <c r="B1319" s="46">
        <v>1314</v>
      </c>
      <c r="C1319" s="797">
        <v>42833</v>
      </c>
      <c r="D1319" s="124">
        <v>0.92708333333333337</v>
      </c>
      <c r="E1319" s="796">
        <v>18.600000000000001</v>
      </c>
      <c r="F1319" s="796">
        <v>17.7</v>
      </c>
      <c r="G1319" s="796">
        <v>16.899999999999999</v>
      </c>
      <c r="H1319" s="361">
        <f t="shared" si="91"/>
        <v>17.733333333333331</v>
      </c>
      <c r="I1319" s="346">
        <v>23</v>
      </c>
      <c r="J1319" t="s">
        <v>38</v>
      </c>
      <c r="K1319" t="s">
        <v>50</v>
      </c>
      <c r="L1319" s="638" t="s">
        <v>260</v>
      </c>
    </row>
    <row r="1320" spans="2:12" x14ac:dyDescent="0.2">
      <c r="B1320" s="59">
        <v>1315</v>
      </c>
      <c r="C1320" s="797">
        <v>42833</v>
      </c>
      <c r="D1320" s="124">
        <v>0.93402777777777779</v>
      </c>
      <c r="E1320" s="796">
        <v>12.4</v>
      </c>
      <c r="F1320" s="796">
        <v>11.7</v>
      </c>
      <c r="G1320" s="796">
        <v>10.4</v>
      </c>
      <c r="H1320" s="361">
        <v>11.5</v>
      </c>
      <c r="I1320" s="346">
        <v>43</v>
      </c>
      <c r="J1320" t="s">
        <v>38</v>
      </c>
      <c r="K1320" t="s">
        <v>61</v>
      </c>
      <c r="L1320" s="638" t="s">
        <v>260</v>
      </c>
    </row>
    <row r="1321" spans="2:12" x14ac:dyDescent="0.2">
      <c r="B1321" s="59">
        <v>1316</v>
      </c>
      <c r="C1321" s="797">
        <v>42834</v>
      </c>
      <c r="D1321" s="124">
        <v>0.93055555555555547</v>
      </c>
      <c r="E1321" s="796">
        <v>14.2</v>
      </c>
      <c r="F1321" s="796">
        <v>13.8</v>
      </c>
      <c r="G1321" s="796">
        <v>11.5</v>
      </c>
      <c r="H1321" s="361">
        <v>13.2</v>
      </c>
      <c r="I1321" s="346">
        <v>38</v>
      </c>
      <c r="J1321" t="s">
        <v>38</v>
      </c>
      <c r="K1321" t="s">
        <v>57</v>
      </c>
      <c r="L1321" s="638" t="s">
        <v>260</v>
      </c>
    </row>
    <row r="1322" spans="2:12" x14ac:dyDescent="0.2">
      <c r="B1322" s="46">
        <v>1317</v>
      </c>
      <c r="C1322" s="805">
        <v>42835</v>
      </c>
      <c r="D1322" s="124">
        <v>0.97569444444444453</v>
      </c>
      <c r="E1322" s="798">
        <v>20</v>
      </c>
      <c r="F1322" s="798">
        <v>18</v>
      </c>
      <c r="G1322" s="798">
        <v>17</v>
      </c>
      <c r="H1322" s="361">
        <v>18.3</v>
      </c>
      <c r="I1322" s="346">
        <v>34</v>
      </c>
      <c r="J1322" t="s">
        <v>38</v>
      </c>
      <c r="K1322" t="s">
        <v>57</v>
      </c>
      <c r="L1322" s="59" t="s">
        <v>273</v>
      </c>
    </row>
    <row r="1323" spans="2:12" x14ac:dyDescent="0.2">
      <c r="B1323" s="59">
        <v>1318</v>
      </c>
      <c r="C1323" s="805">
        <v>42836</v>
      </c>
      <c r="D1323" s="124">
        <v>0.50694444444444442</v>
      </c>
      <c r="E1323" s="801">
        <v>18.2</v>
      </c>
      <c r="F1323" s="801">
        <v>17.8</v>
      </c>
      <c r="G1323" s="801">
        <v>16.899999999999999</v>
      </c>
      <c r="H1323" s="361">
        <v>17.600000000000001</v>
      </c>
      <c r="I1323" s="346">
        <v>36</v>
      </c>
      <c r="J1323" t="s">
        <v>38</v>
      </c>
      <c r="K1323" t="s">
        <v>61</v>
      </c>
      <c r="L1323" s="59" t="s">
        <v>273</v>
      </c>
    </row>
    <row r="1324" spans="2:12" x14ac:dyDescent="0.2">
      <c r="B1324" s="59">
        <v>1319</v>
      </c>
      <c r="C1324" s="806">
        <v>42836</v>
      </c>
      <c r="D1324" s="124">
        <v>0.94444444444444453</v>
      </c>
      <c r="E1324" s="801">
        <v>13.8</v>
      </c>
      <c r="F1324" s="801">
        <v>10.6</v>
      </c>
      <c r="G1324" s="801">
        <v>9.3000000000000007</v>
      </c>
      <c r="H1324" s="361">
        <v>11.2</v>
      </c>
      <c r="I1324" s="346">
        <v>32</v>
      </c>
      <c r="J1324" t="s">
        <v>38</v>
      </c>
      <c r="K1324" t="s">
        <v>57</v>
      </c>
      <c r="L1324" s="638" t="s">
        <v>273</v>
      </c>
    </row>
    <row r="1325" spans="2:12" x14ac:dyDescent="0.2">
      <c r="B1325" s="46">
        <v>1320</v>
      </c>
      <c r="C1325" s="805">
        <v>42837</v>
      </c>
      <c r="D1325" s="124">
        <v>0.87847222222222221</v>
      </c>
      <c r="E1325" s="803">
        <v>10.1</v>
      </c>
      <c r="F1325" s="803">
        <v>9.1999999999999993</v>
      </c>
      <c r="G1325" s="803">
        <v>8.1999999999999993</v>
      </c>
      <c r="H1325" s="361">
        <v>9.1</v>
      </c>
      <c r="I1325" s="346">
        <v>23</v>
      </c>
      <c r="J1325" s="818" t="s">
        <v>38</v>
      </c>
      <c r="K1325" s="486" t="s">
        <v>57</v>
      </c>
      <c r="L1325" s="638" t="s">
        <v>273</v>
      </c>
    </row>
    <row r="1326" spans="2:12" x14ac:dyDescent="0.2">
      <c r="B1326" s="59">
        <v>1321</v>
      </c>
      <c r="C1326" s="805">
        <v>42838</v>
      </c>
      <c r="D1326" s="124">
        <v>0.93402777777777779</v>
      </c>
      <c r="E1326" s="807">
        <v>11.7</v>
      </c>
      <c r="F1326" s="807">
        <v>11.5</v>
      </c>
      <c r="G1326" s="807">
        <v>8.1999999999999993</v>
      </c>
      <c r="H1326" s="361">
        <f t="shared" ref="H1326" si="92">AVERAGE(E1326:G1326)</f>
        <v>10.466666666666667</v>
      </c>
      <c r="I1326" s="346">
        <v>43</v>
      </c>
      <c r="J1326" s="818" t="s">
        <v>38</v>
      </c>
      <c r="K1326" s="486" t="s">
        <v>57</v>
      </c>
      <c r="L1326" s="638" t="s">
        <v>273</v>
      </c>
    </row>
    <row r="1327" spans="2:12" x14ac:dyDescent="0.2">
      <c r="B1327" s="59">
        <v>1322</v>
      </c>
      <c r="C1327" s="805">
        <v>42838</v>
      </c>
      <c r="D1327" s="124">
        <v>0.51736111111111105</v>
      </c>
      <c r="E1327" s="812">
        <v>17.100000000000001</v>
      </c>
      <c r="F1327" s="812">
        <v>14.8</v>
      </c>
      <c r="G1327" s="812">
        <v>13.6</v>
      </c>
      <c r="H1327" s="361">
        <v>15.2</v>
      </c>
      <c r="I1327" s="346">
        <v>32</v>
      </c>
      <c r="J1327" s="818" t="s">
        <v>38</v>
      </c>
      <c r="K1327" t="s">
        <v>61</v>
      </c>
      <c r="L1327" s="638" t="s">
        <v>273</v>
      </c>
    </row>
    <row r="1328" spans="2:12" x14ac:dyDescent="0.2">
      <c r="B1328" s="59">
        <v>1322</v>
      </c>
      <c r="C1328" s="805">
        <v>42839</v>
      </c>
      <c r="D1328" s="124">
        <v>0.90972222222222221</v>
      </c>
      <c r="E1328" s="812">
        <v>18.5</v>
      </c>
      <c r="F1328" s="812">
        <v>17.2</v>
      </c>
      <c r="G1328" s="812">
        <v>11.6</v>
      </c>
      <c r="H1328" s="361">
        <v>15.7</v>
      </c>
      <c r="I1328" s="346">
        <v>30</v>
      </c>
      <c r="J1328" s="818" t="s">
        <v>38</v>
      </c>
      <c r="K1328" t="s">
        <v>62</v>
      </c>
      <c r="L1328" s="59" t="s">
        <v>277</v>
      </c>
    </row>
    <row r="1329" spans="2:12" x14ac:dyDescent="0.2">
      <c r="B1329" s="46">
        <v>1323</v>
      </c>
      <c r="C1329" s="805">
        <v>42840</v>
      </c>
      <c r="D1329" s="124">
        <v>0.51041666666666663</v>
      </c>
      <c r="E1329" s="812">
        <v>17.5</v>
      </c>
      <c r="F1329" s="812">
        <v>17</v>
      </c>
      <c r="G1329" s="812">
        <v>16.5</v>
      </c>
      <c r="H1329" s="361">
        <v>17</v>
      </c>
      <c r="I1329" s="346">
        <v>33.6</v>
      </c>
      <c r="J1329" s="818" t="s">
        <v>38</v>
      </c>
      <c r="K1329" s="486" t="s">
        <v>90</v>
      </c>
      <c r="L1329" s="59" t="s">
        <v>276</v>
      </c>
    </row>
    <row r="1330" spans="2:12" x14ac:dyDescent="0.2">
      <c r="B1330" s="59">
        <v>1324</v>
      </c>
      <c r="C1330" s="814">
        <v>42840</v>
      </c>
      <c r="D1330" s="124">
        <v>0.84722222222222221</v>
      </c>
      <c r="E1330" s="812">
        <v>13.7</v>
      </c>
      <c r="F1330" s="812">
        <v>12.9</v>
      </c>
      <c r="G1330" s="812">
        <v>10.6</v>
      </c>
      <c r="H1330" s="361">
        <v>12.4</v>
      </c>
      <c r="I1330" s="346">
        <v>28</v>
      </c>
      <c r="J1330" s="818" t="s">
        <v>38</v>
      </c>
      <c r="K1330" s="486" t="s">
        <v>62</v>
      </c>
      <c r="L1330" s="59" t="s">
        <v>276</v>
      </c>
    </row>
    <row r="1331" spans="2:12" x14ac:dyDescent="0.2">
      <c r="B1331" s="59">
        <v>1325</v>
      </c>
      <c r="C1331" s="814">
        <v>42841</v>
      </c>
      <c r="D1331" s="124">
        <v>0.51041666666666663</v>
      </c>
      <c r="E1331" s="813">
        <v>13.9</v>
      </c>
      <c r="F1331" s="813">
        <v>12.6</v>
      </c>
      <c r="G1331" s="813">
        <v>11.5</v>
      </c>
      <c r="H1331" s="361">
        <v>12.6</v>
      </c>
      <c r="I1331" s="346">
        <v>32</v>
      </c>
      <c r="J1331" s="818" t="s">
        <v>38</v>
      </c>
      <c r="K1331" t="s">
        <v>90</v>
      </c>
      <c r="L1331" s="638" t="s">
        <v>276</v>
      </c>
    </row>
    <row r="1332" spans="2:12" x14ac:dyDescent="0.2">
      <c r="B1332" s="46">
        <v>1326</v>
      </c>
      <c r="C1332" s="814">
        <v>42841</v>
      </c>
      <c r="D1332" s="124">
        <v>0.94791666666666663</v>
      </c>
      <c r="E1332" s="813">
        <v>15.1</v>
      </c>
      <c r="F1332" s="813">
        <v>11.6</v>
      </c>
      <c r="G1332" s="813">
        <v>10.8</v>
      </c>
      <c r="H1332" s="361">
        <v>12.5</v>
      </c>
      <c r="I1332" s="346">
        <v>34</v>
      </c>
      <c r="J1332" s="818" t="s">
        <v>38</v>
      </c>
      <c r="K1332" t="s">
        <v>62</v>
      </c>
      <c r="L1332" s="59" t="s">
        <v>273</v>
      </c>
    </row>
    <row r="1333" spans="2:12" x14ac:dyDescent="0.2">
      <c r="B1333" s="46">
        <v>1327</v>
      </c>
      <c r="C1333" s="820">
        <v>42842</v>
      </c>
      <c r="D1333" s="124">
        <v>0.50347222222222221</v>
      </c>
      <c r="E1333" s="819">
        <v>19.5</v>
      </c>
      <c r="F1333" s="819">
        <v>19</v>
      </c>
      <c r="G1333" s="819">
        <v>18.5</v>
      </c>
      <c r="H1333" s="361">
        <v>19</v>
      </c>
      <c r="I1333" s="346">
        <v>37.1</v>
      </c>
      <c r="J1333" t="s">
        <v>38</v>
      </c>
      <c r="K1333" t="s">
        <v>90</v>
      </c>
      <c r="L1333" s="638" t="s">
        <v>276</v>
      </c>
    </row>
    <row r="1334" spans="2:12" x14ac:dyDescent="0.2">
      <c r="B1334" s="46">
        <v>1328</v>
      </c>
      <c r="C1334" s="820">
        <v>42842</v>
      </c>
      <c r="D1334" s="124">
        <v>0.94791666666666663</v>
      </c>
      <c r="E1334" s="819">
        <v>15.5</v>
      </c>
      <c r="F1334" s="819">
        <v>14.1</v>
      </c>
      <c r="G1334" s="819">
        <v>12.2</v>
      </c>
      <c r="H1334" s="361">
        <v>13.9</v>
      </c>
      <c r="I1334" s="346">
        <v>27</v>
      </c>
      <c r="J1334" t="s">
        <v>38</v>
      </c>
      <c r="K1334" t="s">
        <v>57</v>
      </c>
      <c r="L1334" s="638" t="s">
        <v>273</v>
      </c>
    </row>
    <row r="1335" spans="2:12" x14ac:dyDescent="0.2">
      <c r="B1335" s="46">
        <v>1329</v>
      </c>
      <c r="C1335" s="837">
        <v>42843</v>
      </c>
      <c r="D1335" s="124">
        <v>0.59722222222222221</v>
      </c>
      <c r="E1335" s="828">
        <v>11.6</v>
      </c>
      <c r="F1335" s="828">
        <v>10.199999999999999</v>
      </c>
      <c r="G1335" s="828">
        <v>8.6</v>
      </c>
      <c r="H1335" s="361">
        <v>10.1</v>
      </c>
      <c r="I1335" s="346">
        <v>34</v>
      </c>
      <c r="J1335" t="s">
        <v>38</v>
      </c>
      <c r="K1335" t="s">
        <v>62</v>
      </c>
      <c r="L1335" s="638" t="s">
        <v>273</v>
      </c>
    </row>
    <row r="1336" spans="2:12" x14ac:dyDescent="0.2">
      <c r="B1336" s="46">
        <v>1330</v>
      </c>
      <c r="C1336" s="837">
        <v>42843</v>
      </c>
      <c r="D1336" s="124">
        <v>0.93055555555555547</v>
      </c>
      <c r="E1336" s="828">
        <v>13.7</v>
      </c>
      <c r="F1336" s="828">
        <v>8.5</v>
      </c>
      <c r="G1336" s="828">
        <v>8.1999999999999993</v>
      </c>
      <c r="H1336" s="361">
        <v>10.1</v>
      </c>
      <c r="I1336" s="346">
        <v>38</v>
      </c>
      <c r="J1336" t="s">
        <v>38</v>
      </c>
      <c r="K1336" t="s">
        <v>90</v>
      </c>
      <c r="L1336" s="638" t="s">
        <v>273</v>
      </c>
    </row>
    <row r="1337" spans="2:12" x14ac:dyDescent="0.2">
      <c r="B1337" s="46">
        <v>1331</v>
      </c>
      <c r="C1337" s="837">
        <v>42844</v>
      </c>
      <c r="D1337" s="124">
        <v>0.58680555555555558</v>
      </c>
      <c r="E1337" s="832">
        <v>16.600000000000001</v>
      </c>
      <c r="F1337" s="832">
        <v>14.2</v>
      </c>
      <c r="G1337" s="832">
        <v>12.2</v>
      </c>
      <c r="H1337" s="361">
        <v>14.3</v>
      </c>
      <c r="I1337" s="346">
        <v>36</v>
      </c>
      <c r="J1337" t="s">
        <v>38</v>
      </c>
      <c r="K1337" t="s">
        <v>62</v>
      </c>
      <c r="L1337" s="638" t="s">
        <v>273</v>
      </c>
    </row>
    <row r="1338" spans="2:12" x14ac:dyDescent="0.2">
      <c r="B1338" s="46">
        <v>1332</v>
      </c>
      <c r="C1338" s="837">
        <v>42844</v>
      </c>
      <c r="D1338" s="124">
        <v>0.9375</v>
      </c>
      <c r="E1338" s="832">
        <v>12.6</v>
      </c>
      <c r="F1338" s="832">
        <v>11.4</v>
      </c>
      <c r="G1338" s="832">
        <v>10.4</v>
      </c>
      <c r="H1338" s="361">
        <v>11.4</v>
      </c>
      <c r="I1338" s="346">
        <v>34</v>
      </c>
      <c r="J1338" t="s">
        <v>38</v>
      </c>
      <c r="K1338" t="s">
        <v>85</v>
      </c>
      <c r="L1338" s="638" t="s">
        <v>273</v>
      </c>
    </row>
    <row r="1339" spans="2:12" x14ac:dyDescent="0.2">
      <c r="B1339" s="46">
        <v>1333</v>
      </c>
      <c r="C1339" s="837">
        <v>42845</v>
      </c>
      <c r="D1339" s="124">
        <v>0.59722222222222221</v>
      </c>
      <c r="E1339" s="834">
        <v>21.3</v>
      </c>
      <c r="F1339" s="834">
        <v>19.2</v>
      </c>
      <c r="G1339" s="834">
        <v>17.8</v>
      </c>
      <c r="H1339" s="361">
        <v>14.3</v>
      </c>
      <c r="I1339" s="346">
        <v>33</v>
      </c>
      <c r="J1339" t="s">
        <v>38</v>
      </c>
      <c r="K1339" t="s">
        <v>62</v>
      </c>
      <c r="L1339" s="638" t="s">
        <v>273</v>
      </c>
    </row>
    <row r="1340" spans="2:12" x14ac:dyDescent="0.2">
      <c r="B1340" s="46">
        <v>1334</v>
      </c>
      <c r="C1340" s="837">
        <v>42845</v>
      </c>
      <c r="D1340" s="124">
        <v>0.94791666666666663</v>
      </c>
      <c r="E1340" s="834">
        <v>17.7</v>
      </c>
      <c r="F1340" s="834">
        <v>16.2</v>
      </c>
      <c r="G1340" s="834">
        <v>15.5</v>
      </c>
      <c r="H1340" s="361">
        <v>11.4</v>
      </c>
      <c r="I1340" s="346">
        <v>23</v>
      </c>
      <c r="J1340" t="s">
        <v>38</v>
      </c>
      <c r="K1340" t="s">
        <v>85</v>
      </c>
      <c r="L1340" s="638" t="s">
        <v>273</v>
      </c>
    </row>
    <row r="1341" spans="2:12" x14ac:dyDescent="0.2">
      <c r="B1341" s="46">
        <v>1335</v>
      </c>
      <c r="C1341" s="837">
        <v>42846</v>
      </c>
      <c r="D1341" s="124">
        <v>0.51388888888888895</v>
      </c>
      <c r="E1341" s="838">
        <v>22.6</v>
      </c>
      <c r="F1341" s="838">
        <v>20.399999999999999</v>
      </c>
      <c r="G1341" s="838">
        <v>17.899999999999999</v>
      </c>
      <c r="H1341" s="361">
        <v>14.3</v>
      </c>
      <c r="I1341" s="346">
        <v>30</v>
      </c>
      <c r="J1341" t="s">
        <v>38</v>
      </c>
      <c r="K1341" t="s">
        <v>62</v>
      </c>
      <c r="L1341" s="638" t="s">
        <v>273</v>
      </c>
    </row>
    <row r="1342" spans="2:12" x14ac:dyDescent="0.2">
      <c r="B1342" s="46">
        <v>1336</v>
      </c>
      <c r="C1342" s="837">
        <v>42846</v>
      </c>
      <c r="D1342" s="124">
        <v>0.95486111111111116</v>
      </c>
      <c r="E1342" s="838">
        <v>15.5</v>
      </c>
      <c r="F1342" s="838">
        <v>12.6</v>
      </c>
      <c r="G1342" s="838">
        <v>10.3</v>
      </c>
      <c r="H1342" s="361">
        <v>11.4</v>
      </c>
      <c r="I1342" s="346">
        <v>39</v>
      </c>
      <c r="J1342" t="s">
        <v>38</v>
      </c>
      <c r="K1342" t="s">
        <v>85</v>
      </c>
      <c r="L1342" s="638" t="s">
        <v>273</v>
      </c>
    </row>
    <row r="1343" spans="2:12" x14ac:dyDescent="0.2">
      <c r="B1343" s="46">
        <v>1337</v>
      </c>
      <c r="C1343" s="837">
        <v>42847</v>
      </c>
      <c r="D1343" s="124">
        <v>0.50694444444444442</v>
      </c>
      <c r="E1343" s="840">
        <v>21.2</v>
      </c>
      <c r="F1343" s="840">
        <v>19.399999999999999</v>
      </c>
      <c r="G1343" s="840">
        <v>17.2</v>
      </c>
      <c r="H1343" s="361">
        <v>19.2</v>
      </c>
      <c r="I1343" s="346">
        <v>32</v>
      </c>
      <c r="J1343" t="s">
        <v>38</v>
      </c>
      <c r="K1343" t="s">
        <v>62</v>
      </c>
      <c r="L1343" s="638" t="s">
        <v>273</v>
      </c>
    </row>
    <row r="1344" spans="2:12" x14ac:dyDescent="0.2">
      <c r="B1344" s="120">
        <v>1338</v>
      </c>
      <c r="C1344" s="837">
        <v>42847</v>
      </c>
      <c r="D1344" s="124">
        <v>0.88888888888888884</v>
      </c>
      <c r="E1344" s="840">
        <v>17.399999999999999</v>
      </c>
      <c r="F1344" s="840">
        <v>15.8</v>
      </c>
      <c r="G1344" s="840">
        <v>14.8</v>
      </c>
      <c r="H1344" s="361">
        <v>16</v>
      </c>
      <c r="I1344" s="346">
        <v>48</v>
      </c>
      <c r="J1344" t="s">
        <v>38</v>
      </c>
      <c r="K1344" t="s">
        <v>90</v>
      </c>
      <c r="L1344" s="638" t="s">
        <v>273</v>
      </c>
    </row>
    <row r="1345" spans="2:12" x14ac:dyDescent="0.2">
      <c r="B1345" s="46">
        <v>1339</v>
      </c>
      <c r="C1345" s="837">
        <v>42848</v>
      </c>
      <c r="D1345" s="124">
        <v>0.60069444444444442</v>
      </c>
      <c r="E1345" s="842">
        <v>14.2</v>
      </c>
      <c r="F1345" s="842">
        <v>13.3</v>
      </c>
      <c r="G1345" s="842">
        <v>9.1</v>
      </c>
      <c r="H1345" s="361">
        <v>12.2</v>
      </c>
      <c r="I1345" s="346">
        <v>32.1</v>
      </c>
      <c r="J1345" t="s">
        <v>38</v>
      </c>
      <c r="K1345" t="s">
        <v>62</v>
      </c>
      <c r="L1345" s="638" t="s">
        <v>273</v>
      </c>
    </row>
    <row r="1346" spans="2:12" x14ac:dyDescent="0.2">
      <c r="B1346" s="46">
        <v>1340</v>
      </c>
      <c r="C1346" s="837">
        <v>42848</v>
      </c>
      <c r="D1346" s="124">
        <v>0.94791666666666663</v>
      </c>
      <c r="E1346" s="842">
        <v>13.3</v>
      </c>
      <c r="F1346" s="842">
        <v>12.2</v>
      </c>
      <c r="G1346" s="842">
        <v>10</v>
      </c>
      <c r="H1346" s="361">
        <v>11.8</v>
      </c>
      <c r="I1346" s="346">
        <v>40</v>
      </c>
      <c r="J1346" t="s">
        <v>38</v>
      </c>
      <c r="K1346" t="s">
        <v>85</v>
      </c>
      <c r="L1346" s="638" t="s">
        <v>273</v>
      </c>
    </row>
    <row r="1347" spans="2:12" x14ac:dyDescent="0.2">
      <c r="B1347" s="46">
        <v>1341</v>
      </c>
      <c r="C1347" s="837">
        <v>42849</v>
      </c>
      <c r="D1347" s="124">
        <v>0.51041666666666663</v>
      </c>
      <c r="E1347" s="846">
        <v>12</v>
      </c>
      <c r="F1347" s="846">
        <v>11.5</v>
      </c>
      <c r="G1347" s="846">
        <v>11.3</v>
      </c>
      <c r="H1347" s="361">
        <v>11.3</v>
      </c>
      <c r="I1347" s="346">
        <v>38</v>
      </c>
      <c r="J1347" t="s">
        <v>38</v>
      </c>
      <c r="K1347" t="s">
        <v>57</v>
      </c>
      <c r="L1347" s="638" t="s">
        <v>273</v>
      </c>
    </row>
    <row r="1348" spans="2:12" x14ac:dyDescent="0.2">
      <c r="B1348" s="59">
        <v>1342</v>
      </c>
      <c r="C1348" s="837">
        <v>42849</v>
      </c>
      <c r="D1348" s="124">
        <v>0.93402777777777779</v>
      </c>
      <c r="E1348" s="846">
        <v>12.1</v>
      </c>
      <c r="F1348" s="846">
        <v>10.8</v>
      </c>
      <c r="G1348" s="846">
        <v>9.6</v>
      </c>
      <c r="H1348" s="361">
        <v>10.8</v>
      </c>
      <c r="I1348" s="346">
        <v>38</v>
      </c>
      <c r="J1348" t="s">
        <v>38</v>
      </c>
      <c r="K1348" t="s">
        <v>90</v>
      </c>
      <c r="L1348" s="638" t="s">
        <v>273</v>
      </c>
    </row>
    <row r="1349" spans="2:12" x14ac:dyDescent="0.2">
      <c r="B1349" s="59">
        <v>1343</v>
      </c>
      <c r="C1349" s="837">
        <v>42850</v>
      </c>
      <c r="D1349" s="124">
        <v>0.94444444444444453</v>
      </c>
      <c r="E1349" s="850">
        <v>14.3</v>
      </c>
      <c r="F1349" s="850">
        <v>12.9</v>
      </c>
      <c r="G1349" s="850">
        <v>11.6</v>
      </c>
      <c r="H1349" s="361">
        <v>12.9</v>
      </c>
      <c r="I1349" s="346">
        <v>43</v>
      </c>
      <c r="J1349" t="s">
        <v>38</v>
      </c>
      <c r="K1349" t="s">
        <v>85</v>
      </c>
      <c r="L1349" s="638" t="s">
        <v>273</v>
      </c>
    </row>
    <row r="1350" spans="2:12" x14ac:dyDescent="0.2">
      <c r="B1350" s="46">
        <v>1344</v>
      </c>
      <c r="C1350" s="837">
        <v>42851</v>
      </c>
      <c r="D1350" s="124">
        <v>0.46875</v>
      </c>
      <c r="E1350" s="853">
        <v>14.2</v>
      </c>
      <c r="F1350" s="853">
        <v>13.8</v>
      </c>
      <c r="G1350" s="853">
        <v>12.5</v>
      </c>
      <c r="H1350" s="361">
        <v>13.5</v>
      </c>
      <c r="I1350" s="346">
        <v>34.4</v>
      </c>
      <c r="J1350" t="s">
        <v>38</v>
      </c>
      <c r="K1350" t="s">
        <v>62</v>
      </c>
      <c r="L1350" s="638" t="s">
        <v>276</v>
      </c>
    </row>
    <row r="1351" spans="2:12" x14ac:dyDescent="0.2">
      <c r="B1351" s="59">
        <v>1345</v>
      </c>
      <c r="C1351" s="837">
        <v>42851</v>
      </c>
      <c r="D1351" s="124">
        <v>0.92708333333333337</v>
      </c>
      <c r="E1351" s="853">
        <v>12.6</v>
      </c>
      <c r="F1351" s="853">
        <v>11.6</v>
      </c>
      <c r="G1351" s="853">
        <v>9.8000000000000007</v>
      </c>
      <c r="H1351" s="361">
        <v>11.3</v>
      </c>
      <c r="I1351" s="346">
        <v>36</v>
      </c>
      <c r="J1351" t="s">
        <v>38</v>
      </c>
      <c r="K1351" t="s">
        <v>85</v>
      </c>
      <c r="L1351" s="638" t="s">
        <v>293</v>
      </c>
    </row>
    <row r="1352" spans="2:12" x14ac:dyDescent="0.2">
      <c r="B1352" s="59">
        <v>1346</v>
      </c>
      <c r="C1352" s="837">
        <v>42852</v>
      </c>
      <c r="D1352" s="124">
        <v>0.53125</v>
      </c>
      <c r="E1352" s="860">
        <v>10.3</v>
      </c>
      <c r="F1352" s="860">
        <v>10.199999999999999</v>
      </c>
      <c r="G1352" s="860">
        <v>9.8000000000000007</v>
      </c>
      <c r="H1352" s="361">
        <v>13.5</v>
      </c>
      <c r="I1352" s="346">
        <v>35</v>
      </c>
      <c r="J1352" t="s">
        <v>38</v>
      </c>
      <c r="K1352" t="s">
        <v>62</v>
      </c>
      <c r="L1352" s="638" t="s">
        <v>295</v>
      </c>
    </row>
    <row r="1353" spans="2:12" x14ac:dyDescent="0.2">
      <c r="B1353" s="46">
        <v>1347</v>
      </c>
      <c r="C1353" s="837">
        <v>42852</v>
      </c>
      <c r="D1353" s="124">
        <v>3.4722222222222224E-2</v>
      </c>
      <c r="E1353" s="860">
        <v>13.8</v>
      </c>
      <c r="F1353" s="860">
        <v>12.9</v>
      </c>
      <c r="G1353" s="860">
        <v>12.1</v>
      </c>
      <c r="H1353" s="361">
        <v>11.3</v>
      </c>
      <c r="I1353" s="346">
        <v>46</v>
      </c>
      <c r="J1353" t="s">
        <v>38</v>
      </c>
      <c r="K1353" t="s">
        <v>85</v>
      </c>
      <c r="L1353" s="638" t="s">
        <v>296</v>
      </c>
    </row>
    <row r="1354" spans="2:12" x14ac:dyDescent="0.2">
      <c r="B1354" s="59">
        <v>1348</v>
      </c>
      <c r="C1354" s="837">
        <v>42853</v>
      </c>
      <c r="D1354" s="124">
        <v>0.46875</v>
      </c>
      <c r="E1354" s="862">
        <v>12.5</v>
      </c>
      <c r="F1354" s="862">
        <v>10.7</v>
      </c>
      <c r="G1354" s="862">
        <v>10.5</v>
      </c>
      <c r="H1354" s="361">
        <v>11.2</v>
      </c>
      <c r="I1354" s="346">
        <v>34</v>
      </c>
      <c r="J1354" t="s">
        <v>38</v>
      </c>
      <c r="K1354" t="s">
        <v>62</v>
      </c>
      <c r="L1354" s="638" t="s">
        <v>298</v>
      </c>
    </row>
    <row r="1355" spans="2:12" x14ac:dyDescent="0.2">
      <c r="B1355" s="59">
        <v>1349</v>
      </c>
      <c r="C1355" s="837">
        <v>42853</v>
      </c>
      <c r="D1355" s="124">
        <v>0.88541666666666663</v>
      </c>
      <c r="E1355" s="862">
        <v>10.1</v>
      </c>
      <c r="F1355" s="862">
        <v>9.6999999999999993</v>
      </c>
      <c r="G1355" s="862">
        <v>8.6</v>
      </c>
      <c r="H1355" s="361">
        <v>9.4</v>
      </c>
      <c r="I1355" s="346">
        <v>29</v>
      </c>
      <c r="J1355" t="s">
        <v>38</v>
      </c>
      <c r="K1355" t="s">
        <v>61</v>
      </c>
      <c r="L1355" s="638" t="s">
        <v>296</v>
      </c>
    </row>
    <row r="1356" spans="2:12" x14ac:dyDescent="0.2">
      <c r="B1356" s="46">
        <v>1350</v>
      </c>
      <c r="C1356" s="868">
        <v>42854</v>
      </c>
      <c r="D1356" s="124">
        <v>0.92708333333333337</v>
      </c>
      <c r="E1356" s="864">
        <v>14.3</v>
      </c>
      <c r="F1356" s="864">
        <v>11.3</v>
      </c>
      <c r="G1356" s="864">
        <v>9.6</v>
      </c>
      <c r="H1356" s="361">
        <v>11.8</v>
      </c>
      <c r="I1356" s="346">
        <v>27</v>
      </c>
      <c r="J1356" t="s">
        <v>38</v>
      </c>
      <c r="K1356" t="s">
        <v>61</v>
      </c>
      <c r="L1356" s="869" t="s">
        <v>300</v>
      </c>
    </row>
    <row r="1357" spans="2:12" x14ac:dyDescent="0.2">
      <c r="B1357" s="59">
        <v>1351</v>
      </c>
      <c r="C1357" s="868">
        <v>42855</v>
      </c>
      <c r="D1357" s="124">
        <v>0.51041666666666663</v>
      </c>
      <c r="E1357" s="866">
        <v>14.5</v>
      </c>
      <c r="F1357" s="866">
        <v>13.7</v>
      </c>
      <c r="G1357" s="866">
        <v>12.9</v>
      </c>
      <c r="H1357" s="870">
        <v>13.7</v>
      </c>
      <c r="I1357" s="346">
        <v>29</v>
      </c>
      <c r="J1357" t="s">
        <v>38</v>
      </c>
      <c r="K1357" t="s">
        <v>57</v>
      </c>
      <c r="L1357" s="638" t="s">
        <v>302</v>
      </c>
    </row>
    <row r="1358" spans="2:12" x14ac:dyDescent="0.2">
      <c r="B1358" s="59">
        <v>1352</v>
      </c>
      <c r="C1358" s="868">
        <v>42855</v>
      </c>
      <c r="D1358" s="124">
        <v>0.89583333333333337</v>
      </c>
      <c r="E1358" s="866">
        <v>14.5</v>
      </c>
      <c r="F1358" s="866">
        <v>12.4</v>
      </c>
      <c r="G1358" s="866">
        <v>9.5</v>
      </c>
      <c r="H1358" s="870">
        <v>12.1</v>
      </c>
      <c r="I1358" s="346">
        <v>37</v>
      </c>
      <c r="J1358" t="s">
        <v>38</v>
      </c>
      <c r="K1358" t="s">
        <v>61</v>
      </c>
      <c r="L1358" s="638" t="s">
        <v>302</v>
      </c>
    </row>
    <row r="1359" spans="2:12" x14ac:dyDescent="0.2">
      <c r="B1359" s="46">
        <v>1353</v>
      </c>
      <c r="C1359" s="868">
        <v>42856</v>
      </c>
      <c r="D1359" s="124">
        <v>0.59375</v>
      </c>
      <c r="E1359" s="872">
        <v>19.600000000000001</v>
      </c>
      <c r="F1359" s="872">
        <v>13.5</v>
      </c>
      <c r="G1359" s="872">
        <v>12.5</v>
      </c>
      <c r="H1359" s="361">
        <v>15.2</v>
      </c>
      <c r="I1359" s="346">
        <v>30</v>
      </c>
      <c r="J1359" t="s">
        <v>38</v>
      </c>
      <c r="K1359" t="s">
        <v>57</v>
      </c>
      <c r="L1359" s="638" t="s">
        <v>302</v>
      </c>
    </row>
    <row r="1360" spans="2:12" x14ac:dyDescent="0.2">
      <c r="B1360" s="59">
        <v>1354</v>
      </c>
      <c r="C1360" s="868">
        <v>42856</v>
      </c>
      <c r="D1360" s="124">
        <v>1.0416666666666666E-2</v>
      </c>
      <c r="E1360" s="872">
        <v>17.600000000000001</v>
      </c>
      <c r="F1360" s="872">
        <v>14.7</v>
      </c>
      <c r="G1360" s="872">
        <v>12.2</v>
      </c>
      <c r="H1360" s="361">
        <v>14.8</v>
      </c>
      <c r="I1360" s="346">
        <v>45</v>
      </c>
      <c r="J1360" t="s">
        <v>38</v>
      </c>
      <c r="K1360" t="s">
        <v>61</v>
      </c>
      <c r="L1360" s="638" t="s">
        <v>298</v>
      </c>
    </row>
    <row r="1361" spans="2:12" x14ac:dyDescent="0.2">
      <c r="B1361" s="59">
        <v>1355</v>
      </c>
      <c r="C1361" s="868">
        <v>42857</v>
      </c>
      <c r="D1361" s="124">
        <v>0.59027777777777779</v>
      </c>
      <c r="E1361" s="874">
        <v>13.5</v>
      </c>
      <c r="F1361" s="874">
        <v>12.5</v>
      </c>
      <c r="G1361" s="874">
        <v>11.8</v>
      </c>
      <c r="H1361" s="361">
        <v>12.6</v>
      </c>
      <c r="I1361" s="346">
        <v>35</v>
      </c>
      <c r="J1361" t="s">
        <v>38</v>
      </c>
      <c r="K1361" t="s">
        <v>57</v>
      </c>
      <c r="L1361" s="638" t="s">
        <v>305</v>
      </c>
    </row>
    <row r="1362" spans="2:12" x14ac:dyDescent="0.2">
      <c r="B1362" s="46">
        <v>1356</v>
      </c>
      <c r="C1362" s="837">
        <v>42857</v>
      </c>
      <c r="D1362" s="124">
        <v>0.94791666666666663</v>
      </c>
      <c r="E1362" s="874">
        <v>17.7</v>
      </c>
      <c r="F1362" s="874">
        <v>15.6</v>
      </c>
      <c r="G1362" s="874">
        <v>13.6</v>
      </c>
      <c r="H1362" s="361">
        <v>15.4</v>
      </c>
      <c r="I1362" s="346">
        <v>29</v>
      </c>
      <c r="J1362" t="s">
        <v>38</v>
      </c>
      <c r="K1362" t="s">
        <v>61</v>
      </c>
      <c r="L1362" s="638" t="s">
        <v>298</v>
      </c>
    </row>
    <row r="1363" spans="2:12" x14ac:dyDescent="0.2">
      <c r="B1363" s="880">
        <v>1357</v>
      </c>
      <c r="C1363" s="837">
        <v>42858</v>
      </c>
      <c r="D1363" s="124">
        <v>0.59375</v>
      </c>
      <c r="E1363" s="876">
        <v>13.8</v>
      </c>
      <c r="F1363" s="876">
        <v>12.6</v>
      </c>
      <c r="G1363" s="876">
        <v>11.3</v>
      </c>
      <c r="H1363" s="361">
        <v>12.5</v>
      </c>
      <c r="I1363" s="346">
        <v>31</v>
      </c>
      <c r="J1363" t="s">
        <v>38</v>
      </c>
      <c r="K1363" t="s">
        <v>307</v>
      </c>
      <c r="L1363" s="638" t="s">
        <v>305</v>
      </c>
    </row>
    <row r="1364" spans="2:12" x14ac:dyDescent="0.2">
      <c r="B1364" s="880">
        <v>1358</v>
      </c>
      <c r="C1364" s="837">
        <v>42858</v>
      </c>
      <c r="D1364" s="124">
        <v>0.95138888888888884</v>
      </c>
      <c r="E1364" s="876">
        <v>13.3</v>
      </c>
      <c r="F1364" s="876">
        <v>11.6</v>
      </c>
      <c r="G1364" s="876">
        <v>10.8</v>
      </c>
      <c r="H1364" s="361">
        <v>10.8</v>
      </c>
      <c r="I1364" s="346">
        <v>34</v>
      </c>
      <c r="J1364" t="s">
        <v>38</v>
      </c>
      <c r="K1364" t="s">
        <v>308</v>
      </c>
      <c r="L1364" s="638" t="s">
        <v>298</v>
      </c>
    </row>
    <row r="1365" spans="2:12" x14ac:dyDescent="0.2">
      <c r="B1365" s="881">
        <v>1359</v>
      </c>
      <c r="C1365" s="837">
        <v>42859</v>
      </c>
      <c r="D1365" s="124">
        <v>0.63194444444444442</v>
      </c>
      <c r="E1365" s="878">
        <v>11.7</v>
      </c>
      <c r="F1365" s="878">
        <v>10.9</v>
      </c>
      <c r="G1365" s="878">
        <v>9.5</v>
      </c>
      <c r="H1365" s="361">
        <v>10.7</v>
      </c>
      <c r="I1365" s="346">
        <v>27</v>
      </c>
      <c r="J1365" t="s">
        <v>38</v>
      </c>
      <c r="K1365" t="s">
        <v>307</v>
      </c>
      <c r="L1365" s="638" t="s">
        <v>305</v>
      </c>
    </row>
    <row r="1366" spans="2:12" x14ac:dyDescent="0.2">
      <c r="B1366" s="880">
        <v>1360</v>
      </c>
      <c r="C1366" s="837">
        <v>42859</v>
      </c>
      <c r="D1366" s="124">
        <v>0.95138888888888884</v>
      </c>
      <c r="E1366" s="878">
        <v>11.2</v>
      </c>
      <c r="F1366" s="878">
        <v>9.9</v>
      </c>
      <c r="G1366" s="878">
        <v>9.6999999999999993</v>
      </c>
      <c r="H1366" s="361">
        <v>10.199999999999999</v>
      </c>
      <c r="I1366" s="346">
        <v>25</v>
      </c>
      <c r="J1366" t="s">
        <v>38</v>
      </c>
      <c r="K1366" t="s">
        <v>308</v>
      </c>
      <c r="L1366" s="638" t="s">
        <v>298</v>
      </c>
    </row>
    <row r="1367" spans="2:12" x14ac:dyDescent="0.2">
      <c r="B1367" s="880">
        <v>1361</v>
      </c>
      <c r="C1367" s="837">
        <v>42860</v>
      </c>
      <c r="D1367" s="124">
        <v>0.58333333333333337</v>
      </c>
      <c r="E1367" s="882">
        <v>15.6</v>
      </c>
      <c r="F1367" s="882">
        <v>12.3</v>
      </c>
      <c r="G1367" s="882">
        <v>10.3</v>
      </c>
      <c r="H1367" s="361">
        <v>12.73</v>
      </c>
      <c r="I1367" s="346">
        <v>27</v>
      </c>
      <c r="J1367" t="s">
        <v>38</v>
      </c>
      <c r="K1367" t="s">
        <v>307</v>
      </c>
      <c r="L1367" s="638" t="s">
        <v>305</v>
      </c>
    </row>
    <row r="1368" spans="2:12" x14ac:dyDescent="0.2">
      <c r="B1368" s="881">
        <v>1362</v>
      </c>
      <c r="C1368" s="837">
        <v>42860</v>
      </c>
      <c r="D1368" s="124">
        <v>0.97222222222222221</v>
      </c>
      <c r="E1368" s="882">
        <v>14.8</v>
      </c>
      <c r="F1368" s="882">
        <v>13.2</v>
      </c>
      <c r="G1368" s="882">
        <v>11.6</v>
      </c>
      <c r="H1368" s="361">
        <v>13.2</v>
      </c>
      <c r="I1368" s="346">
        <v>25</v>
      </c>
      <c r="J1368" t="s">
        <v>38</v>
      </c>
      <c r="K1368" t="s">
        <v>308</v>
      </c>
      <c r="L1368" s="638" t="s">
        <v>298</v>
      </c>
    </row>
    <row r="1369" spans="2:12" x14ac:dyDescent="0.2">
      <c r="B1369" s="880">
        <v>1363</v>
      </c>
      <c r="C1369" s="837">
        <v>42861</v>
      </c>
      <c r="D1369" s="124">
        <v>0.46527777777777773</v>
      </c>
      <c r="E1369" s="888">
        <v>17.2</v>
      </c>
      <c r="F1369" s="888">
        <v>17</v>
      </c>
      <c r="G1369" s="888">
        <v>15.7</v>
      </c>
      <c r="H1369" s="361">
        <v>16.600000000000001</v>
      </c>
      <c r="I1369" s="346">
        <v>33</v>
      </c>
      <c r="J1369" t="s">
        <v>38</v>
      </c>
      <c r="K1369" t="s">
        <v>315</v>
      </c>
      <c r="L1369" s="638" t="s">
        <v>298</v>
      </c>
    </row>
    <row r="1370" spans="2:12" x14ac:dyDescent="0.2">
      <c r="B1370" s="880">
        <v>1364</v>
      </c>
      <c r="C1370" s="837">
        <v>42861</v>
      </c>
      <c r="D1370" s="124">
        <v>0.94791666666666663</v>
      </c>
      <c r="E1370" s="888">
        <v>13.6</v>
      </c>
      <c r="F1370" s="888">
        <v>11.5</v>
      </c>
      <c r="G1370" s="888">
        <v>10.3</v>
      </c>
      <c r="H1370" s="361">
        <v>11.7</v>
      </c>
      <c r="I1370" s="346">
        <v>32</v>
      </c>
      <c r="J1370" t="s">
        <v>38</v>
      </c>
      <c r="K1370" t="s">
        <v>316</v>
      </c>
      <c r="L1370" s="638" t="s">
        <v>298</v>
      </c>
    </row>
    <row r="1371" spans="2:12" x14ac:dyDescent="0.2">
      <c r="B1371" s="346">
        <v>1365</v>
      </c>
      <c r="C1371" s="837">
        <v>42862</v>
      </c>
      <c r="D1371" s="124">
        <v>0.7104166666666667</v>
      </c>
      <c r="E1371" s="898">
        <v>16.100000000000001</v>
      </c>
      <c r="F1371" s="898">
        <v>14.6</v>
      </c>
      <c r="G1371" s="898">
        <v>16</v>
      </c>
      <c r="H1371" s="361">
        <v>16</v>
      </c>
      <c r="I1371" s="346">
        <v>29</v>
      </c>
      <c r="J1371" t="s">
        <v>38</v>
      </c>
      <c r="K1371" t="s">
        <v>307</v>
      </c>
      <c r="L1371" s="638" t="s">
        <v>319</v>
      </c>
    </row>
    <row r="1372" spans="2:12" x14ac:dyDescent="0.2">
      <c r="B1372" s="346">
        <v>1366</v>
      </c>
      <c r="C1372" s="837">
        <v>42862</v>
      </c>
      <c r="D1372" s="124">
        <v>0.4604166666666667</v>
      </c>
      <c r="E1372" s="898">
        <v>10.9</v>
      </c>
      <c r="F1372" s="898">
        <v>10.7</v>
      </c>
      <c r="G1372" s="898">
        <v>10.9</v>
      </c>
      <c r="H1372" s="361">
        <v>10.9</v>
      </c>
      <c r="I1372" s="346">
        <v>25</v>
      </c>
      <c r="J1372" t="s">
        <v>38</v>
      </c>
      <c r="K1372" t="s">
        <v>316</v>
      </c>
      <c r="L1372" s="638" t="s">
        <v>319</v>
      </c>
    </row>
    <row r="1373" spans="2:12" x14ac:dyDescent="0.2">
      <c r="B1373" s="346">
        <v>1367</v>
      </c>
      <c r="C1373" s="837">
        <v>42863</v>
      </c>
      <c r="D1373" s="124">
        <v>0.51041666666666663</v>
      </c>
      <c r="E1373" s="896">
        <v>17.2</v>
      </c>
      <c r="F1373" s="896">
        <v>16.5</v>
      </c>
      <c r="G1373" s="896">
        <v>15.4</v>
      </c>
      <c r="H1373" s="361">
        <v>16</v>
      </c>
      <c r="I1373" s="346">
        <v>26</v>
      </c>
      <c r="J1373" t="s">
        <v>38</v>
      </c>
      <c r="K1373" t="s">
        <v>307</v>
      </c>
      <c r="L1373" s="638" t="s">
        <v>298</v>
      </c>
    </row>
    <row r="1374" spans="2:12" x14ac:dyDescent="0.2">
      <c r="B1374" s="346">
        <v>1368</v>
      </c>
      <c r="C1374" s="837">
        <v>42863</v>
      </c>
      <c r="D1374" s="124">
        <v>1.3888888888888888E-2</v>
      </c>
      <c r="E1374" s="896">
        <v>14.2</v>
      </c>
      <c r="F1374" s="896">
        <v>10.4</v>
      </c>
      <c r="G1374" s="896">
        <v>8.1999999999999993</v>
      </c>
      <c r="H1374" s="361">
        <v>10.9</v>
      </c>
      <c r="I1374" s="346">
        <v>26</v>
      </c>
      <c r="J1374" t="s">
        <v>38</v>
      </c>
      <c r="K1374" t="s">
        <v>316</v>
      </c>
      <c r="L1374" s="638" t="s">
        <v>298</v>
      </c>
    </row>
    <row r="1375" spans="2:12" x14ac:dyDescent="0.2">
      <c r="B1375" s="346">
        <v>1369</v>
      </c>
      <c r="C1375" s="837">
        <v>42864</v>
      </c>
      <c r="H1375" s="361"/>
      <c r="J1375" t="s">
        <v>38</v>
      </c>
      <c r="L1375" s="869"/>
    </row>
    <row r="1376" spans="2:12" x14ac:dyDescent="0.2">
      <c r="B1376" s="346">
        <v>1370</v>
      </c>
      <c r="C1376" s="837">
        <v>42864</v>
      </c>
      <c r="H1376" s="361"/>
      <c r="J1376" t="s">
        <v>38</v>
      </c>
      <c r="L1376" s="869"/>
    </row>
    <row r="1377" spans="2:12" x14ac:dyDescent="0.2">
      <c r="B1377" s="346">
        <v>1371</v>
      </c>
      <c r="C1377" s="837">
        <v>42865</v>
      </c>
      <c r="L1377" s="869"/>
    </row>
    <row r="1378" spans="2:12" x14ac:dyDescent="0.2">
      <c r="B1378" s="346">
        <v>1372</v>
      </c>
      <c r="C1378" s="837">
        <v>42866</v>
      </c>
      <c r="D1378" s="1156"/>
      <c r="E1378" s="1156"/>
      <c r="F1378" s="1156"/>
      <c r="G1378" s="1156"/>
      <c r="H1378" s="1156"/>
      <c r="I1378" s="1156"/>
      <c r="J1378" s="1156"/>
      <c r="K1378" s="1156"/>
      <c r="L1378" s="1156"/>
    </row>
    <row r="1379" spans="2:12" x14ac:dyDescent="0.2">
      <c r="B1379" s="346">
        <v>1373</v>
      </c>
      <c r="L1379" s="869"/>
    </row>
    <row r="1380" spans="2:12" x14ac:dyDescent="0.2">
      <c r="B1380" s="346">
        <v>1374</v>
      </c>
      <c r="L1380" s="869"/>
    </row>
    <row r="1381" spans="2:12" x14ac:dyDescent="0.2">
      <c r="B1381" s="346">
        <v>1375</v>
      </c>
      <c r="L1381" s="869"/>
    </row>
    <row r="1382" spans="2:12" x14ac:dyDescent="0.2">
      <c r="B1382" s="346">
        <v>1376</v>
      </c>
      <c r="L1382" s="869"/>
    </row>
    <row r="1383" spans="2:12" x14ac:dyDescent="0.2">
      <c r="B1383" s="346">
        <v>1377</v>
      </c>
      <c r="L1383" s="869"/>
    </row>
    <row r="1384" spans="2:12" x14ac:dyDescent="0.2">
      <c r="B1384" s="346">
        <v>1378</v>
      </c>
      <c r="L1384" s="869"/>
    </row>
    <row r="1385" spans="2:12" x14ac:dyDescent="0.2">
      <c r="B1385" s="346">
        <v>1379</v>
      </c>
      <c r="L1385" s="869"/>
    </row>
    <row r="1386" spans="2:12" x14ac:dyDescent="0.2">
      <c r="B1386" s="346">
        <v>1380</v>
      </c>
      <c r="L1386" s="869"/>
    </row>
    <row r="1387" spans="2:12" x14ac:dyDescent="0.2">
      <c r="B1387" s="346">
        <v>1381</v>
      </c>
      <c r="L1387" s="869"/>
    </row>
    <row r="1388" spans="2:12" x14ac:dyDescent="0.2">
      <c r="B1388" s="346">
        <v>1382</v>
      </c>
    </row>
    <row r="1389" spans="2:12" x14ac:dyDescent="0.2">
      <c r="B1389" s="346">
        <v>1383</v>
      </c>
    </row>
    <row r="1390" spans="2:12" x14ac:dyDescent="0.2">
      <c r="B1390" s="346">
        <v>1384</v>
      </c>
    </row>
    <row r="1391" spans="2:12" x14ac:dyDescent="0.2">
      <c r="B1391" s="346">
        <v>1385</v>
      </c>
    </row>
    <row r="1392" spans="2:12" x14ac:dyDescent="0.2">
      <c r="B1392" s="346">
        <v>1386</v>
      </c>
    </row>
    <row r="1393" spans="2:2" x14ac:dyDescent="0.2">
      <c r="B1393" s="346">
        <v>1387</v>
      </c>
    </row>
    <row r="1394" spans="2:2" x14ac:dyDescent="0.2">
      <c r="B1394" s="346">
        <v>1388</v>
      </c>
    </row>
    <row r="1395" spans="2:2" x14ac:dyDescent="0.2">
      <c r="B1395" s="346">
        <v>1389</v>
      </c>
    </row>
    <row r="1396" spans="2:2" x14ac:dyDescent="0.2">
      <c r="B1396" s="346">
        <v>1390</v>
      </c>
    </row>
    <row r="1397" spans="2:2" x14ac:dyDescent="0.2">
      <c r="B1397" s="346">
        <v>1391</v>
      </c>
    </row>
  </sheetData>
  <mergeCells count="8">
    <mergeCell ref="D1378:L1378"/>
    <mergeCell ref="L763:L764"/>
    <mergeCell ref="K2:K3"/>
    <mergeCell ref="E2:H2"/>
    <mergeCell ref="B2:B3"/>
    <mergeCell ref="C2:C3"/>
    <mergeCell ref="D2:D3"/>
    <mergeCell ref="J2:J3"/>
  </mergeCells>
  <phoneticPr fontId="12"/>
  <conditionalFormatting sqref="E4:H22 E23:G72 H23:H255">
    <cfRule type="cellIs" dxfId="51" priority="53" operator="greaterThanOrEqual">
      <formula>25</formula>
    </cfRule>
  </conditionalFormatting>
  <conditionalFormatting sqref="E4:H22 E23:G235 H23:H255">
    <cfRule type="cellIs" dxfId="50" priority="54" operator="between">
      <formula>18.5</formula>
      <formula>30</formula>
    </cfRule>
  </conditionalFormatting>
  <conditionalFormatting sqref="E236:G238 E241:G255">
    <cfRule type="cellIs" dxfId="49" priority="52" operator="between">
      <formula>18.5</formula>
      <formula>30</formula>
    </cfRule>
  </conditionalFormatting>
  <conditionalFormatting sqref="E239:G239">
    <cfRule type="cellIs" dxfId="48" priority="51" operator="between">
      <formula>18.5</formula>
      <formula>30</formula>
    </cfRule>
  </conditionalFormatting>
  <conditionalFormatting sqref="E240:G240">
    <cfRule type="cellIs" dxfId="47" priority="49" operator="between">
      <formula>18.5</formula>
      <formula>30</formula>
    </cfRule>
  </conditionalFormatting>
  <conditionalFormatting sqref="H256:H259">
    <cfRule type="cellIs" dxfId="46" priority="46" operator="greaterThanOrEqual">
      <formula>25</formula>
    </cfRule>
  </conditionalFormatting>
  <conditionalFormatting sqref="H256:H259">
    <cfRule type="cellIs" dxfId="45" priority="47" operator="between">
      <formula>18.5</formula>
      <formula>30</formula>
    </cfRule>
  </conditionalFormatting>
  <conditionalFormatting sqref="E256:G259">
    <cfRule type="cellIs" dxfId="44" priority="45" operator="between">
      <formula>18.5</formula>
      <formula>30</formula>
    </cfRule>
  </conditionalFormatting>
  <conditionalFormatting sqref="H260">
    <cfRule type="cellIs" dxfId="43" priority="43" operator="greaterThanOrEqual">
      <formula>25</formula>
    </cfRule>
  </conditionalFormatting>
  <conditionalFormatting sqref="H260">
    <cfRule type="cellIs" dxfId="42" priority="44" operator="between">
      <formula>18.5</formula>
      <formula>30</formula>
    </cfRule>
  </conditionalFormatting>
  <conditionalFormatting sqref="E260:G260">
    <cfRule type="cellIs" dxfId="41" priority="42" operator="between">
      <formula>18.5</formula>
      <formula>30</formula>
    </cfRule>
  </conditionalFormatting>
  <conditionalFormatting sqref="H261:H269">
    <cfRule type="cellIs" dxfId="40" priority="40" operator="greaterThanOrEqual">
      <formula>25</formula>
    </cfRule>
  </conditionalFormatting>
  <conditionalFormatting sqref="H261:H269">
    <cfRule type="cellIs" dxfId="39" priority="41" operator="between">
      <formula>18.5</formula>
      <formula>30</formula>
    </cfRule>
  </conditionalFormatting>
  <conditionalFormatting sqref="E261:G265">
    <cfRule type="cellIs" dxfId="38" priority="39" operator="between">
      <formula>18.5</formula>
      <formula>30</formula>
    </cfRule>
  </conditionalFormatting>
  <conditionalFormatting sqref="H270">
    <cfRule type="cellIs" dxfId="37" priority="37" operator="greaterThanOrEqual">
      <formula>25</formula>
    </cfRule>
  </conditionalFormatting>
  <conditionalFormatting sqref="H270">
    <cfRule type="cellIs" dxfId="36" priority="38" operator="between">
      <formula>18.5</formula>
      <formula>30</formula>
    </cfRule>
  </conditionalFormatting>
  <conditionalFormatting sqref="H271:H296">
    <cfRule type="cellIs" dxfId="35" priority="35" operator="greaterThanOrEqual">
      <formula>25</formula>
    </cfRule>
  </conditionalFormatting>
  <conditionalFormatting sqref="H271:H296">
    <cfRule type="cellIs" dxfId="34" priority="36" operator="between">
      <formula>18.5</formula>
      <formula>30</formula>
    </cfRule>
  </conditionalFormatting>
  <conditionalFormatting sqref="H297:H298">
    <cfRule type="cellIs" dxfId="33" priority="33" operator="greaterThanOrEqual">
      <formula>25</formula>
    </cfRule>
  </conditionalFormatting>
  <conditionalFormatting sqref="H297:H298">
    <cfRule type="cellIs" dxfId="32" priority="34" operator="between">
      <formula>18.5</formula>
      <formula>30</formula>
    </cfRule>
  </conditionalFormatting>
  <conditionalFormatting sqref="H299:H300">
    <cfRule type="cellIs" dxfId="31" priority="31" operator="greaterThanOrEqual">
      <formula>25</formula>
    </cfRule>
  </conditionalFormatting>
  <conditionalFormatting sqref="H299:H300">
    <cfRule type="cellIs" dxfId="30" priority="32" operator="between">
      <formula>18.5</formula>
      <formula>30</formula>
    </cfRule>
  </conditionalFormatting>
  <conditionalFormatting sqref="H301:H304">
    <cfRule type="cellIs" dxfId="29" priority="29" operator="greaterThanOrEqual">
      <formula>25</formula>
    </cfRule>
  </conditionalFormatting>
  <conditionalFormatting sqref="H301:H304">
    <cfRule type="cellIs" dxfId="28" priority="30" operator="between">
      <formula>18.5</formula>
      <formula>30</formula>
    </cfRule>
  </conditionalFormatting>
  <conditionalFormatting sqref="H305">
    <cfRule type="cellIs" dxfId="27" priority="27" operator="greaterThanOrEqual">
      <formula>25</formula>
    </cfRule>
  </conditionalFormatting>
  <conditionalFormatting sqref="H305">
    <cfRule type="cellIs" dxfId="26" priority="28" operator="between">
      <formula>18.5</formula>
      <formula>30</formula>
    </cfRule>
  </conditionalFormatting>
  <conditionalFormatting sqref="H306">
    <cfRule type="cellIs" dxfId="25" priority="25" operator="greaterThanOrEqual">
      <formula>25</formula>
    </cfRule>
  </conditionalFormatting>
  <conditionalFormatting sqref="H306">
    <cfRule type="cellIs" dxfId="24" priority="26" operator="between">
      <formula>18.5</formula>
      <formula>30</formula>
    </cfRule>
  </conditionalFormatting>
  <conditionalFormatting sqref="H307:H308">
    <cfRule type="cellIs" dxfId="23" priority="23" operator="greaterThanOrEqual">
      <formula>25</formula>
    </cfRule>
  </conditionalFormatting>
  <conditionalFormatting sqref="H307:H308">
    <cfRule type="cellIs" dxfId="22" priority="24" operator="between">
      <formula>18.5</formula>
      <formula>30</formula>
    </cfRule>
  </conditionalFormatting>
  <conditionalFormatting sqref="H309:H311">
    <cfRule type="cellIs" dxfId="21" priority="21" operator="greaterThanOrEqual">
      <formula>25</formula>
    </cfRule>
  </conditionalFormatting>
  <conditionalFormatting sqref="H309:H311">
    <cfRule type="cellIs" dxfId="20" priority="22" operator="between">
      <formula>18.5</formula>
      <formula>30</formula>
    </cfRule>
  </conditionalFormatting>
  <conditionalFormatting sqref="H312:H315">
    <cfRule type="cellIs" dxfId="19" priority="19" operator="greaterThanOrEqual">
      <formula>25</formula>
    </cfRule>
  </conditionalFormatting>
  <conditionalFormatting sqref="H312:H315">
    <cfRule type="cellIs" dxfId="18" priority="20" operator="between">
      <formula>18.5</formula>
      <formula>30</formula>
    </cfRule>
  </conditionalFormatting>
  <conditionalFormatting sqref="H316">
    <cfRule type="cellIs" dxfId="17" priority="17" operator="greaterThanOrEqual">
      <formula>25</formula>
    </cfRule>
  </conditionalFormatting>
  <conditionalFormatting sqref="H316">
    <cfRule type="cellIs" dxfId="16" priority="18" operator="between">
      <formula>18.5</formula>
      <formula>30</formula>
    </cfRule>
  </conditionalFormatting>
  <conditionalFormatting sqref="H317">
    <cfRule type="cellIs" dxfId="15" priority="15" operator="greaterThanOrEqual">
      <formula>25</formula>
    </cfRule>
  </conditionalFormatting>
  <conditionalFormatting sqref="H317">
    <cfRule type="cellIs" dxfId="14" priority="16" operator="between">
      <formula>18.5</formula>
      <formula>30</formula>
    </cfRule>
  </conditionalFormatting>
  <conditionalFormatting sqref="H318">
    <cfRule type="cellIs" dxfId="13" priority="13" operator="greaterThanOrEqual">
      <formula>25</formula>
    </cfRule>
  </conditionalFormatting>
  <conditionalFormatting sqref="H318">
    <cfRule type="cellIs" dxfId="12" priority="14" operator="between">
      <formula>18.5</formula>
      <formula>30</formula>
    </cfRule>
  </conditionalFormatting>
  <conditionalFormatting sqref="H319:H321">
    <cfRule type="cellIs" dxfId="11" priority="11" operator="greaterThanOrEqual">
      <formula>25</formula>
    </cfRule>
  </conditionalFormatting>
  <conditionalFormatting sqref="H319:H321">
    <cfRule type="cellIs" dxfId="10" priority="12" operator="between">
      <formula>18.5</formula>
      <formula>30</formula>
    </cfRule>
  </conditionalFormatting>
  <conditionalFormatting sqref="H322">
    <cfRule type="cellIs" dxfId="9" priority="9" operator="greaterThanOrEqual">
      <formula>25</formula>
    </cfRule>
  </conditionalFormatting>
  <conditionalFormatting sqref="H322">
    <cfRule type="cellIs" dxfId="8" priority="10" operator="between">
      <formula>18.5</formula>
      <formula>30</formula>
    </cfRule>
  </conditionalFormatting>
  <conditionalFormatting sqref="H323:H328">
    <cfRule type="cellIs" dxfId="7" priority="7" operator="greaterThanOrEqual">
      <formula>25</formula>
    </cfRule>
  </conditionalFormatting>
  <conditionalFormatting sqref="H323:H328">
    <cfRule type="cellIs" dxfId="6" priority="8" operator="between">
      <formula>18.5</formula>
      <formula>30</formula>
    </cfRule>
  </conditionalFormatting>
  <conditionalFormatting sqref="H329:H332">
    <cfRule type="cellIs" dxfId="5" priority="5" operator="greaterThanOrEqual">
      <formula>25</formula>
    </cfRule>
  </conditionalFormatting>
  <conditionalFormatting sqref="H329:H332">
    <cfRule type="cellIs" dxfId="4" priority="6" operator="between">
      <formula>18.5</formula>
      <formula>30</formula>
    </cfRule>
  </conditionalFormatting>
  <conditionalFormatting sqref="H333">
    <cfRule type="cellIs" dxfId="3" priority="3" operator="greaterThanOrEqual">
      <formula>25</formula>
    </cfRule>
  </conditionalFormatting>
  <conditionalFormatting sqref="H333">
    <cfRule type="cellIs" dxfId="2" priority="4" operator="between">
      <formula>18.5</formula>
      <formula>30</formula>
    </cfRule>
  </conditionalFormatting>
  <conditionalFormatting sqref="H334:H338">
    <cfRule type="cellIs" dxfId="1" priority="1" operator="greaterThanOrEqual">
      <formula>25</formula>
    </cfRule>
  </conditionalFormatting>
  <conditionalFormatting sqref="H334:H338">
    <cfRule type="cellIs" dxfId="0" priority="2" operator="between">
      <formula>18.5</formula>
      <formula>30</formula>
    </cfRule>
  </conditionalFormatting>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1:AG10"/>
  <sheetViews>
    <sheetView topLeftCell="R1" workbookViewId="0">
      <selection activeCell="B5" sqref="B5:AF5"/>
    </sheetView>
  </sheetViews>
  <sheetFormatPr defaultRowHeight="15" x14ac:dyDescent="0.2"/>
  <sheetData>
    <row r="1" spans="2:33" x14ac:dyDescent="0.2">
      <c r="B1">
        <v>1.0077456597039305</v>
      </c>
    </row>
    <row r="3" spans="2:33" x14ac:dyDescent="0.2">
      <c r="B3">
        <v>5915</v>
      </c>
      <c r="C3">
        <v>4288</v>
      </c>
      <c r="D3">
        <v>3848</v>
      </c>
      <c r="E3">
        <v>3471</v>
      </c>
      <c r="F3">
        <v>5298</v>
      </c>
      <c r="G3">
        <v>4315</v>
      </c>
      <c r="H3">
        <v>7342</v>
      </c>
      <c r="I3">
        <v>7401</v>
      </c>
      <c r="J3">
        <v>8667</v>
      </c>
      <c r="K3">
        <v>7370</v>
      </c>
      <c r="L3">
        <v>5148</v>
      </c>
      <c r="M3">
        <v>7966</v>
      </c>
      <c r="N3">
        <v>8106</v>
      </c>
      <c r="O3">
        <v>4860</v>
      </c>
      <c r="P3">
        <v>7767</v>
      </c>
      <c r="Q3">
        <v>5394</v>
      </c>
      <c r="R3">
        <v>1706</v>
      </c>
      <c r="S3">
        <v>9498</v>
      </c>
      <c r="T3">
        <v>5094</v>
      </c>
      <c r="U3">
        <v>6150</v>
      </c>
      <c r="V3">
        <v>6697</v>
      </c>
      <c r="W3">
        <v>5152</v>
      </c>
      <c r="X3">
        <v>6239</v>
      </c>
      <c r="Y3">
        <v>5603</v>
      </c>
      <c r="Z3">
        <v>5019</v>
      </c>
      <c r="AA3">
        <v>5726</v>
      </c>
      <c r="AB3">
        <v>5890</v>
      </c>
      <c r="AC3">
        <v>6444</v>
      </c>
      <c r="AD3">
        <v>6956</v>
      </c>
      <c r="AE3">
        <v>7913</v>
      </c>
      <c r="AF3">
        <v>5281</v>
      </c>
    </row>
    <row r="4" spans="2:33" x14ac:dyDescent="0.2">
      <c r="B4">
        <f>B3/$B$1</f>
        <v>5869.5365671312256</v>
      </c>
      <c r="C4">
        <f t="shared" ref="C4:AF4" si="0">C3/$B$1</f>
        <v>4255.0418934672343</v>
      </c>
      <c r="D4">
        <f t="shared" si="0"/>
        <v>3818.4237887271265</v>
      </c>
      <c r="E4">
        <f t="shared" si="0"/>
        <v>3444.3214580748067</v>
      </c>
      <c r="F4">
        <f t="shared" si="0"/>
        <v>5257.2789066206642</v>
      </c>
      <c r="G4">
        <f t="shared" si="0"/>
        <v>4281.8343680762864</v>
      </c>
      <c r="H4">
        <f t="shared" si="0"/>
        <v>7285.5684659133485</v>
      </c>
      <c r="I4">
        <f t="shared" si="0"/>
        <v>7344.1149845034988</v>
      </c>
      <c r="J4">
        <f t="shared" si="0"/>
        <v>8600.384349505719</v>
      </c>
      <c r="K4">
        <f t="shared" si="0"/>
        <v>7313.3532543968095</v>
      </c>
      <c r="L4">
        <f t="shared" si="0"/>
        <v>5108.4318254592645</v>
      </c>
      <c r="M4">
        <f t="shared" si="0"/>
        <v>7904.7723235447747</v>
      </c>
      <c r="N4">
        <f t="shared" si="0"/>
        <v>8043.6962659620813</v>
      </c>
      <c r="O4">
        <f t="shared" si="0"/>
        <v>4822.645429629375</v>
      </c>
      <c r="P4">
        <f t="shared" si="0"/>
        <v>7707.3018625373161</v>
      </c>
      <c r="Q4">
        <f t="shared" si="0"/>
        <v>5352.5410385639607</v>
      </c>
      <c r="R4">
        <f t="shared" si="0"/>
        <v>1692.887469742328</v>
      </c>
      <c r="S4">
        <f t="shared" si="0"/>
        <v>9424.9971791398784</v>
      </c>
      <c r="T4">
        <f t="shared" si="0"/>
        <v>5054.8468762411603</v>
      </c>
      <c r="U4">
        <f t="shared" si="0"/>
        <v>6102.7303276174189</v>
      </c>
      <c r="V4">
        <f t="shared" si="0"/>
        <v>6645.5260169193261</v>
      </c>
      <c r="W4">
        <f t="shared" si="0"/>
        <v>5112.4010809569018</v>
      </c>
      <c r="X4">
        <f t="shared" si="0"/>
        <v>6191.0462624398506</v>
      </c>
      <c r="Y4">
        <f t="shared" si="0"/>
        <v>5559.9346383155125</v>
      </c>
      <c r="Z4">
        <f t="shared" si="0"/>
        <v>4980.42333566046</v>
      </c>
      <c r="AA4">
        <f t="shared" si="0"/>
        <v>5681.9892448678602</v>
      </c>
      <c r="AB4">
        <f t="shared" si="0"/>
        <v>5844.7287202709922</v>
      </c>
      <c r="AC4">
        <f t="shared" si="0"/>
        <v>6394.4706066937642</v>
      </c>
      <c r="AD4">
        <f t="shared" si="0"/>
        <v>6902.5353103913449</v>
      </c>
      <c r="AE4">
        <f t="shared" si="0"/>
        <v>7852.1796882010794</v>
      </c>
      <c r="AF4">
        <f t="shared" si="0"/>
        <v>5240.4095707557062</v>
      </c>
    </row>
    <row r="5" spans="2:33" x14ac:dyDescent="0.2">
      <c r="B5">
        <f>B3-B4</f>
        <v>45.463432868774362</v>
      </c>
      <c r="C5">
        <f t="shared" ref="C5:AF5" si="1">C3-C4</f>
        <v>32.958106532765669</v>
      </c>
      <c r="D5">
        <f t="shared" si="1"/>
        <v>29.576211272873479</v>
      </c>
      <c r="E5">
        <f t="shared" si="1"/>
        <v>26.678541925193258</v>
      </c>
      <c r="F5">
        <f t="shared" si="1"/>
        <v>40.721093379335798</v>
      </c>
      <c r="G5">
        <f t="shared" si="1"/>
        <v>33.16563192371359</v>
      </c>
      <c r="H5">
        <f t="shared" si="1"/>
        <v>56.431534086651482</v>
      </c>
      <c r="I5">
        <f t="shared" si="1"/>
        <v>56.885015496501182</v>
      </c>
      <c r="J5">
        <f t="shared" si="1"/>
        <v>66.615650494280999</v>
      </c>
      <c r="K5">
        <f t="shared" si="1"/>
        <v>56.646745603190539</v>
      </c>
      <c r="L5">
        <f t="shared" si="1"/>
        <v>39.568174540735527</v>
      </c>
      <c r="M5">
        <f t="shared" si="1"/>
        <v>61.227676455225264</v>
      </c>
      <c r="N5">
        <f t="shared" si="1"/>
        <v>62.30373403791873</v>
      </c>
      <c r="O5">
        <f t="shared" si="1"/>
        <v>37.35457037062497</v>
      </c>
      <c r="P5">
        <f t="shared" si="1"/>
        <v>59.698137462683917</v>
      </c>
      <c r="Q5">
        <f t="shared" si="1"/>
        <v>41.458961436039317</v>
      </c>
      <c r="R5">
        <f t="shared" si="1"/>
        <v>13.112530257672006</v>
      </c>
      <c r="S5">
        <f t="shared" si="1"/>
        <v>73.002820860121574</v>
      </c>
      <c r="T5">
        <f t="shared" si="1"/>
        <v>39.153123758839683</v>
      </c>
      <c r="U5">
        <f t="shared" si="1"/>
        <v>47.26967238258112</v>
      </c>
      <c r="V5">
        <f t="shared" si="1"/>
        <v>51.473983080673861</v>
      </c>
      <c r="W5">
        <f t="shared" si="1"/>
        <v>39.598919043098249</v>
      </c>
      <c r="X5">
        <f t="shared" si="1"/>
        <v>47.95373756014942</v>
      </c>
      <c r="Y5">
        <f t="shared" si="1"/>
        <v>43.06536168448747</v>
      </c>
      <c r="Z5">
        <f t="shared" si="1"/>
        <v>38.576664339540002</v>
      </c>
      <c r="AA5">
        <f t="shared" si="1"/>
        <v>44.01075513213982</v>
      </c>
      <c r="AB5">
        <f t="shared" si="1"/>
        <v>45.271279729007802</v>
      </c>
      <c r="AC5">
        <f t="shared" si="1"/>
        <v>49.529393306235761</v>
      </c>
      <c r="AD5">
        <f t="shared" si="1"/>
        <v>53.464689608655135</v>
      </c>
      <c r="AE5">
        <f t="shared" si="1"/>
        <v>60.820311798920557</v>
      </c>
      <c r="AF5">
        <f t="shared" si="1"/>
        <v>40.590429244293773</v>
      </c>
      <c r="AG5">
        <f>AVERAGE(B5:AF5)</f>
        <v>46.246673860416912</v>
      </c>
    </row>
    <row r="10" spans="2:33" x14ac:dyDescent="0.2">
      <c r="AG10">
        <v>48.291431207069074</v>
      </c>
    </row>
  </sheetData>
  <phoneticPr fontId="12"/>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G4:L34"/>
  <sheetViews>
    <sheetView workbookViewId="0">
      <selection activeCell="L4" sqref="L4:L34"/>
    </sheetView>
  </sheetViews>
  <sheetFormatPr defaultRowHeight="15" x14ac:dyDescent="0.2"/>
  <sheetData>
    <row r="4" spans="7:12" ht="18.75" x14ac:dyDescent="0.2">
      <c r="G4" s="128">
        <v>2E-3</v>
      </c>
      <c r="I4" s="128">
        <v>0.2</v>
      </c>
      <c r="L4" s="150">
        <v>6006</v>
      </c>
    </row>
    <row r="5" spans="7:12" ht="18.75" x14ac:dyDescent="0.2">
      <c r="L5" s="150">
        <v>4124</v>
      </c>
    </row>
    <row r="6" spans="7:12" ht="18.75" x14ac:dyDescent="0.2">
      <c r="L6" s="150">
        <v>6652</v>
      </c>
    </row>
    <row r="7" spans="7:12" ht="18.75" x14ac:dyDescent="0.2">
      <c r="I7">
        <f>100*I4/100</f>
        <v>0.2</v>
      </c>
      <c r="L7" s="150">
        <v>5421</v>
      </c>
    </row>
    <row r="8" spans="7:12" ht="18.75" x14ac:dyDescent="0.2">
      <c r="L8" s="150">
        <v>7033</v>
      </c>
    </row>
    <row r="9" spans="7:12" ht="18.75" x14ac:dyDescent="0.2">
      <c r="L9" s="150">
        <v>5239</v>
      </c>
    </row>
    <row r="10" spans="7:12" ht="18.75" x14ac:dyDescent="0.2">
      <c r="L10" s="150">
        <v>5554</v>
      </c>
    </row>
    <row r="11" spans="7:12" ht="18.75" x14ac:dyDescent="0.2">
      <c r="L11" s="150">
        <v>6823</v>
      </c>
    </row>
    <row r="12" spans="7:12" ht="18.75" x14ac:dyDescent="0.2">
      <c r="L12" s="150">
        <v>6017</v>
      </c>
    </row>
    <row r="13" spans="7:12" ht="18.75" x14ac:dyDescent="0.2">
      <c r="L13" s="150">
        <v>6713</v>
      </c>
    </row>
    <row r="14" spans="7:12" ht="18.75" x14ac:dyDescent="0.2">
      <c r="L14" s="150">
        <v>5774</v>
      </c>
    </row>
    <row r="15" spans="7:12" ht="18.75" x14ac:dyDescent="0.2">
      <c r="L15" s="150">
        <v>7243</v>
      </c>
    </row>
    <row r="16" spans="7:12" ht="18.75" x14ac:dyDescent="0.2">
      <c r="L16" s="142">
        <v>5758</v>
      </c>
    </row>
    <row r="17" spans="12:12" ht="18.75" x14ac:dyDescent="0.2">
      <c r="L17" s="142">
        <v>7381</v>
      </c>
    </row>
    <row r="18" spans="12:12" ht="18.75" x14ac:dyDescent="0.2">
      <c r="L18" s="142">
        <v>5896</v>
      </c>
    </row>
    <row r="19" spans="12:12" ht="18.75" x14ac:dyDescent="0.2">
      <c r="L19" s="142">
        <v>7623</v>
      </c>
    </row>
    <row r="20" spans="12:12" ht="18.75" x14ac:dyDescent="0.2">
      <c r="L20" s="142">
        <v>5940</v>
      </c>
    </row>
    <row r="21" spans="12:12" ht="18.75" x14ac:dyDescent="0.2">
      <c r="L21" s="142">
        <v>7386</v>
      </c>
    </row>
    <row r="22" spans="12:12" ht="18.75" x14ac:dyDescent="0.2">
      <c r="L22" s="180">
        <v>6216</v>
      </c>
    </row>
    <row r="23" spans="12:12" ht="18.75" x14ac:dyDescent="0.2">
      <c r="L23" s="180">
        <v>7386</v>
      </c>
    </row>
    <row r="24" spans="12:12" ht="18.75" x14ac:dyDescent="0.2">
      <c r="L24" s="180">
        <v>6050</v>
      </c>
    </row>
    <row r="25" spans="12:12" ht="18.75" x14ac:dyDescent="0.2">
      <c r="L25" s="180">
        <v>7325</v>
      </c>
    </row>
    <row r="26" spans="12:12" ht="18.75" x14ac:dyDescent="0.2">
      <c r="L26" s="180">
        <v>5548</v>
      </c>
    </row>
    <row r="27" spans="12:12" ht="18.75" x14ac:dyDescent="0.2">
      <c r="L27" s="180">
        <v>7204</v>
      </c>
    </row>
    <row r="28" spans="12:12" ht="18.75" x14ac:dyDescent="0.2">
      <c r="L28" s="180">
        <v>5680</v>
      </c>
    </row>
    <row r="29" spans="12:12" ht="18.75" x14ac:dyDescent="0.2">
      <c r="L29" s="180">
        <v>5934</v>
      </c>
    </row>
    <row r="30" spans="12:12" ht="18.75" x14ac:dyDescent="0.2">
      <c r="L30" s="180">
        <v>7132</v>
      </c>
    </row>
    <row r="31" spans="12:12" ht="18.75" x14ac:dyDescent="0.2">
      <c r="L31" s="180">
        <v>7331</v>
      </c>
    </row>
    <row r="32" spans="12:12" ht="18.75" x14ac:dyDescent="0.2">
      <c r="L32" s="180">
        <v>5631</v>
      </c>
    </row>
    <row r="33" spans="12:12" ht="18.75" x14ac:dyDescent="0.2">
      <c r="L33" s="180">
        <v>7121</v>
      </c>
    </row>
    <row r="34" spans="12:12" ht="18.75" x14ac:dyDescent="0.2">
      <c r="L34" s="180">
        <v>5829</v>
      </c>
    </row>
  </sheetData>
  <phoneticPr fontId="12"/>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2:AF11"/>
  <sheetViews>
    <sheetView zoomScale="90" zoomScaleNormal="90" workbookViewId="0">
      <selection activeCell="B3" sqref="B3:AF10"/>
    </sheetView>
  </sheetViews>
  <sheetFormatPr defaultRowHeight="15" x14ac:dyDescent="0.2"/>
  <cols>
    <col min="2" max="2" width="45.0625" customWidth="1"/>
    <col min="22" max="22" width="9.953125" bestFit="1" customWidth="1"/>
  </cols>
  <sheetData>
    <row r="2" spans="2:32" ht="1.5" customHeight="1" thickBot="1" x14ac:dyDescent="0.25"/>
    <row r="3" spans="2:32" ht="21.75" customHeight="1" thickTop="1" x14ac:dyDescent="0.2">
      <c r="B3" s="1314" t="s">
        <v>109</v>
      </c>
      <c r="C3" s="1315"/>
      <c r="D3" s="1315"/>
      <c r="E3" s="1315"/>
      <c r="F3" s="1315"/>
      <c r="G3" s="1315"/>
      <c r="H3" s="1315"/>
      <c r="I3" s="1315"/>
      <c r="J3" s="1315"/>
      <c r="K3" s="1315"/>
      <c r="L3" s="1315"/>
      <c r="M3" s="1315"/>
      <c r="N3" s="1315"/>
      <c r="O3" s="1315"/>
      <c r="P3" s="1315"/>
      <c r="Q3" s="1315"/>
      <c r="R3" s="1315"/>
      <c r="S3" s="1315"/>
      <c r="T3" s="1315"/>
      <c r="U3" s="1315"/>
      <c r="V3" s="1315"/>
      <c r="W3" s="1315"/>
      <c r="X3" s="1315"/>
      <c r="Y3" s="1315"/>
      <c r="Z3" s="1315"/>
      <c r="AA3" s="1315"/>
      <c r="AB3" s="1315"/>
      <c r="AC3" s="1315"/>
      <c r="AD3" s="1315"/>
      <c r="AE3" s="1315"/>
      <c r="AF3" s="1316"/>
    </row>
    <row r="4" spans="2:32" ht="20.25" customHeight="1" x14ac:dyDescent="0.2">
      <c r="B4" s="270" t="s">
        <v>12</v>
      </c>
      <c r="C4" s="1255" t="s">
        <v>113</v>
      </c>
      <c r="D4" s="1255"/>
      <c r="E4" s="1255"/>
      <c r="F4" s="1255"/>
      <c r="G4" s="1255"/>
      <c r="H4" s="1255"/>
      <c r="I4" s="1255"/>
      <c r="J4" s="1255"/>
      <c r="K4" s="1255"/>
      <c r="L4" s="1255"/>
      <c r="M4" s="1255"/>
      <c r="N4" s="1255"/>
      <c r="O4" s="1255"/>
      <c r="P4" s="1255"/>
      <c r="Q4" s="1255"/>
      <c r="R4" s="1255"/>
      <c r="S4" s="1255"/>
      <c r="T4" s="1255"/>
      <c r="U4" s="1255"/>
      <c r="V4" s="1255"/>
      <c r="W4" s="1255"/>
      <c r="X4" s="1255"/>
      <c r="Y4" s="1255"/>
      <c r="Z4" s="1255"/>
      <c r="AA4" s="1255"/>
      <c r="AB4" s="1255"/>
      <c r="AC4" s="1255"/>
      <c r="AD4" s="1255"/>
      <c r="AE4" s="1255"/>
      <c r="AF4" s="1313"/>
    </row>
    <row r="5" spans="2:32" ht="23.25" customHeight="1" x14ac:dyDescent="0.2">
      <c r="B5" s="271" t="s">
        <v>110</v>
      </c>
      <c r="C5" s="34">
        <v>0.19400000000000001</v>
      </c>
      <c r="D5" s="34">
        <v>0.20760000000000001</v>
      </c>
      <c r="E5" s="34">
        <v>0.187</v>
      </c>
      <c r="F5" s="34">
        <v>0.17899999999999999</v>
      </c>
      <c r="G5" s="34">
        <v>0.16400000000000001</v>
      </c>
      <c r="H5" s="34">
        <v>0.19400000000000001</v>
      </c>
      <c r="I5" s="34">
        <v>0.189</v>
      </c>
      <c r="J5" s="34">
        <v>0.20300000000000001</v>
      </c>
      <c r="K5" s="34">
        <v>0.19</v>
      </c>
      <c r="L5" s="34">
        <v>0.184</v>
      </c>
      <c r="M5" s="34">
        <v>0.20380000000000001</v>
      </c>
      <c r="N5" s="34">
        <v>0.20619999999999999</v>
      </c>
      <c r="O5" s="34">
        <v>0.192</v>
      </c>
      <c r="P5" s="34">
        <v>0.16900000000000001</v>
      </c>
      <c r="Q5" s="34">
        <v>0.16880000000000001</v>
      </c>
      <c r="R5" s="34">
        <v>0.14399999999999999</v>
      </c>
      <c r="S5" s="34">
        <v>0.16</v>
      </c>
      <c r="T5" s="34">
        <v>0.157</v>
      </c>
      <c r="U5" s="34">
        <v>0.15870000000000001</v>
      </c>
      <c r="V5" s="34">
        <v>0.1636</v>
      </c>
      <c r="W5" s="34">
        <v>0.19719999999999999</v>
      </c>
      <c r="X5" s="34">
        <v>0.17100000000000001</v>
      </c>
      <c r="Y5" s="34">
        <v>0.17699999999999999</v>
      </c>
      <c r="Z5" s="34">
        <v>0.188</v>
      </c>
      <c r="AA5" s="34">
        <v>0.19839999999999999</v>
      </c>
      <c r="AB5" s="34">
        <v>0.19470000000000001</v>
      </c>
      <c r="AC5" s="34">
        <v>0.192</v>
      </c>
      <c r="AD5" s="34">
        <v>0.2</v>
      </c>
      <c r="AE5" s="34">
        <v>0.17499999999999999</v>
      </c>
      <c r="AF5" s="272">
        <v>0.19400000000000001</v>
      </c>
    </row>
    <row r="6" spans="2:32" ht="21.75" customHeight="1" x14ac:dyDescent="0.2">
      <c r="B6" s="273" t="s">
        <v>114</v>
      </c>
      <c r="C6" s="165">
        <v>42522</v>
      </c>
      <c r="D6" s="165">
        <v>42523</v>
      </c>
      <c r="E6" s="165">
        <v>42524</v>
      </c>
      <c r="F6" s="165">
        <v>42525</v>
      </c>
      <c r="G6" s="165">
        <v>42526</v>
      </c>
      <c r="H6" s="165">
        <v>42527</v>
      </c>
      <c r="I6" s="165">
        <v>42528</v>
      </c>
      <c r="J6" s="165">
        <v>42529</v>
      </c>
      <c r="K6" s="165">
        <v>42530</v>
      </c>
      <c r="L6" s="165">
        <v>42531</v>
      </c>
      <c r="M6" s="165">
        <v>42532</v>
      </c>
      <c r="N6" s="165">
        <v>42533</v>
      </c>
      <c r="O6" s="165">
        <v>42534</v>
      </c>
      <c r="P6" s="165">
        <v>42535</v>
      </c>
      <c r="Q6" s="165">
        <v>42536</v>
      </c>
      <c r="R6" s="165">
        <v>42537</v>
      </c>
      <c r="S6" s="165">
        <v>42538</v>
      </c>
      <c r="T6" s="165">
        <v>42539</v>
      </c>
      <c r="U6" s="165">
        <v>42540</v>
      </c>
      <c r="V6" s="165">
        <v>42541</v>
      </c>
      <c r="W6" s="165">
        <v>42542</v>
      </c>
      <c r="X6" s="165">
        <v>42543</v>
      </c>
      <c r="Y6" s="165">
        <v>42544</v>
      </c>
      <c r="Z6" s="165">
        <v>42545</v>
      </c>
      <c r="AA6" s="165">
        <v>42546</v>
      </c>
      <c r="AB6" s="165">
        <v>42547</v>
      </c>
      <c r="AC6" s="165">
        <v>42548</v>
      </c>
      <c r="AD6" s="165">
        <v>42549</v>
      </c>
      <c r="AE6" s="165">
        <v>42550</v>
      </c>
      <c r="AF6" s="274">
        <v>42551</v>
      </c>
    </row>
    <row r="7" spans="2:32" ht="20.25" x14ac:dyDescent="0.2">
      <c r="B7" s="279" t="s">
        <v>115</v>
      </c>
      <c r="C7" s="286">
        <f t="shared" ref="C7:T7" si="0">C8*(C5+0.96)</f>
        <v>6536.2559999999994</v>
      </c>
      <c r="D7" s="286">
        <f t="shared" si="0"/>
        <v>8636.7371999999996</v>
      </c>
      <c r="E7" s="286">
        <f t="shared" si="0"/>
        <v>6559.6930000000002</v>
      </c>
      <c r="F7" s="286">
        <f t="shared" si="0"/>
        <v>8217.8850000000002</v>
      </c>
      <c r="G7" s="286">
        <f t="shared" si="0"/>
        <v>6509.0839999999989</v>
      </c>
      <c r="H7" s="286">
        <f t="shared" si="0"/>
        <v>8262.64</v>
      </c>
      <c r="I7" s="286">
        <f t="shared" si="0"/>
        <v>7992.4440000000004</v>
      </c>
      <c r="J7" s="286">
        <f t="shared" si="0"/>
        <v>6574.4390000000003</v>
      </c>
      <c r="K7" s="286">
        <f t="shared" si="0"/>
        <v>8728.5</v>
      </c>
      <c r="L7" s="286">
        <f t="shared" si="0"/>
        <v>6725.5759999999991</v>
      </c>
      <c r="M7" s="286">
        <f t="shared" si="0"/>
        <v>6944.3945999999996</v>
      </c>
      <c r="N7" s="286">
        <f t="shared" si="0"/>
        <v>8729.0069999999996</v>
      </c>
      <c r="O7" s="286">
        <f t="shared" si="0"/>
        <v>8490.24</v>
      </c>
      <c r="P7" s="286">
        <f t="shared" si="0"/>
        <v>6736.7430000000004</v>
      </c>
      <c r="Q7" s="286">
        <f t="shared" si="0"/>
        <v>8362.1504000000004</v>
      </c>
      <c r="R7" s="286">
        <f t="shared" si="0"/>
        <v>6423.0719999999992</v>
      </c>
      <c r="S7" s="286">
        <f t="shared" si="0"/>
        <v>8210.7199999999993</v>
      </c>
      <c r="T7" s="286">
        <f t="shared" si="0"/>
        <v>6510.9930000000004</v>
      </c>
      <c r="U7" s="286">
        <f t="shared" ref="U7:AF7" si="1">U8*(U5+0.97)</f>
        <v>8224.8369000000002</v>
      </c>
      <c r="V7" s="286">
        <f t="shared" si="1"/>
        <v>6514.7991999999995</v>
      </c>
      <c r="W7" s="286">
        <f t="shared" si="1"/>
        <v>8536.9007999999994</v>
      </c>
      <c r="X7" s="286">
        <f t="shared" si="1"/>
        <v>6733.0410000000002</v>
      </c>
      <c r="Y7" s="286">
        <f t="shared" si="1"/>
        <v>8478.6239999999998</v>
      </c>
      <c r="Z7" s="286">
        <f t="shared" si="1"/>
        <v>6667.7639999999992</v>
      </c>
      <c r="AA7" s="286">
        <f t="shared" si="1"/>
        <v>8868.155999999999</v>
      </c>
      <c r="AB7" s="286">
        <f t="shared" si="1"/>
        <v>6949.7649000000001</v>
      </c>
      <c r="AC7" s="286">
        <f t="shared" si="1"/>
        <v>8890.4619999999995</v>
      </c>
      <c r="AD7" s="286">
        <f t="shared" si="1"/>
        <v>6723.99</v>
      </c>
      <c r="AE7" s="286">
        <f t="shared" si="1"/>
        <v>8564.6</v>
      </c>
      <c r="AF7" s="287">
        <f t="shared" si="1"/>
        <v>6888.5519999999997</v>
      </c>
    </row>
    <row r="8" spans="2:32" ht="21" x14ac:dyDescent="0.2">
      <c r="B8" s="275" t="s">
        <v>111</v>
      </c>
      <c r="C8" s="288">
        <v>5664</v>
      </c>
      <c r="D8" s="288">
        <v>7397</v>
      </c>
      <c r="E8" s="288">
        <v>5719</v>
      </c>
      <c r="F8" s="288">
        <v>7215</v>
      </c>
      <c r="G8" s="288">
        <v>5791</v>
      </c>
      <c r="H8" s="288">
        <v>7160</v>
      </c>
      <c r="I8" s="288">
        <v>6956</v>
      </c>
      <c r="J8" s="288">
        <v>5653</v>
      </c>
      <c r="K8" s="288">
        <v>7590</v>
      </c>
      <c r="L8" s="288">
        <v>5879</v>
      </c>
      <c r="M8" s="288">
        <v>5967</v>
      </c>
      <c r="N8" s="288">
        <v>7485</v>
      </c>
      <c r="O8" s="288">
        <v>7370</v>
      </c>
      <c r="P8" s="288">
        <v>5967</v>
      </c>
      <c r="Q8" s="288">
        <v>7408</v>
      </c>
      <c r="R8" s="288">
        <v>5818</v>
      </c>
      <c r="S8" s="288">
        <v>7331</v>
      </c>
      <c r="T8" s="288">
        <v>5829</v>
      </c>
      <c r="U8" s="288">
        <v>7287</v>
      </c>
      <c r="V8" s="288">
        <v>5747</v>
      </c>
      <c r="W8" s="288">
        <v>7314</v>
      </c>
      <c r="X8" s="288">
        <v>5901</v>
      </c>
      <c r="Y8" s="288">
        <v>7392</v>
      </c>
      <c r="Z8" s="288">
        <v>5758</v>
      </c>
      <c r="AA8" s="288">
        <v>7590</v>
      </c>
      <c r="AB8" s="288">
        <v>5967</v>
      </c>
      <c r="AC8" s="288">
        <v>7651</v>
      </c>
      <c r="AD8" s="288">
        <v>5747</v>
      </c>
      <c r="AE8" s="288">
        <v>7480</v>
      </c>
      <c r="AF8" s="289">
        <v>5918</v>
      </c>
    </row>
    <row r="9" spans="2:32" ht="21" x14ac:dyDescent="0.2">
      <c r="B9" s="280" t="s">
        <v>112</v>
      </c>
      <c r="C9" s="281">
        <v>7785</v>
      </c>
      <c r="D9" s="281">
        <v>6796</v>
      </c>
      <c r="E9" s="282">
        <v>6298</v>
      </c>
      <c r="F9" s="282">
        <v>7227</v>
      </c>
      <c r="G9" s="282">
        <v>7017</v>
      </c>
      <c r="H9" s="282">
        <v>7329</v>
      </c>
      <c r="I9" s="282">
        <v>6728</v>
      </c>
      <c r="J9" s="282">
        <v>7697</v>
      </c>
      <c r="K9" s="283">
        <v>8493</v>
      </c>
      <c r="L9" s="284">
        <v>5732</v>
      </c>
      <c r="M9" s="283">
        <v>8167</v>
      </c>
      <c r="N9" s="282">
        <v>6662</v>
      </c>
      <c r="O9" s="282">
        <v>7306</v>
      </c>
      <c r="P9" s="282">
        <v>7640</v>
      </c>
      <c r="Q9" s="282">
        <v>7543</v>
      </c>
      <c r="R9" s="282">
        <v>6784</v>
      </c>
      <c r="S9" s="282">
        <v>7023</v>
      </c>
      <c r="T9" s="282">
        <v>7531</v>
      </c>
      <c r="U9" s="282">
        <v>6787</v>
      </c>
      <c r="V9" s="282">
        <v>6034</v>
      </c>
      <c r="W9" s="282">
        <v>6241</v>
      </c>
      <c r="X9" s="282">
        <v>5753</v>
      </c>
      <c r="Y9" s="282">
        <v>5304</v>
      </c>
      <c r="Z9" s="282">
        <v>6743</v>
      </c>
      <c r="AA9" s="282">
        <v>7500</v>
      </c>
      <c r="AB9" s="282">
        <v>7419</v>
      </c>
      <c r="AC9" s="283">
        <v>8069</v>
      </c>
      <c r="AD9" s="282">
        <v>7091</v>
      </c>
      <c r="AE9" s="282">
        <v>7515</v>
      </c>
      <c r="AF9" s="285">
        <v>8700</v>
      </c>
    </row>
    <row r="10" spans="2:32" ht="15.75" thickBot="1" x14ac:dyDescent="0.25">
      <c r="B10" s="276" t="s">
        <v>82</v>
      </c>
      <c r="C10" s="277">
        <v>14736.504299999668</v>
      </c>
      <c r="D10" s="277">
        <v>16579.959899999667</v>
      </c>
      <c r="E10" s="277">
        <v>16841.652899999666</v>
      </c>
      <c r="F10" s="277">
        <v>17832.537899999668</v>
      </c>
      <c r="G10" s="277">
        <v>17324.621899999667</v>
      </c>
      <c r="H10" s="277">
        <v>17935.785899999668</v>
      </c>
      <c r="I10" s="277">
        <v>18668.717899999669</v>
      </c>
      <c r="J10" s="277">
        <v>17546.156899999667</v>
      </c>
      <c r="K10" s="277">
        <v>17781.656899999667</v>
      </c>
      <c r="L10" s="277">
        <v>18775.232899999668</v>
      </c>
      <c r="M10" s="277">
        <v>17554.260899999666</v>
      </c>
      <c r="N10" s="277">
        <v>19619.935499999665</v>
      </c>
      <c r="O10" s="277">
        <v>20804.175499999663</v>
      </c>
      <c r="P10" s="277">
        <v>18838.958499999666</v>
      </c>
      <c r="Q10" s="277">
        <v>18611.140499999667</v>
      </c>
      <c r="R10" s="277">
        <v>18087.396499999668</v>
      </c>
      <c r="S10" s="277">
        <v>19162.748499999667</v>
      </c>
      <c r="T10" s="277">
        <v>17186.304499999671</v>
      </c>
      <c r="U10" s="277">
        <v>17750.654499999673</v>
      </c>
      <c r="V10" s="277">
        <v>18233.867299999671</v>
      </c>
      <c r="W10" s="277">
        <v>20528.519899999672</v>
      </c>
      <c r="X10" s="277">
        <v>21508.560899999673</v>
      </c>
      <c r="Y10" s="277">
        <v>24683.184899999673</v>
      </c>
      <c r="Z10" s="277">
        <v>24351.714899999672</v>
      </c>
      <c r="AA10" s="277">
        <v>25131.870899999674</v>
      </c>
      <c r="AB10" s="277">
        <v>24108.436499999676</v>
      </c>
      <c r="AC10" s="277">
        <v>23622.720499999676</v>
      </c>
      <c r="AD10" s="277">
        <v>23113.890499999674</v>
      </c>
      <c r="AE10" s="277">
        <v>23599.865499999672</v>
      </c>
      <c r="AF10" s="278">
        <v>20970.617499999673</v>
      </c>
    </row>
    <row r="11" spans="2:32" ht="15.75" thickTop="1" x14ac:dyDescent="0.2"/>
  </sheetData>
  <mergeCells count="2">
    <mergeCell ref="C4:AF4"/>
    <mergeCell ref="B3:AF3"/>
  </mergeCells>
  <phoneticPr fontId="12"/>
  <pageMargins left="0.7" right="0.7" top="0.75" bottom="0.75" header="0.3" footer="0.3"/>
  <pageSetup orientation="portrait" r:id="rId1"/>
  <drawing r:id="rId2"/>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3:AG9"/>
  <sheetViews>
    <sheetView topLeftCell="R1" workbookViewId="0">
      <selection activeCell="AG4" sqref="AG4"/>
    </sheetView>
  </sheetViews>
  <sheetFormatPr defaultRowHeight="15" x14ac:dyDescent="0.2"/>
  <sheetData>
    <row r="3" spans="2:33" x14ac:dyDescent="0.2">
      <c r="B3" s="377">
        <f>'PIT PAD Report -Density 0.8395 '!UG6</f>
        <v>0.17799999999999999</v>
      </c>
      <c r="C3" s="377">
        <f>'PIT PAD Report -Density 0.8395 '!UH6</f>
        <v>0.189</v>
      </c>
      <c r="D3" s="377">
        <f>'PIT PAD Report -Density 0.8395 '!UI6</f>
        <v>0.20899999999999999</v>
      </c>
      <c r="E3" s="377">
        <f>'PIT PAD Report -Density 0.8395 '!UJ6</f>
        <v>0.2114</v>
      </c>
      <c r="F3" s="377">
        <f>'PIT PAD Report -Density 0.8395 '!UK6</f>
        <v>0.15759999999999999</v>
      </c>
      <c r="G3" s="377">
        <f>'PIT PAD Report -Density 0.8395 '!UL6</f>
        <v>0.17</v>
      </c>
      <c r="H3" s="377">
        <f>'PIT PAD Report -Density 0.8395 '!UM6</f>
        <v>0.16800000000000001</v>
      </c>
      <c r="I3" s="377">
        <f>'PIT PAD Report -Density 0.8395 '!UN6</f>
        <v>0.191</v>
      </c>
      <c r="J3" s="377">
        <f>'PIT PAD Report -Density 0.8395 '!UO6</f>
        <v>0.187</v>
      </c>
      <c r="K3" s="377">
        <f>'PIT PAD Report -Density 0.8395 '!UP6</f>
        <v>0.17799999999999999</v>
      </c>
      <c r="L3" s="377">
        <f>'PIT PAD Report -Density 0.8395 '!UQ6</f>
        <v>0.15659999999999999</v>
      </c>
      <c r="M3" s="377">
        <f>'PIT PAD Report -Density 0.8395 '!UR6</f>
        <v>0.1734</v>
      </c>
      <c r="N3" s="377">
        <f>'PIT PAD Report -Density 0.8395 '!US6</f>
        <v>0.18099999999999999</v>
      </c>
      <c r="O3" s="377">
        <f>'PIT PAD Report -Density 0.8395 '!UT6</f>
        <v>0.189</v>
      </c>
      <c r="P3" s="377">
        <f>'PIT PAD Report -Density 0.8395 '!UU6</f>
        <v>0.111</v>
      </c>
      <c r="Q3" s="377">
        <f>'PIT PAD Report -Density 0.8395 '!UV6</f>
        <v>0.111</v>
      </c>
      <c r="R3" s="377">
        <f>'PIT PAD Report -Density 0.8395 '!UW6</f>
        <v>0.111</v>
      </c>
      <c r="S3" s="377">
        <f>'PIT PAD Report -Density 0.8395 '!UX6</f>
        <v>0.111</v>
      </c>
      <c r="T3" s="377">
        <f>'PIT PAD Report -Density 0.8395 '!UY6</f>
        <v>0.111</v>
      </c>
      <c r="U3" s="377">
        <f>'PIT PAD Report -Density 0.8395 '!UZ6</f>
        <v>0.19</v>
      </c>
      <c r="V3" s="377">
        <f>'PIT PAD Report -Density 0.8395 '!VA6</f>
        <v>0.17</v>
      </c>
      <c r="W3" s="377">
        <f>'PIT PAD Report -Density 0.8395 '!VB6</f>
        <v>0.191</v>
      </c>
      <c r="X3" s="377">
        <f>'PIT PAD Report -Density 0.8395 '!VC6</f>
        <v>0.2</v>
      </c>
      <c r="Y3" s="377">
        <f>'PIT PAD Report -Density 0.8395 '!VD6</f>
        <v>0.188</v>
      </c>
      <c r="Z3" s="377">
        <f>'PIT PAD Report -Density 0.8395 '!VE6</f>
        <v>0.184</v>
      </c>
      <c r="AA3" s="377">
        <f>'PIT PAD Report -Density 0.8395 '!VF6</f>
        <v>0.189</v>
      </c>
      <c r="AB3" s="377">
        <f>'PIT PAD Report -Density 0.8395 '!VG6</f>
        <v>0.159</v>
      </c>
      <c r="AC3" s="377">
        <f>'PIT PAD Report -Density 0.8395 '!VH6</f>
        <v>0.17199999999999999</v>
      </c>
      <c r="AD3" s="377">
        <f>'PIT PAD Report -Density 0.8395 '!VI6</f>
        <v>0.16839999999999999</v>
      </c>
      <c r="AE3" s="377">
        <f>'PIT PAD Report -Density 0.8395 '!VJ6</f>
        <v>0.1595</v>
      </c>
      <c r="AF3" s="377">
        <f>'PIT PAD Report -Density 0.8395 '!VK6</f>
        <v>0.17199999999999999</v>
      </c>
      <c r="AG3" s="378">
        <f>AVERAGE(B3:AF3)</f>
        <v>0.16893225806451617</v>
      </c>
    </row>
    <row r="4" spans="2:33" x14ac:dyDescent="0.2">
      <c r="B4">
        <f>'PIT PAD Report -Density 0.8395 '!UG7</f>
        <v>42582</v>
      </c>
      <c r="C4">
        <f>'PIT PAD Report -Density 0.8395 '!UH7</f>
        <v>42583</v>
      </c>
      <c r="D4">
        <f>'PIT PAD Report -Density 0.8395 '!UI7</f>
        <v>42584</v>
      </c>
      <c r="E4">
        <f>'PIT PAD Report -Density 0.8395 '!UJ7</f>
        <v>42585</v>
      </c>
      <c r="F4">
        <f>'PIT PAD Report -Density 0.8395 '!UK7</f>
        <v>42586</v>
      </c>
      <c r="G4">
        <f>'PIT PAD Report -Density 0.8395 '!UL7</f>
        <v>42587</v>
      </c>
      <c r="H4">
        <f>'PIT PAD Report -Density 0.8395 '!UM7</f>
        <v>42588</v>
      </c>
      <c r="I4">
        <f>'PIT PAD Report -Density 0.8395 '!UN7</f>
        <v>42589</v>
      </c>
      <c r="J4">
        <f>'PIT PAD Report -Density 0.8395 '!UO7</f>
        <v>42590</v>
      </c>
      <c r="K4">
        <f>'PIT PAD Report -Density 0.8395 '!UP7</f>
        <v>42591</v>
      </c>
      <c r="L4">
        <f>'PIT PAD Report -Density 0.8395 '!UQ7</f>
        <v>42592</v>
      </c>
      <c r="M4">
        <f>'PIT PAD Report -Density 0.8395 '!UR7</f>
        <v>42593</v>
      </c>
      <c r="N4">
        <f>'PIT PAD Report -Density 0.8395 '!US7</f>
        <v>42594</v>
      </c>
      <c r="O4">
        <f>'PIT PAD Report -Density 0.8395 '!UT7</f>
        <v>42595</v>
      </c>
      <c r="P4">
        <f>'PIT PAD Report -Density 0.8395 '!UU7</f>
        <v>42596</v>
      </c>
      <c r="Q4">
        <f>'PIT PAD Report -Density 0.8395 '!UV7</f>
        <v>42597</v>
      </c>
      <c r="R4">
        <f>'PIT PAD Report -Density 0.8395 '!UW7</f>
        <v>42598</v>
      </c>
      <c r="S4">
        <f>'PIT PAD Report -Density 0.8395 '!UX7</f>
        <v>42599</v>
      </c>
      <c r="T4">
        <f>'PIT PAD Report -Density 0.8395 '!UY7</f>
        <v>42600</v>
      </c>
      <c r="U4">
        <f>'PIT PAD Report -Density 0.8395 '!UZ7</f>
        <v>42601</v>
      </c>
      <c r="V4">
        <f>'PIT PAD Report -Density 0.8395 '!VA7</f>
        <v>42602</v>
      </c>
      <c r="W4">
        <f>'PIT PAD Report -Density 0.8395 '!VB7</f>
        <v>42603</v>
      </c>
      <c r="X4">
        <f>'PIT PAD Report -Density 0.8395 '!VC7</f>
        <v>42604</v>
      </c>
      <c r="Y4">
        <f>'PIT PAD Report -Density 0.8395 '!VD7</f>
        <v>42605</v>
      </c>
      <c r="Z4">
        <f>'PIT PAD Report -Density 0.8395 '!VE7</f>
        <v>42606</v>
      </c>
      <c r="AA4">
        <f>'PIT PAD Report -Density 0.8395 '!VF7</f>
        <v>42607</v>
      </c>
      <c r="AB4">
        <f>'PIT PAD Report -Density 0.8395 '!VG7</f>
        <v>42608</v>
      </c>
      <c r="AC4">
        <f>'PIT PAD Report -Density 0.8395 '!VH7</f>
        <v>42609</v>
      </c>
      <c r="AD4">
        <f>'PIT PAD Report -Density 0.8395 '!VI7</f>
        <v>42610</v>
      </c>
      <c r="AE4">
        <f>'PIT PAD Report -Density 0.8395 '!VJ7</f>
        <v>42611</v>
      </c>
      <c r="AF4">
        <f>'PIT PAD Report -Density 0.8395 '!VK7</f>
        <v>42612</v>
      </c>
    </row>
    <row r="5" spans="2:33" x14ac:dyDescent="0.2">
      <c r="B5">
        <f>'PIT PAD Report -Density 0.8395 '!UG8</f>
        <v>4575.5581499999998</v>
      </c>
      <c r="C5">
        <f>'PIT PAD Report -Density 0.8395 '!UH8</f>
        <v>4518.6161499999998</v>
      </c>
      <c r="D5">
        <f>'PIT PAD Report -Density 0.8395 '!UI8</f>
        <v>4907.3310000000001</v>
      </c>
      <c r="E5">
        <f>'PIT PAD Report -Density 0.8395 '!UJ8</f>
        <v>4977.0369000000001</v>
      </c>
      <c r="F5">
        <f>'PIT PAD Report -Density 0.8395 '!UK8</f>
        <v>4698.6984000000002</v>
      </c>
      <c r="G5">
        <f>'PIT PAD Report -Density 0.8395 '!UL8</f>
        <v>6225.3360000000002</v>
      </c>
      <c r="H5">
        <f>'PIT PAD Report -Density 0.8395 '!UM8</f>
        <v>7262.6794799999989</v>
      </c>
      <c r="I5">
        <f>'PIT PAD Report -Density 0.8395 '!UN8</f>
        <v>8201.1069000000007</v>
      </c>
      <c r="J5">
        <f>'PIT PAD Report -Density 0.8395 '!UO8</f>
        <v>6203.6181000000006</v>
      </c>
      <c r="K5">
        <f>'PIT PAD Report -Density 0.8395 '!UP8</f>
        <v>6004.9728000000005</v>
      </c>
      <c r="L5">
        <f>'PIT PAD Report -Density 0.8395 '!UQ8</f>
        <v>7498.9317599999995</v>
      </c>
      <c r="M5">
        <f>'PIT PAD Report -Density 0.8395 '!UR8</f>
        <v>8045.0650800000003</v>
      </c>
      <c r="N5">
        <f>'PIT PAD Report -Density 0.8395 '!US8</f>
        <v>6553.8414000000002</v>
      </c>
      <c r="O5">
        <f>'PIT PAD Report -Density 0.8395 '!UT8</f>
        <v>7709.0004000000008</v>
      </c>
      <c r="P5">
        <f>'PIT PAD Report -Density 0.8395 '!UU8</f>
        <v>2831.7168000000001</v>
      </c>
      <c r="Q5">
        <f>'PIT PAD Report -Density 0.8395 '!UV8</f>
        <v>4012.5987000000005</v>
      </c>
      <c r="R5">
        <f>'PIT PAD Report -Density 0.8395 '!UW8</f>
        <v>2417.7582000000002</v>
      </c>
      <c r="S5">
        <f>'PIT PAD Report -Density 0.8395 '!UX8</f>
        <v>2472.7527</v>
      </c>
      <c r="T5">
        <f>'PIT PAD Report -Density 0.8395 '!UY8</f>
        <v>2307.7692000000002</v>
      </c>
      <c r="U5">
        <f>'PIT PAD Report -Density 0.8395 '!UZ8</f>
        <v>7272.0899999999992</v>
      </c>
      <c r="V5">
        <f>'PIT PAD Report -Density 0.8395 '!VA8</f>
        <v>6254.82</v>
      </c>
      <c r="W5">
        <f>'PIT PAD Report -Density 0.8395 '!VB8</f>
        <v>6278.1183000000001</v>
      </c>
      <c r="X5">
        <f>'PIT PAD Report -Density 0.8395 '!VC8</f>
        <v>7810.5599999999995</v>
      </c>
      <c r="Y5">
        <f>'PIT PAD Report -Density 0.8395 '!VD8</f>
        <v>8121.6431999999995</v>
      </c>
      <c r="Z5">
        <f>'PIT PAD Report -Density 0.8395 '!VE8</f>
        <v>6358.4351999999999</v>
      </c>
      <c r="AA5">
        <f>'PIT PAD Report -Density 0.8395 '!VF8</f>
        <v>7715.4210000000003</v>
      </c>
      <c r="AB5">
        <f>'PIT PAD Report -Density 0.8395 '!VG8</f>
        <v>6138.6435000000001</v>
      </c>
      <c r="AC5">
        <f>'PIT PAD Report -Density 0.8395 '!VH8</f>
        <v>6381.54</v>
      </c>
      <c r="AD5">
        <f>'PIT PAD Report -Density 0.8395 '!VI8</f>
        <v>7691.109840000001</v>
      </c>
      <c r="AE5">
        <f>'PIT PAD Report -Density 0.8395 '!VJ8</f>
        <v>5956.5833999999995</v>
      </c>
      <c r="AF5">
        <f>'PIT PAD Report -Density 0.8395 '!VK8</f>
        <v>6311.9232000000002</v>
      </c>
    </row>
    <row r="6" spans="2:33" x14ac:dyDescent="0.2">
      <c r="B6">
        <f>'PIT PAD Report -Density 0.8395 '!UG9</f>
        <v>4245</v>
      </c>
      <c r="C6">
        <f>'PIT PAD Report -Density 0.8395 '!UH9</f>
        <v>4471</v>
      </c>
      <c r="D6">
        <f>'PIT PAD Report -Density 0.8395 '!UI9</f>
        <v>4510</v>
      </c>
      <c r="E6">
        <f>'PIT PAD Report -Density 0.8395 '!UJ9</f>
        <v>4565</v>
      </c>
      <c r="F6">
        <f>'PIT PAD Report -Density 0.8395 '!UK9</f>
        <v>4510</v>
      </c>
      <c r="G6">
        <f>'PIT PAD Report -Density 0.8395 '!UL9</f>
        <v>5912</v>
      </c>
      <c r="H6">
        <f>'PIT PAD Report -Density 0.8395 '!UM9</f>
        <v>6967</v>
      </c>
      <c r="I6">
        <f>'PIT PAD Report -Density 0.8395 '!UN9</f>
        <v>7651</v>
      </c>
      <c r="J6">
        <f>'PIT PAD Report -Density 0.8395 '!UO9</f>
        <v>5807</v>
      </c>
      <c r="K6">
        <f>'PIT PAD Report -Density 0.8395 '!UP9</f>
        <v>5664</v>
      </c>
      <c r="L6">
        <f>'PIT PAD Report -Density 0.8395 '!UQ9</f>
        <v>7204</v>
      </c>
      <c r="M6">
        <f>'PIT PAD Report -Density 0.8395 '!UR9</f>
        <v>7618</v>
      </c>
      <c r="N6">
        <f>'PIT PAD Report -Density 0.8395 '!US9</f>
        <v>6166</v>
      </c>
      <c r="O6">
        <f>'PIT PAD Report -Density 0.8395 '!UT9</f>
        <v>7204</v>
      </c>
      <c r="P6">
        <f>'PIT PAD Report -Density 0.8395 '!UU9</f>
        <v>2832</v>
      </c>
      <c r="Q6">
        <f>'PIT PAD Report -Density 0.8395 '!UV9</f>
        <v>4013</v>
      </c>
      <c r="R6">
        <f>'PIT PAD Report -Density 0.8395 '!UW9</f>
        <v>2418</v>
      </c>
      <c r="S6">
        <f>'PIT PAD Report -Density 0.8395 '!UX9</f>
        <v>2473</v>
      </c>
      <c r="T6">
        <f>'PIT PAD Report -Density 0.8395 '!UY9</f>
        <v>2308</v>
      </c>
      <c r="U6">
        <f>'PIT PAD Report -Density 0.8395 '!UZ9</f>
        <v>6790</v>
      </c>
      <c r="V6">
        <f>'PIT PAD Report -Density 0.8395 '!VA9</f>
        <v>5940</v>
      </c>
      <c r="W6">
        <f>'PIT PAD Report -Density 0.8395 '!VB9</f>
        <v>5857</v>
      </c>
      <c r="X6">
        <f>'PIT PAD Report -Density 0.8395 '!VC9</f>
        <v>7232</v>
      </c>
      <c r="Y6">
        <f>'PIT PAD Report -Density 0.8395 '!VD9</f>
        <v>7596</v>
      </c>
      <c r="Z6">
        <f>'PIT PAD Report -Density 0.8395 '!VE9</f>
        <v>5967</v>
      </c>
      <c r="AA6">
        <f>'PIT PAD Report -Density 0.8395 '!VF9</f>
        <v>7210</v>
      </c>
      <c r="AB6">
        <f>'PIT PAD Report -Density 0.8395 '!VG9</f>
        <v>5885</v>
      </c>
      <c r="AC6">
        <f>'PIT PAD Report -Density 0.8395 '!VH9</f>
        <v>6050</v>
      </c>
      <c r="AD6">
        <f>'PIT PAD Report -Density 0.8395 '!VI9</f>
        <v>7314</v>
      </c>
      <c r="AE6">
        <f>'PIT PAD Report -Density 0.8395 '!VJ9</f>
        <v>5708</v>
      </c>
      <c r="AF6">
        <f>'PIT PAD Report -Density 0.8395 '!VK9</f>
        <v>5984</v>
      </c>
    </row>
    <row r="7" spans="2:33" x14ac:dyDescent="0.2">
      <c r="B7">
        <f>'PIT PAD Report -Density 0.8395 '!UG11</f>
        <v>5448</v>
      </c>
      <c r="C7">
        <f>'PIT PAD Report -Density 0.8395 '!UH11</f>
        <v>4346</v>
      </c>
      <c r="D7">
        <f>'PIT PAD Report -Density 0.8395 '!UI11</f>
        <v>3683</v>
      </c>
      <c r="E7">
        <f>'PIT PAD Report -Density 0.8395 '!UJ11</f>
        <v>4607</v>
      </c>
      <c r="F7">
        <f>'PIT PAD Report -Density 0.8395 '!UK11</f>
        <v>2937</v>
      </c>
      <c r="G7">
        <f>'PIT PAD Report -Density 0.8395 '!UL11</f>
        <v>6472</v>
      </c>
      <c r="H7">
        <f>'PIT PAD Report -Density 0.8395 '!UM11</f>
        <v>6845</v>
      </c>
      <c r="I7">
        <f>'PIT PAD Report -Density 0.8395 '!UN11</f>
        <v>7245</v>
      </c>
      <c r="J7">
        <f>'PIT PAD Report -Density 0.8395 '!UO11</f>
        <v>6882</v>
      </c>
      <c r="K7">
        <f>'PIT PAD Report -Density 0.8395 '!UP11</f>
        <v>7160</v>
      </c>
      <c r="L7">
        <f>'PIT PAD Report -Density 0.8395 '!UQ11</f>
        <v>5906</v>
      </c>
      <c r="M7">
        <f>'PIT PAD Report -Density 0.8395 '!UR11</f>
        <v>6728</v>
      </c>
      <c r="N7">
        <f>'PIT PAD Report -Density 0.8395 '!US11</f>
        <v>6482</v>
      </c>
      <c r="O7">
        <f>'PIT PAD Report -Density 0.8395 '!UT11</f>
        <v>7046</v>
      </c>
      <c r="P7">
        <f>'PIT PAD Report -Density 0.8395 '!UU11</f>
        <v>2340</v>
      </c>
      <c r="Q7">
        <f>'PIT PAD Report -Density 0.8395 '!UV11</f>
        <v>0</v>
      </c>
      <c r="R7">
        <f>'PIT PAD Report -Density 0.8395 '!UW11</f>
        <v>0</v>
      </c>
      <c r="S7">
        <f>'PIT PAD Report -Density 0.8395 '!UX11</f>
        <v>2962</v>
      </c>
      <c r="T7">
        <f>'PIT PAD Report -Density 0.8395 '!UY11</f>
        <v>3073</v>
      </c>
      <c r="U7">
        <f>'PIT PAD Report -Density 0.8395 '!UZ11</f>
        <v>6825</v>
      </c>
      <c r="V7">
        <f>'PIT PAD Report -Density 0.8395 '!VA11</f>
        <v>7263</v>
      </c>
      <c r="W7">
        <f>'PIT PAD Report -Density 0.8395 '!VB11</f>
        <v>8284</v>
      </c>
      <c r="X7">
        <f>'PIT PAD Report -Density 0.8395 '!VC11</f>
        <v>9160</v>
      </c>
      <c r="Y7">
        <f>'PIT PAD Report -Density 0.8395 '!VD11</f>
        <v>8113</v>
      </c>
      <c r="Z7">
        <f>'PIT PAD Report -Density 0.8395 '!VE11</f>
        <v>6358</v>
      </c>
      <c r="AA7">
        <f>'PIT PAD Report -Density 0.8395 '!VF11</f>
        <v>6620</v>
      </c>
      <c r="AB7">
        <f>'PIT PAD Report -Density 0.8395 '!VG11</f>
        <v>6082</v>
      </c>
      <c r="AC7">
        <f>'PIT PAD Report -Density 0.8395 '!VH11</f>
        <v>7323</v>
      </c>
      <c r="AD7">
        <f>'PIT PAD Report -Density 0.8395 '!VI11</f>
        <v>8633</v>
      </c>
      <c r="AE7">
        <f>'PIT PAD Report -Density 0.8395 '!VJ11</f>
        <v>7661</v>
      </c>
      <c r="AF7">
        <f>'PIT PAD Report -Density 0.8395 '!VK11</f>
        <v>5857</v>
      </c>
    </row>
    <row r="8" spans="2:33" x14ac:dyDescent="0.2">
      <c r="B8">
        <f>'PIT PAD Report -Density 0.8395 '!UG12</f>
        <v>0</v>
      </c>
      <c r="C8">
        <f>'PIT PAD Report -Density 0.8395 '!UH12</f>
        <v>0</v>
      </c>
      <c r="D8">
        <f>'PIT PAD Report -Density 0.8395 '!UI12</f>
        <v>0</v>
      </c>
      <c r="E8">
        <f>'PIT PAD Report -Density 0.8395 '!UJ12</f>
        <v>0</v>
      </c>
      <c r="F8">
        <f>'PIT PAD Report -Density 0.8395 '!UK12</f>
        <v>0</v>
      </c>
      <c r="G8">
        <f>'PIT PAD Report -Density 0.8395 '!UL12</f>
        <v>0</v>
      </c>
      <c r="H8">
        <f>'PIT PAD Report -Density 0.8395 '!UM12</f>
        <v>0</v>
      </c>
      <c r="I8">
        <f>'PIT PAD Report -Density 0.8395 '!UN12</f>
        <v>0</v>
      </c>
      <c r="J8">
        <f>'PIT PAD Report -Density 0.8395 '!UO12</f>
        <v>0</v>
      </c>
      <c r="K8">
        <f>'PIT PAD Report -Density 0.8395 '!UP12</f>
        <v>0</v>
      </c>
      <c r="L8">
        <f>'PIT PAD Report -Density 0.8395 '!UQ12</f>
        <v>0</v>
      </c>
      <c r="M8">
        <f>'PIT PAD Report -Density 0.8395 '!UR12</f>
        <v>0</v>
      </c>
      <c r="N8">
        <f>'PIT PAD Report -Density 0.8395 '!US12</f>
        <v>0</v>
      </c>
      <c r="O8">
        <f>'PIT PAD Report -Density 0.8395 '!UT12</f>
        <v>0</v>
      </c>
      <c r="P8">
        <f>'PIT PAD Report -Density 0.8395 '!UU12</f>
        <v>0</v>
      </c>
      <c r="Q8">
        <f>'PIT PAD Report -Density 0.8395 '!UV12</f>
        <v>0</v>
      </c>
      <c r="R8">
        <f>'PIT PAD Report -Density 0.8395 '!UW12</f>
        <v>0</v>
      </c>
      <c r="S8">
        <f>'PIT PAD Report -Density 0.8395 '!UX12</f>
        <v>0</v>
      </c>
      <c r="T8">
        <f>'PIT PAD Report -Density 0.8395 '!UY12</f>
        <v>0</v>
      </c>
      <c r="U8">
        <f>'PIT PAD Report -Density 0.8395 '!UZ12</f>
        <v>0</v>
      </c>
      <c r="V8">
        <f>'PIT PAD Report -Density 0.8395 '!VA12</f>
        <v>0</v>
      </c>
      <c r="W8">
        <f>'PIT PAD Report -Density 0.8395 '!VB12</f>
        <v>0</v>
      </c>
      <c r="X8">
        <f>'PIT PAD Report -Density 0.8395 '!VC12</f>
        <v>0</v>
      </c>
      <c r="Y8">
        <f>'PIT PAD Report -Density 0.8395 '!VD12</f>
        <v>0</v>
      </c>
      <c r="Z8">
        <f>'PIT PAD Report -Density 0.8395 '!VE12</f>
        <v>0</v>
      </c>
      <c r="AA8">
        <f>'PIT PAD Report -Density 0.8395 '!VF12</f>
        <v>0</v>
      </c>
      <c r="AB8">
        <f>'PIT PAD Report -Density 0.8395 '!VG12</f>
        <v>0</v>
      </c>
      <c r="AC8">
        <f>'PIT PAD Report -Density 0.8395 '!VH12</f>
        <v>0</v>
      </c>
      <c r="AD8">
        <f>'PIT PAD Report -Density 0.8395 '!VI12</f>
        <v>0</v>
      </c>
      <c r="AE8">
        <f>'PIT PAD Report -Density 0.8395 '!VJ12</f>
        <v>0</v>
      </c>
      <c r="AF8">
        <f>'PIT PAD Report -Density 0.8395 '!VK12</f>
        <v>0</v>
      </c>
    </row>
    <row r="9" spans="2:33" x14ac:dyDescent="0.2">
      <c r="B9">
        <f>'PIT PAD Report -Density 0.8395 '!UG13</f>
        <v>17422.237249999664</v>
      </c>
      <c r="C9">
        <f>'PIT PAD Report -Density 0.8395 '!UH13</f>
        <v>17599.199399999663</v>
      </c>
      <c r="D9">
        <f>'PIT PAD Report -Density 0.8395 '!UI13</f>
        <v>18422.083399999661</v>
      </c>
      <c r="E9">
        <f>'PIT PAD Report -Density 0.8395 '!UJ13</f>
        <v>18278.900499999661</v>
      </c>
      <c r="F9">
        <f>'PIT PAD Report -Density 0.8395 '!UK13</f>
        <v>19871.427699999662</v>
      </c>
      <c r="G9">
        <f>'PIT PAD Report -Density 0.8395 '!UL13</f>
        <v>19171.72369999966</v>
      </c>
      <c r="H9">
        <f>'PIT PAD Report -Density 0.8395 '!UM13</f>
        <v>19397.743179999659</v>
      </c>
      <c r="I9">
        <f>'PIT PAD Report -Density 0.8395 '!UN13</f>
        <v>19839.455079999661</v>
      </c>
      <c r="J9">
        <f>'PIT PAD Report -Density 0.8395 '!UO13</f>
        <v>18562.339179999661</v>
      </c>
      <c r="K9">
        <f>'PIT PAD Report -Density 0.8395 '!UP13</f>
        <v>16848.831979999661</v>
      </c>
      <c r="L9">
        <f>'PIT PAD Report -Density 0.8395 '!UQ13</f>
        <v>18107.484139999659</v>
      </c>
      <c r="M9">
        <f>'PIT PAD Report -Density 0.8395 '!UR13</f>
        <v>19132.554019999658</v>
      </c>
      <c r="N9">
        <f>'PIT PAD Report -Density 0.8395 '!US13</f>
        <v>18873.81341999966</v>
      </c>
      <c r="O9">
        <f>'PIT PAD Report -Density 0.8395 '!UT13</f>
        <v>19121.099819999661</v>
      </c>
      <c r="P9">
        <f>'PIT PAD Report -Density 0.8395 '!UU13</f>
        <v>19587.076619999661</v>
      </c>
      <c r="Q9">
        <f>'PIT PAD Report -Density 0.8395 '!UV13</f>
        <v>23599.67531999966</v>
      </c>
      <c r="R9">
        <f>'PIT PAD Report -Density 0.8395 '!UW13</f>
        <v>26017.43351999966</v>
      </c>
      <c r="S9">
        <f>'PIT PAD Report -Density 0.8395 '!UX13</f>
        <v>25495.604219999659</v>
      </c>
      <c r="T9">
        <f>'PIT PAD Report -Density 0.8395 '!UY13</f>
        <v>24696.570419999658</v>
      </c>
      <c r="U9">
        <f>'PIT PAD Report -Density 0.8395 '!UZ13</f>
        <v>25007.160419999658</v>
      </c>
      <c r="V9">
        <f>'PIT PAD Report -Density 0.8395 '!VA13</f>
        <v>23490.570419999658</v>
      </c>
      <c r="W9">
        <f>'PIT PAD Report -Density 0.8395 '!VB13</f>
        <v>20730.844719999659</v>
      </c>
      <c r="X9">
        <f>'PIT PAD Report -Density 0.8395 '!VC13</f>
        <v>18465.404719999657</v>
      </c>
      <c r="Y9">
        <f>'PIT PAD Report -Density 0.8395 '!VD13</f>
        <v>18490.273919999654</v>
      </c>
      <c r="Z9">
        <f>'PIT PAD Report -Density 0.8395 '!VE13</f>
        <v>18083.797119999654</v>
      </c>
      <c r="AA9">
        <f>'PIT PAD Report -Density 0.8395 '!VF13</f>
        <v>18722.438119999657</v>
      </c>
      <c r="AB9">
        <f>'PIT PAD Report -Density 0.8395 '!VG13</f>
        <v>18541.883619999655</v>
      </c>
      <c r="AC9">
        <f>'PIT PAD Report -Density 0.8395 '!VH13</f>
        <v>17219.627619999657</v>
      </c>
      <c r="AD9">
        <f>'PIT PAD Report -Density 0.8395 '!VI13</f>
        <v>16118.890259999658</v>
      </c>
      <c r="AE9">
        <f>'PIT PAD Report -Density 0.8395 '!VJ13</f>
        <v>14341.694159999657</v>
      </c>
      <c r="AF9">
        <f>'PIT PAD Report -Density 0.8395 '!VK13</f>
        <v>14667.763359999659</v>
      </c>
    </row>
  </sheetData>
  <phoneticPr fontId="12"/>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C4:IM9"/>
  <sheetViews>
    <sheetView topLeftCell="HT1" workbookViewId="0">
      <selection activeCell="IM6" sqref="IM6"/>
    </sheetView>
  </sheetViews>
  <sheetFormatPr defaultRowHeight="15" x14ac:dyDescent="0.2"/>
  <sheetData>
    <row r="4" spans="3:247" s="128" customFormat="1" x14ac:dyDescent="0.2">
      <c r="C4" s="128">
        <f>'PIT PAD Report -Density 0.8395 '!MB6</f>
        <v>0.13200000000000001</v>
      </c>
      <c r="D4" s="128">
        <f>'PIT PAD Report -Density 0.8395 '!MC6</f>
        <v>0.14000000000000001</v>
      </c>
      <c r="E4" s="128">
        <f>'PIT PAD Report -Density 0.8395 '!MD6</f>
        <v>0.18099999999999999</v>
      </c>
      <c r="F4" s="128">
        <f>'PIT PAD Report -Density 0.8395 '!ME6</f>
        <v>0.17</v>
      </c>
      <c r="G4" s="128">
        <f>'PIT PAD Report -Density 0.8395 '!MF6</f>
        <v>0.19</v>
      </c>
      <c r="H4" s="128">
        <f>'PIT PAD Report -Density 0.8395 '!MG6</f>
        <v>0.16600000000000001</v>
      </c>
      <c r="I4" s="128">
        <f>'PIT PAD Report -Density 0.8395 '!MH6</f>
        <v>0.182</v>
      </c>
      <c r="J4" s="128">
        <f>'PIT PAD Report -Density 0.8395 '!MI6</f>
        <v>0.16300000000000001</v>
      </c>
      <c r="K4" s="128">
        <f>'PIT PAD Report -Density 0.8395 '!MJ6</f>
        <v>0.16</v>
      </c>
      <c r="L4" s="128">
        <f>'PIT PAD Report -Density 0.8395 '!MK6</f>
        <v>0.16</v>
      </c>
      <c r="M4" s="128">
        <f>'PIT PAD Report -Density 0.8395 '!ML6</f>
        <v>0.152</v>
      </c>
      <c r="N4" s="128">
        <f>'PIT PAD Report -Density 0.8395 '!MM6</f>
        <v>0.16</v>
      </c>
      <c r="O4" s="128">
        <f>'PIT PAD Report -Density 0.8395 '!MN6</f>
        <v>0.155</v>
      </c>
      <c r="P4" s="128">
        <f>'PIT PAD Report -Density 0.8395 '!MO6</f>
        <v>0.14000000000000001</v>
      </c>
      <c r="Q4" s="128">
        <f>'PIT PAD Report -Density 0.8395 '!MP6</f>
        <v>0.17</v>
      </c>
      <c r="R4" s="128">
        <f>'PIT PAD Report -Density 0.8395 '!MQ6</f>
        <v>0.19600000000000001</v>
      </c>
      <c r="S4" s="128">
        <f>'PIT PAD Report -Density 0.8395 '!MR6</f>
        <v>0.158</v>
      </c>
      <c r="T4" s="128">
        <f>'PIT PAD Report -Density 0.8395 '!MS6</f>
        <v>0.16400000000000001</v>
      </c>
      <c r="U4" s="128">
        <f>'PIT PAD Report -Density 0.8395 '!MT6</f>
        <v>0.16500000000000001</v>
      </c>
      <c r="V4" s="128">
        <f>'PIT PAD Report -Density 0.8395 '!MU6</f>
        <v>0.17</v>
      </c>
      <c r="W4" s="128">
        <f>'PIT PAD Report -Density 0.8395 '!MV6</f>
        <v>0.17100000000000001</v>
      </c>
      <c r="X4" s="128">
        <f>'PIT PAD Report -Density 0.8395 '!MW6</f>
        <v>0.161</v>
      </c>
      <c r="Y4" s="128">
        <f>'PIT PAD Report -Density 0.8395 '!MX6</f>
        <v>0.16700000000000001</v>
      </c>
      <c r="Z4" s="128">
        <f>'PIT PAD Report -Density 0.8395 '!MY6</f>
        <v>0.161</v>
      </c>
      <c r="AA4" s="128">
        <f>'PIT PAD Report -Density 0.8395 '!MZ6</f>
        <v>0.17</v>
      </c>
      <c r="AB4" s="128">
        <f>'PIT PAD Report -Density 0.8395 '!NA6</f>
        <v>0.17799999999999999</v>
      </c>
      <c r="AC4" s="128">
        <f>'PIT PAD Report -Density 0.8395 '!NB6</f>
        <v>0.17249999999999999</v>
      </c>
      <c r="AD4" s="128">
        <f>'PIT PAD Report -Density 0.8395 '!NC6</f>
        <v>0.17</v>
      </c>
      <c r="AE4" s="128">
        <f>'PIT PAD Report -Density 0.8395 '!ND6</f>
        <v>0.17199999999999999</v>
      </c>
      <c r="AF4" s="128">
        <f>'PIT PAD Report -Density 0.8395 '!NE6</f>
        <v>0.17100000000000001</v>
      </c>
      <c r="AG4" s="128">
        <f>'PIT PAD Report -Density 0.8395 '!NF6</f>
        <v>0.17</v>
      </c>
      <c r="AH4" s="128">
        <f>'PIT PAD Report -Density 0.8395 '!NG6</f>
        <v>0.17299999999999999</v>
      </c>
      <c r="AI4" s="128">
        <f>'PIT PAD Report -Density 0.8395 '!NH6</f>
        <v>0.14099999999999999</v>
      </c>
      <c r="AJ4" s="128">
        <f>'PIT PAD Report -Density 0.8395 '!NI6</f>
        <v>0.14299999999999999</v>
      </c>
      <c r="AK4" s="128">
        <f>'PIT PAD Report -Density 0.8395 '!NJ6</f>
        <v>0.151</v>
      </c>
      <c r="AL4" s="128">
        <f>'PIT PAD Report -Density 0.8395 '!NK6</f>
        <v>0.16200000000000001</v>
      </c>
      <c r="AM4" s="128">
        <f>'PIT PAD Report -Density 0.8395 '!NL6</f>
        <v>0.13</v>
      </c>
      <c r="AN4" s="128">
        <f>'PIT PAD Report -Density 0.8395 '!NM6</f>
        <v>0.156</v>
      </c>
      <c r="AO4" s="128">
        <f>'PIT PAD Report -Density 0.8395 '!NN6</f>
        <v>0.16400000000000001</v>
      </c>
      <c r="AP4" s="128">
        <f>'PIT PAD Report -Density 0.8395 '!NO6</f>
        <v>0.14599999999999999</v>
      </c>
      <c r="AQ4" s="128">
        <f>'PIT PAD Report -Density 0.8395 '!NP6</f>
        <v>0.128</v>
      </c>
      <c r="AR4" s="128">
        <f>'PIT PAD Report -Density 0.8395 '!NQ6</f>
        <v>0.15559999999999999</v>
      </c>
      <c r="AS4" s="128">
        <f>'PIT PAD Report -Density 0.8395 '!NR6</f>
        <v>0.157</v>
      </c>
      <c r="AT4" s="128">
        <f>'PIT PAD Report -Density 0.8395 '!NS6</f>
        <v>0.16600000000000001</v>
      </c>
      <c r="AU4" s="128">
        <f>'PIT PAD Report -Density 0.8395 '!NT6</f>
        <v>0.155</v>
      </c>
      <c r="AV4" s="128">
        <f>'PIT PAD Report -Density 0.8395 '!NU6</f>
        <v>0.16300000000000001</v>
      </c>
      <c r="AW4" s="128">
        <f>'PIT PAD Report -Density 0.8395 '!NV6</f>
        <v>0.14960000000000001</v>
      </c>
      <c r="AX4" s="128">
        <f>'PIT PAD Report -Density 0.8395 '!NW6</f>
        <v>0.15920000000000001</v>
      </c>
      <c r="AY4" s="128">
        <f>'PIT PAD Report -Density 0.8395 '!NX6</f>
        <v>0.1744</v>
      </c>
      <c r="AZ4" s="128">
        <f>'PIT PAD Report -Density 0.8395 '!NY6</f>
        <v>0.13150000000000001</v>
      </c>
      <c r="BA4" s="128">
        <f>'PIT PAD Report -Density 0.8395 '!NZ6</f>
        <v>0.13900000000000001</v>
      </c>
      <c r="BB4" s="128">
        <f>'PIT PAD Report -Density 0.8395 '!OA6</f>
        <v>0.14299999999999999</v>
      </c>
      <c r="BC4" s="128">
        <f>'PIT PAD Report -Density 0.8395 '!OB6</f>
        <v>0.154</v>
      </c>
      <c r="BD4" s="128">
        <f>'PIT PAD Report -Density 0.8395 '!OC6</f>
        <v>0.14699999999999999</v>
      </c>
      <c r="BE4" s="128">
        <f>'PIT PAD Report -Density 0.8395 '!OD6</f>
        <v>0.14699999999999999</v>
      </c>
      <c r="BF4" s="128">
        <f>'PIT PAD Report -Density 0.8395 '!OE6</f>
        <v>0.129</v>
      </c>
      <c r="BG4" s="128">
        <f>'PIT PAD Report -Density 0.8395 '!OF6</f>
        <v>0.125</v>
      </c>
      <c r="BH4" s="128">
        <f>'PIT PAD Report -Density 0.8395 '!OG6</f>
        <v>0.11409999999999999</v>
      </c>
      <c r="BI4" s="128">
        <f>'PIT PAD Report -Density 0.8395 '!OH6</f>
        <v>0.13300000000000001</v>
      </c>
      <c r="BJ4" s="128">
        <f>'PIT PAD Report -Density 0.8395 '!OI6</f>
        <v>0.1484</v>
      </c>
      <c r="BK4" s="128">
        <f>'PIT PAD Report -Density 0.8395 '!OJ6</f>
        <v>0.16200000000000001</v>
      </c>
      <c r="BL4" s="128">
        <f>'PIT PAD Report -Density 0.8395 '!OK6</f>
        <v>0.16700000000000001</v>
      </c>
      <c r="BM4" s="128">
        <f>'PIT PAD Report -Density 0.8395 '!OL6</f>
        <v>0.14699999999999999</v>
      </c>
      <c r="BN4" s="128">
        <f>'PIT PAD Report -Density 0.8395 '!OM6</f>
        <v>0.14099999999999999</v>
      </c>
      <c r="BO4" s="128">
        <f>'PIT PAD Report -Density 0.8395 '!ON6</f>
        <v>0.14299999999999999</v>
      </c>
      <c r="BP4" s="128">
        <f>'PIT PAD Report -Density 0.8395 '!OO6</f>
        <v>0.157</v>
      </c>
      <c r="BQ4" s="128">
        <f>'PIT PAD Report -Density 0.8395 '!OP6</f>
        <v>0.17</v>
      </c>
      <c r="BR4" s="128">
        <f>'PIT PAD Report -Density 0.8395 '!OQ6</f>
        <v>0.13200000000000001</v>
      </c>
      <c r="BS4" s="128">
        <f>'PIT PAD Report -Density 0.8395 '!OR6</f>
        <v>0.14199999999999999</v>
      </c>
      <c r="BT4" s="128">
        <f>'PIT PAD Report -Density 0.8395 '!OS6</f>
        <v>0.14699999999999999</v>
      </c>
      <c r="BU4" s="128">
        <f>'PIT PAD Report -Density 0.8395 '!OT6</f>
        <v>0.13400000000000001</v>
      </c>
      <c r="BV4" s="128">
        <f>'PIT PAD Report -Density 0.8395 '!OU6</f>
        <v>0.14899999999999999</v>
      </c>
      <c r="BW4" s="128">
        <f>'PIT PAD Report -Density 0.8395 '!OV6</f>
        <v>0.125</v>
      </c>
      <c r="BX4" s="128">
        <f>'PIT PAD Report -Density 0.8395 '!OW6</f>
        <v>0.156</v>
      </c>
      <c r="BY4" s="128">
        <f>'PIT PAD Report -Density 0.8395 '!OX6</f>
        <v>0.159</v>
      </c>
      <c r="BZ4" s="128">
        <f>'PIT PAD Report -Density 0.8395 '!OY6</f>
        <v>0.14299999999999999</v>
      </c>
      <c r="CA4" s="128">
        <f>'PIT PAD Report -Density 0.8395 '!OZ6</f>
        <v>0.13700000000000001</v>
      </c>
      <c r="CB4" s="128">
        <f>'PIT PAD Report -Density 0.8395 '!PA6</f>
        <v>0.14299999999999999</v>
      </c>
      <c r="CC4" s="128">
        <f>'PIT PAD Report -Density 0.8395 '!PB6</f>
        <v>0.159</v>
      </c>
      <c r="CD4" s="128">
        <f>'PIT PAD Report -Density 0.8395 '!PC6</f>
        <v>0.13500000000000001</v>
      </c>
      <c r="CE4" s="128">
        <f>'PIT PAD Report -Density 0.8395 '!PD6</f>
        <v>0.14799999999999999</v>
      </c>
      <c r="CF4" s="128">
        <f>'PIT PAD Report -Density 0.8395 '!PE6</f>
        <v>0.16300000000000001</v>
      </c>
      <c r="CG4" s="128">
        <f>'PIT PAD Report -Density 0.8395 '!PF6</f>
        <v>0.17299999999999999</v>
      </c>
      <c r="CH4" s="128">
        <f>'PIT PAD Report -Density 0.8395 '!PG6</f>
        <v>0.161</v>
      </c>
      <c r="CI4" s="128">
        <f>'PIT PAD Report -Density 0.8395 '!PH6</f>
        <v>0.156</v>
      </c>
      <c r="CJ4" s="128">
        <f>'PIT PAD Report -Density 0.8395 '!PI6</f>
        <v>0.14299999999999999</v>
      </c>
      <c r="CK4" s="128">
        <f>'PIT PAD Report -Density 0.8395 '!PJ6</f>
        <v>0.14199999999999999</v>
      </c>
      <c r="CL4" s="128">
        <f>'PIT PAD Report -Density 0.8395 '!PK6</f>
        <v>0.14199999999999999</v>
      </c>
      <c r="CM4" s="128">
        <f>'PIT PAD Report -Density 0.8395 '!PL6</f>
        <v>0.152</v>
      </c>
      <c r="CN4" s="128">
        <f>'PIT PAD Report -Density 0.8395 '!PM6</f>
        <v>0.15</v>
      </c>
      <c r="CO4" s="128">
        <f>'PIT PAD Report -Density 0.8395 '!PN6</f>
        <v>0.155</v>
      </c>
      <c r="CP4" s="128">
        <f>'PIT PAD Report -Density 0.8395 '!PO6</f>
        <v>0.17899999999999999</v>
      </c>
      <c r="CQ4" s="128">
        <f>'PIT PAD Report -Density 0.8395 '!PP6</f>
        <v>0.17699999999999999</v>
      </c>
      <c r="CR4" s="128">
        <f>'PIT PAD Report -Density 0.8395 '!PQ6</f>
        <v>0.18</v>
      </c>
      <c r="CS4" s="128">
        <f>'PIT PAD Report -Density 0.8395 '!PR6</f>
        <v>0.183</v>
      </c>
      <c r="CT4" s="128">
        <f>'PIT PAD Report -Density 0.8395 '!PS6</f>
        <v>0.192</v>
      </c>
      <c r="CU4" s="128">
        <f>'PIT PAD Report -Density 0.8395 '!PT6</f>
        <v>0.189</v>
      </c>
      <c r="CV4" s="128">
        <f>'PIT PAD Report -Density 0.8395 '!PU6</f>
        <v>0.189</v>
      </c>
      <c r="CW4" s="128">
        <f>'PIT PAD Report -Density 0.8395 '!PV6</f>
        <v>0.17699999999999999</v>
      </c>
      <c r="CX4" s="128">
        <f>'PIT PAD Report -Density 0.8395 '!PW6</f>
        <v>0.18</v>
      </c>
      <c r="CY4" s="128">
        <f>'PIT PAD Report -Density 0.8395 '!PX6</f>
        <v>0.19500000000000001</v>
      </c>
      <c r="CZ4" s="128">
        <f>'PIT PAD Report -Density 0.8395 '!PY6</f>
        <v>0.191</v>
      </c>
      <c r="DA4" s="128">
        <f>'PIT PAD Report -Density 0.8395 '!PZ6</f>
        <v>0.19800000000000001</v>
      </c>
      <c r="DB4" s="128">
        <f>'PIT PAD Report -Density 0.8395 '!QA6</f>
        <v>0.19500000000000001</v>
      </c>
      <c r="DC4" s="128">
        <f>'PIT PAD Report -Density 0.8395 '!QB6</f>
        <v>0.192</v>
      </c>
      <c r="DD4" s="128">
        <f>'PIT PAD Report -Density 0.8395 '!QC6</f>
        <v>0.22900000000000001</v>
      </c>
      <c r="DE4" s="128">
        <f>'PIT PAD Report -Density 0.8395 '!QD6</f>
        <v>0.2</v>
      </c>
      <c r="DF4" s="128">
        <f>'PIT PAD Report -Density 0.8395 '!QE6</f>
        <v>0.19800000000000001</v>
      </c>
      <c r="DG4" s="128">
        <f>'PIT PAD Report -Density 0.8395 '!QF6</f>
        <v>0.23799999999999999</v>
      </c>
      <c r="DH4" s="128">
        <f>'PIT PAD Report -Density 0.8395 '!QG6</f>
        <v>0.19700000000000001</v>
      </c>
      <c r="DI4" s="128">
        <f>'PIT PAD Report -Density 0.8395 '!QH6</f>
        <v>0.20599999999999999</v>
      </c>
      <c r="DJ4" s="128">
        <f>'PIT PAD Report -Density 0.8395 '!QI6</f>
        <v>0.19700000000000001</v>
      </c>
      <c r="DK4" s="128">
        <f>'PIT PAD Report -Density 0.8395 '!QJ6</f>
        <v>0.221</v>
      </c>
      <c r="DL4" s="128">
        <f>'PIT PAD Report -Density 0.8395 '!QK6</f>
        <v>0.20599999999999999</v>
      </c>
      <c r="DM4" s="128">
        <f>'PIT PAD Report -Density 0.8395 '!QL6</f>
        <v>0.191</v>
      </c>
      <c r="DN4" s="128">
        <f>'PIT PAD Report -Density 0.8395 '!QM6</f>
        <v>0.2026</v>
      </c>
      <c r="DO4" s="128">
        <f>'PIT PAD Report -Density 0.8395 '!QN6</f>
        <v>0.20349999999999999</v>
      </c>
      <c r="DP4" s="128">
        <f>'PIT PAD Report -Density 0.8395 '!QO6</f>
        <v>0.20349999999999999</v>
      </c>
      <c r="DQ4" s="128">
        <f>'PIT PAD Report -Density 0.8395 '!QP6</f>
        <v>0.18859999999999999</v>
      </c>
      <c r="DR4" s="128">
        <f>'PIT PAD Report -Density 0.8395 '!QQ6</f>
        <v>0.19400000000000001</v>
      </c>
      <c r="DS4" s="128">
        <f>'PIT PAD Report -Density 0.8395 '!QR6</f>
        <v>0.20080000000000001</v>
      </c>
      <c r="DT4" s="128">
        <f>'PIT PAD Report -Density 0.8395 '!QS6</f>
        <v>0.2011</v>
      </c>
      <c r="DU4" s="128">
        <f>'PIT PAD Report -Density 0.8395 '!QT6</f>
        <v>0.1908</v>
      </c>
      <c r="DV4" s="128">
        <f>'PIT PAD Report -Density 0.8395 '!QU6</f>
        <v>0.18740000000000001</v>
      </c>
      <c r="DW4" s="128">
        <f>'PIT PAD Report -Density 0.8395 '!QV6</f>
        <v>0.1948</v>
      </c>
      <c r="DX4" s="128">
        <f>'PIT PAD Report -Density 0.8395 '!QW6</f>
        <v>0.19040000000000001</v>
      </c>
      <c r="DY4" s="128">
        <f>'PIT PAD Report -Density 0.8395 '!QX6</f>
        <v>0.18920000000000001</v>
      </c>
      <c r="DZ4" s="128">
        <f>'PIT PAD Report -Density 0.8395 '!QY6</f>
        <v>0.191</v>
      </c>
      <c r="EA4" s="128">
        <f>'PIT PAD Report -Density 0.8395 '!QZ6</f>
        <v>0.17499999999999999</v>
      </c>
      <c r="EB4" s="128">
        <f>'PIT PAD Report -Density 0.8395 '!RA6</f>
        <v>0.1472</v>
      </c>
      <c r="EC4" s="128">
        <f>'PIT PAD Report -Density 0.8395 '!RB6</f>
        <v>0.19500000000000001</v>
      </c>
      <c r="ED4" s="128">
        <f>'PIT PAD Report -Density 0.8395 '!RC6</f>
        <v>0.20100000000000001</v>
      </c>
      <c r="EE4" s="128">
        <f>'PIT PAD Report -Density 0.8395 '!RD6</f>
        <v>0.1888</v>
      </c>
      <c r="EF4" s="128">
        <f>'PIT PAD Report -Density 0.8395 '!RE6</f>
        <v>0.1764</v>
      </c>
      <c r="EG4" s="128">
        <f>'PIT PAD Report -Density 0.8395 '!RF6</f>
        <v>0.221</v>
      </c>
      <c r="EH4" s="128">
        <f>'PIT PAD Report -Density 0.8395 '!RG6</f>
        <v>0.19500000000000001</v>
      </c>
      <c r="EI4" s="128">
        <f>'PIT PAD Report -Density 0.8395 '!RH6</f>
        <v>0.17299999999999999</v>
      </c>
      <c r="EJ4" s="128">
        <f>'PIT PAD Report -Density 0.8395 '!RI6</f>
        <v>0.17299999999999999</v>
      </c>
      <c r="EK4" s="128">
        <f>'PIT PAD Report -Density 0.8395 '!RJ6</f>
        <v>0.16</v>
      </c>
      <c r="EL4" s="128">
        <f>'PIT PAD Report -Density 0.8395 '!RK6</f>
        <v>0.1956</v>
      </c>
      <c r="EM4" s="128">
        <f>'PIT PAD Report -Density 0.8395 '!RL6</f>
        <v>0.1636</v>
      </c>
      <c r="EN4" s="128">
        <f>'PIT PAD Report -Density 0.8395 '!RM6</f>
        <v>0.152</v>
      </c>
      <c r="EO4" s="128">
        <f>'PIT PAD Report -Density 0.8395 '!RN6</f>
        <v>0.17100000000000001</v>
      </c>
      <c r="EP4" s="128">
        <f>'PIT PAD Report -Density 0.8395 '!RO6</f>
        <v>0.16200000000000001</v>
      </c>
      <c r="EQ4" s="128">
        <f>'PIT PAD Report -Density 0.8395 '!RP6</f>
        <v>0.13700000000000001</v>
      </c>
      <c r="ER4" s="128">
        <f>'PIT PAD Report -Density 0.8395 '!RQ6</f>
        <v>0.17399999999999999</v>
      </c>
      <c r="ES4" s="128">
        <f>'PIT PAD Report -Density 0.8395 '!RR6</f>
        <v>0.1767</v>
      </c>
      <c r="ET4" s="128">
        <f>'PIT PAD Report -Density 0.8395 '!RS6</f>
        <v>0.17799999999999999</v>
      </c>
      <c r="EU4" s="128">
        <f>'PIT PAD Report -Density 0.8395 '!RT6</f>
        <v>0.19</v>
      </c>
      <c r="EV4" s="128">
        <f>'PIT PAD Report -Density 0.8395 '!RU6</f>
        <v>0.17199999999999999</v>
      </c>
      <c r="EW4" s="128">
        <f>'PIT PAD Report -Density 0.8395 '!RV6</f>
        <v>0.17699999999999999</v>
      </c>
      <c r="EX4" s="128">
        <f>'PIT PAD Report -Density 0.8395 '!RW6</f>
        <v>0.188</v>
      </c>
      <c r="EY4" s="128">
        <f>'PIT PAD Report -Density 0.8395 '!RX6</f>
        <v>0.19400000000000001</v>
      </c>
      <c r="EZ4" s="128">
        <f>'PIT PAD Report -Density 0.8395 '!RY6</f>
        <v>0.20760000000000001</v>
      </c>
      <c r="FA4" s="128">
        <f>'PIT PAD Report -Density 0.8395 '!RZ6</f>
        <v>0.187</v>
      </c>
      <c r="FB4" s="128">
        <f>'PIT PAD Report -Density 0.8395 '!SA6</f>
        <v>0.17899999999999999</v>
      </c>
      <c r="FC4" s="128">
        <f>'PIT PAD Report -Density 0.8395 '!SB6</f>
        <v>0.16400000000000001</v>
      </c>
      <c r="FD4" s="128">
        <f>'PIT PAD Report -Density 0.8395 '!SC6</f>
        <v>0.19400000000000001</v>
      </c>
      <c r="FE4" s="128">
        <f>'PIT PAD Report -Density 0.8395 '!SD6</f>
        <v>0.189</v>
      </c>
      <c r="FF4" s="128">
        <f>'PIT PAD Report -Density 0.8395 '!SE6</f>
        <v>0.20300000000000001</v>
      </c>
      <c r="FG4" s="128">
        <f>'PIT PAD Report -Density 0.8395 '!SF6</f>
        <v>0.19</v>
      </c>
      <c r="FH4" s="128">
        <f>'PIT PAD Report -Density 0.8395 '!SG6</f>
        <v>0.184</v>
      </c>
      <c r="FI4" s="128">
        <f>'PIT PAD Report -Density 0.8395 '!SH6</f>
        <v>0.20380000000000001</v>
      </c>
      <c r="FJ4" s="128">
        <f>'PIT PAD Report -Density 0.8395 '!SI6</f>
        <v>0.20619999999999999</v>
      </c>
      <c r="FK4" s="128">
        <f>'PIT PAD Report -Density 0.8395 '!SJ6</f>
        <v>0.192</v>
      </c>
      <c r="FL4" s="128">
        <f>'PIT PAD Report -Density 0.8395 '!SK6</f>
        <v>0.16900000000000001</v>
      </c>
      <c r="FM4" s="128">
        <f>'PIT PAD Report -Density 0.8395 '!SL6</f>
        <v>0.16880000000000001</v>
      </c>
      <c r="FN4" s="128">
        <f>'PIT PAD Report -Density 0.8395 '!SM6</f>
        <v>0.14399999999999999</v>
      </c>
      <c r="FO4" s="128">
        <f>'PIT PAD Report -Density 0.8395 '!SN6</f>
        <v>0.16</v>
      </c>
      <c r="FP4" s="128">
        <f>'PIT PAD Report -Density 0.8395 '!SO6</f>
        <v>0.157</v>
      </c>
      <c r="FQ4" s="128">
        <f>'PIT PAD Report -Density 0.8395 '!SP6</f>
        <v>0.15870000000000001</v>
      </c>
      <c r="FR4" s="128">
        <f>'PIT PAD Report -Density 0.8395 '!SQ6</f>
        <v>0.1636</v>
      </c>
      <c r="FS4" s="128">
        <f>'PIT PAD Report -Density 0.8395 '!SR6</f>
        <v>0.19719999999999999</v>
      </c>
      <c r="FT4" s="128">
        <f>'PIT PAD Report -Density 0.8395 '!SS6</f>
        <v>0.17100000000000001</v>
      </c>
      <c r="FU4" s="128">
        <f>'PIT PAD Report -Density 0.8395 '!ST6</f>
        <v>0.17699999999999999</v>
      </c>
      <c r="FV4" s="128">
        <f>'PIT PAD Report -Density 0.8395 '!SU6</f>
        <v>0.188</v>
      </c>
      <c r="FW4" s="128">
        <f>'PIT PAD Report -Density 0.8395 '!SV6</f>
        <v>0.19839999999999999</v>
      </c>
      <c r="FX4" s="128">
        <f>'PIT PAD Report -Density 0.8395 '!SW6</f>
        <v>0.19470000000000001</v>
      </c>
      <c r="FY4" s="128">
        <f>'PIT PAD Report -Density 0.8395 '!SX6</f>
        <v>0.192</v>
      </c>
      <c r="FZ4" s="128">
        <f>'PIT PAD Report -Density 0.8395 '!SY6</f>
        <v>0.2</v>
      </c>
      <c r="GA4" s="128">
        <f>'PIT PAD Report -Density 0.8395 '!SZ6</f>
        <v>0.17499999999999999</v>
      </c>
      <c r="GB4" s="128">
        <f>'PIT PAD Report -Density 0.8395 '!TA6</f>
        <v>0.19400000000000001</v>
      </c>
      <c r="GC4" s="128">
        <f>'PIT PAD Report -Density 0.8395 '!TB6</f>
        <v>0.20100000000000001</v>
      </c>
      <c r="GD4" s="128">
        <f>'PIT PAD Report -Density 0.8395 '!TC6</f>
        <v>0.18490000000000001</v>
      </c>
      <c r="GE4" s="128">
        <f>'PIT PAD Report -Density 0.8395 '!TD6</f>
        <v>0.16500000000000001</v>
      </c>
      <c r="GF4" s="128">
        <f>'PIT PAD Report -Density 0.8395 '!TE6</f>
        <v>0.182</v>
      </c>
      <c r="GG4" s="128">
        <f>'PIT PAD Report -Density 0.8395 '!TF6</f>
        <v>0.18</v>
      </c>
      <c r="GH4" s="128">
        <f>'PIT PAD Report -Density 0.8395 '!TG6</f>
        <v>0.17929999999999999</v>
      </c>
      <c r="GI4" s="128">
        <f>'PIT PAD Report -Density 0.8395 '!TH6</f>
        <v>0.18440000000000001</v>
      </c>
      <c r="GJ4" s="128">
        <f>'PIT PAD Report -Density 0.8395 '!TI6</f>
        <v>0.1827</v>
      </c>
      <c r="GK4" s="128">
        <f>'PIT PAD Report -Density 0.8395 '!TJ6</f>
        <v>0.17</v>
      </c>
      <c r="GL4" s="128">
        <f>'PIT PAD Report -Density 0.8395 '!TK6</f>
        <v>0.1784</v>
      </c>
      <c r="GM4" s="128">
        <f>'PIT PAD Report -Density 0.8395 '!TL6</f>
        <v>0.20100000000000001</v>
      </c>
      <c r="GN4" s="128">
        <f>'PIT PAD Report -Density 0.8395 '!TM6</f>
        <v>0.19</v>
      </c>
      <c r="GO4" s="128">
        <f>'PIT PAD Report -Density 0.8395 '!TN6</f>
        <v>0.18679999999999999</v>
      </c>
      <c r="GP4" s="128">
        <f>'PIT PAD Report -Density 0.8395 '!TO6</f>
        <v>0.17519999999999999</v>
      </c>
      <c r="GQ4" s="128">
        <f>'PIT PAD Report -Density 0.8395 '!TP6</f>
        <v>0.16800000000000001</v>
      </c>
      <c r="GR4" s="128">
        <f>'PIT PAD Report -Density 0.8395 '!TQ6</f>
        <v>0.188</v>
      </c>
      <c r="GS4" s="128">
        <f>'PIT PAD Report -Density 0.8395 '!TR6</f>
        <v>0.18</v>
      </c>
      <c r="GT4" s="128">
        <f>'PIT PAD Report -Density 0.8395 '!TS6</f>
        <v>0.20300000000000001</v>
      </c>
      <c r="GU4" s="128">
        <f>'PIT PAD Report -Density 0.8395 '!TT6</f>
        <v>0.21199999999999999</v>
      </c>
      <c r="GV4" s="128">
        <f>'PIT PAD Report -Density 0.8395 '!TU6</f>
        <v>0.16070000000000001</v>
      </c>
      <c r="GW4" s="128">
        <f>'PIT PAD Report -Density 0.8395 '!TV6</f>
        <v>0.20799999999999999</v>
      </c>
      <c r="GX4" s="128">
        <f>'PIT PAD Report -Density 0.8395 '!TW6</f>
        <v>0.19900000000000001</v>
      </c>
      <c r="GY4" s="128">
        <f>'PIT PAD Report -Density 0.8395 '!TX6</f>
        <v>0.182</v>
      </c>
      <c r="GZ4" s="128">
        <f>'PIT PAD Report -Density 0.8395 '!TY6</f>
        <v>0.192</v>
      </c>
      <c r="HA4" s="128">
        <f>'PIT PAD Report -Density 0.8395 '!TZ6</f>
        <v>0.17299999999999999</v>
      </c>
      <c r="HB4" s="128">
        <f>'PIT PAD Report -Density 0.8395 '!UA6</f>
        <v>0.17199999999999999</v>
      </c>
      <c r="HC4" s="128">
        <f>'PIT PAD Report -Density 0.8395 '!UB6</f>
        <v>0.188</v>
      </c>
      <c r="HD4" s="128">
        <f>'PIT PAD Report -Density 0.8395 '!UC6</f>
        <v>0.18479999999999999</v>
      </c>
      <c r="HE4" s="128">
        <f>'PIT PAD Report -Density 0.8395 '!UD6</f>
        <v>0.1845</v>
      </c>
      <c r="HF4" s="128">
        <f>'PIT PAD Report -Density 0.8395 '!UE6</f>
        <v>0.17299999999999999</v>
      </c>
      <c r="HG4" s="128">
        <f>'PIT PAD Report -Density 0.8395 '!UF6</f>
        <v>0.20200000000000001</v>
      </c>
      <c r="HH4" s="128">
        <f>'PIT PAD Report -Density 0.8395 '!UG6</f>
        <v>0.17799999999999999</v>
      </c>
      <c r="HI4" s="128">
        <f>'PIT PAD Report -Density 0.8395 '!UH6</f>
        <v>0.189</v>
      </c>
      <c r="HJ4" s="128">
        <f>'PIT PAD Report -Density 0.8395 '!UI6</f>
        <v>0.20899999999999999</v>
      </c>
      <c r="HK4" s="128">
        <f>'PIT PAD Report -Density 0.8395 '!UJ6</f>
        <v>0.2114</v>
      </c>
      <c r="HL4" s="128">
        <f>'PIT PAD Report -Density 0.8395 '!UK6</f>
        <v>0.15759999999999999</v>
      </c>
      <c r="HM4" s="128">
        <f>'PIT PAD Report -Density 0.8395 '!UL6</f>
        <v>0.17</v>
      </c>
      <c r="HN4" s="128">
        <f>'PIT PAD Report -Density 0.8395 '!UM6</f>
        <v>0.16800000000000001</v>
      </c>
      <c r="HO4" s="128">
        <f>'PIT PAD Report -Density 0.8395 '!UN6</f>
        <v>0.191</v>
      </c>
      <c r="HP4" s="128">
        <f>'PIT PAD Report -Density 0.8395 '!UO6</f>
        <v>0.187</v>
      </c>
      <c r="HQ4" s="128">
        <f>'PIT PAD Report -Density 0.8395 '!UP6</f>
        <v>0.17799999999999999</v>
      </c>
      <c r="HR4" s="128">
        <f>'PIT PAD Report -Density 0.8395 '!UQ6</f>
        <v>0.15659999999999999</v>
      </c>
      <c r="HS4" s="128">
        <f>'PIT PAD Report -Density 0.8395 '!UR6</f>
        <v>0.1734</v>
      </c>
      <c r="HT4" s="128">
        <f>'PIT PAD Report -Density 0.8395 '!US6</f>
        <v>0.18099999999999999</v>
      </c>
      <c r="HU4" s="128">
        <f>'PIT PAD Report -Density 0.8395 '!UT6</f>
        <v>0.189</v>
      </c>
      <c r="HV4" s="128">
        <f>'PIT PAD Report -Density 0.8395 '!UU6</f>
        <v>0.111</v>
      </c>
      <c r="HW4" s="128">
        <f>'PIT PAD Report -Density 0.8395 '!UV6</f>
        <v>0.111</v>
      </c>
      <c r="HX4" s="128">
        <f>'PIT PAD Report -Density 0.8395 '!UW6</f>
        <v>0.111</v>
      </c>
      <c r="HY4" s="128">
        <f>'PIT PAD Report -Density 0.8395 '!UX6</f>
        <v>0.111</v>
      </c>
      <c r="HZ4" s="128">
        <f>'PIT PAD Report -Density 0.8395 '!UY6</f>
        <v>0.111</v>
      </c>
      <c r="IA4" s="128">
        <f>'PIT PAD Report -Density 0.8395 '!UZ6</f>
        <v>0.19</v>
      </c>
      <c r="IB4" s="128">
        <f>'PIT PAD Report -Density 0.8395 '!VA6</f>
        <v>0.17</v>
      </c>
      <c r="IC4" s="128">
        <f>'PIT PAD Report -Density 0.8395 '!VB6</f>
        <v>0.191</v>
      </c>
      <c r="ID4" s="128">
        <f>'PIT PAD Report -Density 0.8395 '!VC6</f>
        <v>0.2</v>
      </c>
      <c r="IE4" s="128">
        <f>'PIT PAD Report -Density 0.8395 '!VD6</f>
        <v>0.188</v>
      </c>
      <c r="IF4" s="128">
        <f>'PIT PAD Report -Density 0.8395 '!VE6</f>
        <v>0.184</v>
      </c>
      <c r="IG4" s="128">
        <f>'PIT PAD Report -Density 0.8395 '!VF6</f>
        <v>0.189</v>
      </c>
      <c r="IH4" s="128">
        <f>'PIT PAD Report -Density 0.8395 '!VG6</f>
        <v>0.159</v>
      </c>
      <c r="II4" s="128">
        <f>'PIT PAD Report -Density 0.8395 '!VH6</f>
        <v>0.17199999999999999</v>
      </c>
      <c r="IJ4" s="128">
        <f>'PIT PAD Report -Density 0.8395 '!VI6</f>
        <v>0.16839999999999999</v>
      </c>
      <c r="IK4" s="128">
        <f>'PIT PAD Report -Density 0.8395 '!VJ6</f>
        <v>0.1595</v>
      </c>
      <c r="IL4" s="128">
        <f>'PIT PAD Report -Density 0.8395 '!VK6</f>
        <v>0.17199999999999999</v>
      </c>
      <c r="IM4" s="377"/>
    </row>
    <row r="5" spans="3:247" x14ac:dyDescent="0.2">
      <c r="C5">
        <v>7886.6440000000011</v>
      </c>
      <c r="D5">
        <v>7867.1400000000012</v>
      </c>
      <c r="E5">
        <v>6637.22</v>
      </c>
      <c r="F5">
        <v>8164.2599999999993</v>
      </c>
      <c r="G5">
        <v>6352.2199999999993</v>
      </c>
      <c r="H5">
        <v>7679.2759999999998</v>
      </c>
      <c r="I5">
        <v>6701.94</v>
      </c>
      <c r="J5">
        <v>7832.8050000000003</v>
      </c>
      <c r="K5">
        <v>6295.32</v>
      </c>
      <c r="L5">
        <v>6320.8399999999992</v>
      </c>
      <c r="M5">
        <v>7695.36</v>
      </c>
      <c r="N5">
        <v>6173.5199999999995</v>
      </c>
      <c r="O5">
        <v>7670.3550000000005</v>
      </c>
      <c r="P5">
        <v>8017.6200000000008</v>
      </c>
      <c r="Q5">
        <v>6619.86</v>
      </c>
      <c r="R5">
        <v>8088.5479999999998</v>
      </c>
      <c r="S5">
        <v>6462.7979999999998</v>
      </c>
      <c r="T5">
        <v>7539.2279999999992</v>
      </c>
      <c r="U5">
        <v>6534.4850000000006</v>
      </c>
      <c r="V5">
        <v>7977.0599999999995</v>
      </c>
      <c r="W5">
        <v>6296.4670000000006</v>
      </c>
      <c r="X5">
        <v>7877.3850000000002</v>
      </c>
      <c r="Y5">
        <v>5965.7040000000006</v>
      </c>
      <c r="Z5">
        <v>7684.6590000000006</v>
      </c>
      <c r="AA5">
        <v>6272.37</v>
      </c>
      <c r="AB5">
        <v>8336.7060000000001</v>
      </c>
      <c r="AC5">
        <v>6648.0749999999989</v>
      </c>
      <c r="AD5">
        <v>7512.57</v>
      </c>
      <c r="AE5">
        <v>6476.4719999999998</v>
      </c>
      <c r="AF5">
        <v>8164.2120000000004</v>
      </c>
      <c r="AG5">
        <v>6594.12</v>
      </c>
      <c r="AH5">
        <v>8056.1640000000007</v>
      </c>
      <c r="AI5">
        <v>6337.1140000000005</v>
      </c>
      <c r="AJ5">
        <v>7162.0380000000005</v>
      </c>
      <c r="AK5">
        <v>6074.9780000000001</v>
      </c>
      <c r="AL5">
        <v>7441.4479999999994</v>
      </c>
      <c r="AM5">
        <v>6338.1699999999992</v>
      </c>
      <c r="AN5">
        <v>7658.4999999999991</v>
      </c>
      <c r="AO5">
        <v>6528.8759999999993</v>
      </c>
      <c r="AP5">
        <v>7281.6839999999993</v>
      </c>
      <c r="AQ5">
        <v>6420.5760000000009</v>
      </c>
      <c r="AR5">
        <v>7496.3771999999999</v>
      </c>
      <c r="AS5">
        <v>6520.8519999999999</v>
      </c>
      <c r="AT5">
        <v>6861.91</v>
      </c>
      <c r="AU5">
        <v>6223.14</v>
      </c>
      <c r="AV5">
        <v>7435.0590000000002</v>
      </c>
      <c r="AW5">
        <v>7837.9727999999996</v>
      </c>
      <c r="AX5">
        <v>5709.06</v>
      </c>
      <c r="AY5">
        <v>6450.9791999999998</v>
      </c>
      <c r="AZ5">
        <v>7558.42</v>
      </c>
      <c r="BA5">
        <v>5866.9890000000005</v>
      </c>
      <c r="BB5">
        <v>7698.1050000000005</v>
      </c>
      <c r="BC5">
        <v>8077.9999999999991</v>
      </c>
      <c r="BD5">
        <v>6147.92</v>
      </c>
      <c r="BE5">
        <v>6243.1210000000001</v>
      </c>
      <c r="BF5">
        <v>7791.2290000000003</v>
      </c>
      <c r="BG5">
        <v>7391.25</v>
      </c>
      <c r="BH5">
        <v>5990.5157000000008</v>
      </c>
      <c r="BI5">
        <v>6173.7169999999996</v>
      </c>
      <c r="BJ5">
        <v>7658.6796000000004</v>
      </c>
      <c r="BK5">
        <v>4240.1379999999999</v>
      </c>
      <c r="BL5">
        <v>1758.6690000000001</v>
      </c>
      <c r="BM5">
        <v>4773.8140000000003</v>
      </c>
      <c r="BN5">
        <v>4862.942</v>
      </c>
      <c r="BO5">
        <v>4688.5860000000002</v>
      </c>
      <c r="BP5">
        <v>5103.527</v>
      </c>
      <c r="BQ5">
        <v>5256.8099999999995</v>
      </c>
      <c r="BR5">
        <v>4911.7480000000005</v>
      </c>
      <c r="BS5">
        <v>4923.1619999999994</v>
      </c>
      <c r="BT5">
        <v>5268.1710000000003</v>
      </c>
      <c r="BU5">
        <v>5032.6919999999991</v>
      </c>
      <c r="BV5">
        <v>5086.6230000000005</v>
      </c>
      <c r="BW5">
        <v>6273</v>
      </c>
      <c r="BX5">
        <v>6228.5279999999993</v>
      </c>
      <c r="BY5">
        <v>9398.3310000000001</v>
      </c>
      <c r="BZ5">
        <v>5685.2820000000002</v>
      </c>
      <c r="CA5">
        <v>8165.9340000000002</v>
      </c>
      <c r="CB5">
        <v>8013.5730000000003</v>
      </c>
      <c r="CC5">
        <v>6488.0820000000003</v>
      </c>
      <c r="CD5">
        <v>8039.2049999999999</v>
      </c>
      <c r="CE5">
        <v>6565.4119999999994</v>
      </c>
      <c r="CF5">
        <v>7916.5410000000002</v>
      </c>
      <c r="CG5">
        <v>6481.9980000000005</v>
      </c>
      <c r="CH5">
        <v>6159.1050000000005</v>
      </c>
      <c r="CI5">
        <v>8360.1919999999991</v>
      </c>
      <c r="CJ5">
        <v>7351.7759999999998</v>
      </c>
      <c r="CK5">
        <v>6210.1959999999999</v>
      </c>
      <c r="CL5">
        <v>5977.2279999999992</v>
      </c>
      <c r="CM5">
        <v>7949.9519999999993</v>
      </c>
      <c r="CN5">
        <v>4723.0499999999993</v>
      </c>
      <c r="CO5">
        <v>8702.9250000000011</v>
      </c>
      <c r="CP5">
        <v>6970.2480000000005</v>
      </c>
      <c r="CQ5">
        <v>9064.0770000000011</v>
      </c>
      <c r="CR5">
        <v>7282.96</v>
      </c>
      <c r="CS5">
        <v>9194.2759999999998</v>
      </c>
      <c r="CT5">
        <v>7349.8719999999994</v>
      </c>
      <c r="CU5">
        <v>8985.273000000001</v>
      </c>
      <c r="CV5">
        <v>6963.973</v>
      </c>
      <c r="CW5">
        <v>8998.1650000000009</v>
      </c>
      <c r="CX5">
        <v>6872.32</v>
      </c>
      <c r="CY5">
        <v>8707.9650000000001</v>
      </c>
      <c r="CZ5">
        <v>8691.9179999999997</v>
      </c>
      <c r="DA5">
        <v>7116.12</v>
      </c>
      <c r="DB5">
        <v>8246.6949999999997</v>
      </c>
      <c r="DC5">
        <v>6975.5839999999998</v>
      </c>
      <c r="DD5">
        <v>6967.2010000000009</v>
      </c>
      <c r="DE5">
        <v>8923.1999999999989</v>
      </c>
      <c r="DF5">
        <v>8795.7160000000003</v>
      </c>
      <c r="DG5">
        <v>7060.3140000000003</v>
      </c>
      <c r="DH5">
        <v>7176.0150000000003</v>
      </c>
      <c r="DI5">
        <v>4886.7119999999995</v>
      </c>
      <c r="DJ5">
        <v>8821.8900000000012</v>
      </c>
      <c r="DK5">
        <v>9234.4230000000007</v>
      </c>
      <c r="DL5">
        <v>7229.9699999999993</v>
      </c>
      <c r="DM5">
        <v>9000.3870000000006</v>
      </c>
      <c r="DN5">
        <v>7315.4157999999998</v>
      </c>
      <c r="DO5">
        <v>7162.0285000000003</v>
      </c>
      <c r="DP5">
        <v>7381.0654999999997</v>
      </c>
      <c r="DQ5">
        <v>8562.6743999999999</v>
      </c>
      <c r="DR5">
        <v>6972.96</v>
      </c>
      <c r="DS5">
        <v>8876.3136000000013</v>
      </c>
      <c r="DT5">
        <v>7033.6266000000005</v>
      </c>
      <c r="DU5">
        <v>4374.7392</v>
      </c>
      <c r="DV5">
        <v>7033.8247999999994</v>
      </c>
      <c r="DW5">
        <v>5772.2807999999995</v>
      </c>
      <c r="DX5">
        <v>7457.7932000000001</v>
      </c>
      <c r="DY5">
        <v>5549.1487999999999</v>
      </c>
      <c r="DZ5">
        <v>5892.7939999999999</v>
      </c>
      <c r="EA5">
        <v>7130.0349999999999</v>
      </c>
      <c r="EB5">
        <v>6662.0223999999998</v>
      </c>
      <c r="EC5">
        <v>7753.5150000000003</v>
      </c>
      <c r="ED5">
        <v>6703.6140000000005</v>
      </c>
      <c r="EE5">
        <v>8320.7584000000006</v>
      </c>
      <c r="EF5">
        <v>6543.3912</v>
      </c>
      <c r="EG5">
        <v>8716.9610000000011</v>
      </c>
      <c r="EH5">
        <v>6809.88</v>
      </c>
      <c r="EI5">
        <v>8636.8590000000004</v>
      </c>
      <c r="EJ5">
        <v>6730.02</v>
      </c>
      <c r="EK5">
        <v>8272.32</v>
      </c>
      <c r="EL5">
        <v>7183.2096000000001</v>
      </c>
      <c r="EM5">
        <v>8298.909599999999</v>
      </c>
      <c r="EN5">
        <v>6727.5999999999995</v>
      </c>
      <c r="EO5">
        <v>8284.5750000000007</v>
      </c>
      <c r="EP5">
        <v>6224.8559999999998</v>
      </c>
      <c r="EQ5">
        <v>7902.7879999999996</v>
      </c>
      <c r="ER5">
        <v>6441.119999999999</v>
      </c>
      <c r="ES5">
        <v>6745.1778000000004</v>
      </c>
      <c r="ET5">
        <v>8116.2159999999994</v>
      </c>
      <c r="EU5">
        <v>8430.65</v>
      </c>
      <c r="EV5">
        <v>6374.2919999999995</v>
      </c>
      <c r="EW5">
        <v>8096.5770000000002</v>
      </c>
      <c r="EX5">
        <v>6691.6919999999991</v>
      </c>
      <c r="EY5">
        <v>6536.2559999999994</v>
      </c>
      <c r="EZ5">
        <v>8636.7371999999996</v>
      </c>
      <c r="FA5">
        <v>6559.6930000000002</v>
      </c>
      <c r="FB5">
        <v>8217.8850000000002</v>
      </c>
      <c r="FC5">
        <v>6509.0839999999989</v>
      </c>
      <c r="FD5">
        <v>8262.64</v>
      </c>
      <c r="FE5">
        <v>7992.4440000000004</v>
      </c>
      <c r="FF5">
        <v>6574.4390000000003</v>
      </c>
      <c r="FG5">
        <v>8728.5</v>
      </c>
      <c r="FH5">
        <v>6725.5759999999991</v>
      </c>
      <c r="FI5">
        <v>6944.3945999999996</v>
      </c>
      <c r="FJ5">
        <v>8729.0069999999996</v>
      </c>
      <c r="FK5">
        <v>8490.24</v>
      </c>
      <c r="FL5">
        <v>6736.7430000000004</v>
      </c>
      <c r="FM5">
        <v>8362.1504000000004</v>
      </c>
      <c r="FN5">
        <v>6423.0719999999992</v>
      </c>
      <c r="FO5">
        <v>8210.7199999999993</v>
      </c>
      <c r="FP5">
        <v>6510.9930000000004</v>
      </c>
      <c r="FQ5">
        <v>8224.8369000000002</v>
      </c>
      <c r="FR5">
        <v>6514.7991999999995</v>
      </c>
      <c r="FS5">
        <v>8536.9007999999994</v>
      </c>
      <c r="FT5">
        <v>6733.0410000000002</v>
      </c>
      <c r="FU5">
        <v>8478.6239999999998</v>
      </c>
      <c r="FV5">
        <v>6667.7639999999992</v>
      </c>
      <c r="FW5">
        <v>8868.155999999999</v>
      </c>
      <c r="FX5">
        <v>6949.7649000000001</v>
      </c>
      <c r="FY5">
        <v>8890.4619999999995</v>
      </c>
      <c r="FZ5">
        <v>6723.99</v>
      </c>
      <c r="GA5">
        <v>8564.6</v>
      </c>
      <c r="GB5">
        <v>6888.5519999999997</v>
      </c>
      <c r="GC5">
        <v>8862.1280000000006</v>
      </c>
      <c r="GD5">
        <v>6726.1376</v>
      </c>
      <c r="GE5">
        <v>8489.7999999999993</v>
      </c>
      <c r="GF5">
        <v>6810.6239999999998</v>
      </c>
      <c r="GG5">
        <v>8766.4499999999989</v>
      </c>
      <c r="GH5">
        <v>6890.0535</v>
      </c>
      <c r="GI5">
        <v>9029.7167999999983</v>
      </c>
      <c r="GJ5">
        <v>6942.7121000000006</v>
      </c>
      <c r="GK5">
        <v>9036.7799999999988</v>
      </c>
      <c r="GL5">
        <v>6688.2816000000003</v>
      </c>
      <c r="GM5">
        <v>8830.5110000000004</v>
      </c>
      <c r="GN5">
        <v>7017.9999999999991</v>
      </c>
      <c r="GO5">
        <v>8716.4880000000012</v>
      </c>
      <c r="GP5">
        <v>6479.5415999999996</v>
      </c>
      <c r="GQ5">
        <v>8544.1039999999994</v>
      </c>
      <c r="GR5">
        <v>6909.7859999999991</v>
      </c>
      <c r="GS5">
        <v>6196.2</v>
      </c>
      <c r="GT5">
        <v>5348.88</v>
      </c>
      <c r="GU5">
        <v>5592.0419999999995</v>
      </c>
      <c r="GV5">
        <v>4842.0954999999994</v>
      </c>
      <c r="GW5">
        <v>5217.5720000000001</v>
      </c>
      <c r="GX5">
        <v>6164.8807999999999</v>
      </c>
      <c r="GY5">
        <v>9290.4439999999995</v>
      </c>
      <c r="GZ5">
        <v>7261.9779999999992</v>
      </c>
      <c r="HA5">
        <v>8461.8050000000003</v>
      </c>
      <c r="HB5">
        <v>6509.8439999999991</v>
      </c>
      <c r="HC5">
        <v>8700.0099999999984</v>
      </c>
      <c r="HD5">
        <v>6897.3144000000002</v>
      </c>
      <c r="HE5">
        <v>8867.2520000000004</v>
      </c>
      <c r="HF5">
        <v>6515.6459999999997</v>
      </c>
      <c r="HG5">
        <v>8242.9600000000009</v>
      </c>
      <c r="HH5">
        <v>4575.5581499999998</v>
      </c>
      <c r="HI5">
        <v>4518.6161499999998</v>
      </c>
      <c r="HJ5">
        <v>4907.3310000000001</v>
      </c>
      <c r="HK5">
        <v>4977.0369000000001</v>
      </c>
      <c r="HL5">
        <v>4698.6984000000002</v>
      </c>
      <c r="HM5">
        <v>6225.3360000000002</v>
      </c>
      <c r="HN5">
        <v>7262.6794799999989</v>
      </c>
      <c r="HO5">
        <v>8201.1069000000007</v>
      </c>
      <c r="HP5">
        <v>6203.6181000000006</v>
      </c>
      <c r="HQ5">
        <v>6004.9728000000005</v>
      </c>
      <c r="HR5">
        <v>7498.9317599999995</v>
      </c>
      <c r="HS5">
        <v>8045.0650800000003</v>
      </c>
      <c r="HT5">
        <v>6553.8414000000002</v>
      </c>
      <c r="HU5">
        <v>7709.0004000000008</v>
      </c>
      <c r="HV5">
        <v>2831.7168000000001</v>
      </c>
      <c r="HW5">
        <v>4012.5987000000005</v>
      </c>
      <c r="HX5">
        <v>2417.7582000000002</v>
      </c>
      <c r="HY5">
        <v>2472.7527</v>
      </c>
      <c r="HZ5">
        <v>2307.7692000000002</v>
      </c>
      <c r="IA5">
        <v>7272.0899999999992</v>
      </c>
      <c r="IB5">
        <v>6254.82</v>
      </c>
      <c r="IC5">
        <v>6278.1183000000001</v>
      </c>
      <c r="ID5">
        <v>7810.5599999999995</v>
      </c>
      <c r="IE5">
        <v>8121.6431999999995</v>
      </c>
      <c r="IF5">
        <v>6358.4351999999999</v>
      </c>
      <c r="IG5">
        <v>7715.4210000000003</v>
      </c>
      <c r="IH5">
        <v>6138.6435000000001</v>
      </c>
      <c r="II5">
        <v>6381.54</v>
      </c>
      <c r="IJ5">
        <v>7691.109840000001</v>
      </c>
      <c r="IK5">
        <v>5956.5833999999995</v>
      </c>
      <c r="IL5">
        <v>6311.9232000000002</v>
      </c>
      <c r="IM5">
        <f>SUM(C5:IL5)</f>
        <v>1709829.6323599992</v>
      </c>
    </row>
    <row r="6" spans="3:247" x14ac:dyDescent="0.2">
      <c r="C6">
        <v>6967</v>
      </c>
      <c r="D6">
        <v>6901</v>
      </c>
      <c r="E6">
        <v>5620</v>
      </c>
      <c r="F6">
        <v>6978</v>
      </c>
      <c r="G6">
        <v>5338</v>
      </c>
      <c r="H6">
        <v>6586</v>
      </c>
      <c r="I6">
        <v>5670</v>
      </c>
      <c r="J6">
        <v>6735</v>
      </c>
      <c r="K6">
        <v>5427</v>
      </c>
      <c r="L6">
        <v>5449</v>
      </c>
      <c r="M6">
        <v>6680</v>
      </c>
      <c r="N6">
        <v>5322</v>
      </c>
      <c r="O6">
        <v>6641</v>
      </c>
      <c r="P6">
        <v>7033</v>
      </c>
      <c r="Q6">
        <v>5658</v>
      </c>
      <c r="R6">
        <v>6763</v>
      </c>
      <c r="S6">
        <v>5581</v>
      </c>
      <c r="T6">
        <v>6477</v>
      </c>
      <c r="U6">
        <v>5609</v>
      </c>
      <c r="V6">
        <v>6818</v>
      </c>
      <c r="W6">
        <v>5377</v>
      </c>
      <c r="X6">
        <v>6785</v>
      </c>
      <c r="Y6">
        <v>5112</v>
      </c>
      <c r="Z6">
        <v>6619</v>
      </c>
      <c r="AA6">
        <v>5361</v>
      </c>
      <c r="AB6">
        <v>7077</v>
      </c>
      <c r="AC6">
        <v>5670</v>
      </c>
      <c r="AD6">
        <v>6421</v>
      </c>
      <c r="AE6">
        <v>5526</v>
      </c>
      <c r="AF6">
        <v>6972</v>
      </c>
      <c r="AG6">
        <v>5636</v>
      </c>
      <c r="AH6">
        <v>6868</v>
      </c>
      <c r="AI6">
        <v>5554</v>
      </c>
      <c r="AJ6">
        <v>6266</v>
      </c>
      <c r="AK6">
        <v>5278</v>
      </c>
      <c r="AL6">
        <v>6404</v>
      </c>
      <c r="AM6">
        <v>5609</v>
      </c>
      <c r="AN6">
        <v>6625</v>
      </c>
      <c r="AO6">
        <v>5609</v>
      </c>
      <c r="AP6">
        <v>6354</v>
      </c>
      <c r="AQ6">
        <v>5692</v>
      </c>
      <c r="AR6">
        <v>6487</v>
      </c>
      <c r="AS6">
        <v>5636</v>
      </c>
      <c r="AT6">
        <v>5885</v>
      </c>
      <c r="AU6">
        <v>5388</v>
      </c>
      <c r="AV6">
        <v>6393</v>
      </c>
      <c r="AW6">
        <v>6818</v>
      </c>
      <c r="AX6">
        <v>4925</v>
      </c>
      <c r="AY6">
        <v>5493</v>
      </c>
      <c r="AZ6">
        <v>6680</v>
      </c>
      <c r="BA6">
        <v>5151</v>
      </c>
      <c r="BB6">
        <v>6735</v>
      </c>
      <c r="BC6">
        <v>7000</v>
      </c>
      <c r="BD6">
        <v>5360</v>
      </c>
      <c r="BE6">
        <v>5443</v>
      </c>
      <c r="BF6">
        <v>6901</v>
      </c>
      <c r="BG6">
        <v>6570</v>
      </c>
      <c r="BH6">
        <v>5377</v>
      </c>
      <c r="BI6">
        <v>5449</v>
      </c>
      <c r="BJ6">
        <v>6669</v>
      </c>
      <c r="BK6">
        <v>3649</v>
      </c>
      <c r="BL6">
        <v>1507</v>
      </c>
      <c r="BM6">
        <v>4162</v>
      </c>
      <c r="BN6">
        <v>4262</v>
      </c>
      <c r="BO6">
        <v>4102</v>
      </c>
      <c r="BP6">
        <v>4411</v>
      </c>
      <c r="BQ6">
        <v>4493</v>
      </c>
      <c r="BR6">
        <v>4339</v>
      </c>
      <c r="BS6">
        <v>4311</v>
      </c>
      <c r="BT6">
        <v>4593</v>
      </c>
      <c r="BU6">
        <v>4438</v>
      </c>
      <c r="BV6">
        <v>4427</v>
      </c>
      <c r="BW6">
        <v>5576</v>
      </c>
      <c r="BX6">
        <v>5388</v>
      </c>
      <c r="BY6">
        <v>8109</v>
      </c>
      <c r="BZ6">
        <v>4974</v>
      </c>
      <c r="CA6">
        <v>7182</v>
      </c>
      <c r="CB6">
        <v>7011</v>
      </c>
      <c r="CC6">
        <v>5598</v>
      </c>
      <c r="CD6">
        <v>7083</v>
      </c>
      <c r="CE6">
        <v>5719</v>
      </c>
      <c r="CF6">
        <v>6807</v>
      </c>
      <c r="CG6">
        <v>5526</v>
      </c>
      <c r="CH6">
        <v>5305</v>
      </c>
      <c r="CI6">
        <v>7232</v>
      </c>
      <c r="CJ6">
        <v>6432</v>
      </c>
      <c r="CK6">
        <v>5438</v>
      </c>
      <c r="CL6">
        <v>5234</v>
      </c>
      <c r="CM6">
        <v>6901</v>
      </c>
      <c r="CN6">
        <v>4107</v>
      </c>
      <c r="CO6">
        <v>7535</v>
      </c>
      <c r="CP6">
        <v>5912</v>
      </c>
      <c r="CQ6">
        <v>7701</v>
      </c>
      <c r="CR6">
        <v>6172</v>
      </c>
      <c r="CS6">
        <v>7772</v>
      </c>
      <c r="CT6">
        <v>6166</v>
      </c>
      <c r="CU6">
        <v>7557</v>
      </c>
      <c r="CV6">
        <v>5857</v>
      </c>
      <c r="CW6">
        <v>7645</v>
      </c>
      <c r="CX6">
        <v>5824</v>
      </c>
      <c r="CY6">
        <v>7287</v>
      </c>
      <c r="CZ6">
        <v>7298</v>
      </c>
      <c r="DA6">
        <v>5940</v>
      </c>
      <c r="DB6">
        <v>6901</v>
      </c>
      <c r="DC6">
        <v>5852</v>
      </c>
      <c r="DD6">
        <v>5669</v>
      </c>
      <c r="DE6">
        <v>7436</v>
      </c>
      <c r="DF6">
        <v>7342</v>
      </c>
      <c r="DG6">
        <v>5703</v>
      </c>
      <c r="DH6">
        <v>5995</v>
      </c>
      <c r="DI6">
        <v>4052</v>
      </c>
      <c r="DJ6">
        <v>7370</v>
      </c>
      <c r="DK6">
        <v>7563</v>
      </c>
      <c r="DL6">
        <v>5995</v>
      </c>
      <c r="DM6">
        <v>7557</v>
      </c>
      <c r="DN6">
        <v>6083</v>
      </c>
      <c r="DO6">
        <v>5951</v>
      </c>
      <c r="DP6">
        <v>6133</v>
      </c>
      <c r="DQ6">
        <v>7204</v>
      </c>
      <c r="DR6">
        <v>5840</v>
      </c>
      <c r="DS6">
        <v>7392</v>
      </c>
      <c r="DT6">
        <v>6006</v>
      </c>
      <c r="DU6">
        <v>4124</v>
      </c>
      <c r="DV6">
        <v>6652</v>
      </c>
      <c r="DW6">
        <v>5421</v>
      </c>
      <c r="DX6">
        <v>7033</v>
      </c>
      <c r="DY6">
        <v>5239</v>
      </c>
      <c r="DZ6">
        <v>5554</v>
      </c>
      <c r="EA6">
        <v>6823</v>
      </c>
      <c r="EB6">
        <v>6017</v>
      </c>
      <c r="EC6">
        <v>6713</v>
      </c>
      <c r="ED6">
        <v>5774</v>
      </c>
      <c r="EE6">
        <v>7243</v>
      </c>
      <c r="EF6">
        <v>5758</v>
      </c>
      <c r="EG6">
        <v>7381</v>
      </c>
      <c r="EH6">
        <v>5896</v>
      </c>
      <c r="EI6">
        <v>7623</v>
      </c>
      <c r="EJ6">
        <v>5940</v>
      </c>
      <c r="EK6">
        <v>7386</v>
      </c>
      <c r="EL6">
        <v>6216</v>
      </c>
      <c r="EM6">
        <v>7386</v>
      </c>
      <c r="EN6">
        <v>6050</v>
      </c>
      <c r="EO6">
        <v>7325</v>
      </c>
      <c r="EP6">
        <v>5548</v>
      </c>
      <c r="EQ6">
        <v>7204</v>
      </c>
      <c r="ER6">
        <v>5680</v>
      </c>
      <c r="ES6">
        <v>5934</v>
      </c>
      <c r="ET6">
        <v>7132</v>
      </c>
      <c r="EU6">
        <v>7331</v>
      </c>
      <c r="EV6">
        <v>5631</v>
      </c>
      <c r="EW6">
        <v>7121</v>
      </c>
      <c r="EX6">
        <v>5829</v>
      </c>
      <c r="EY6">
        <v>5664</v>
      </c>
      <c r="EZ6">
        <v>7397</v>
      </c>
      <c r="FA6">
        <v>5719</v>
      </c>
      <c r="FB6">
        <v>7215</v>
      </c>
      <c r="FC6">
        <v>5791</v>
      </c>
      <c r="FD6">
        <v>7160</v>
      </c>
      <c r="FE6">
        <v>6956</v>
      </c>
      <c r="FF6">
        <v>5653</v>
      </c>
      <c r="FG6">
        <v>7590</v>
      </c>
      <c r="FH6">
        <v>5879</v>
      </c>
      <c r="FI6">
        <v>5967</v>
      </c>
      <c r="FJ6">
        <v>7485</v>
      </c>
      <c r="FK6">
        <v>7370</v>
      </c>
      <c r="FL6">
        <v>5967</v>
      </c>
      <c r="FM6">
        <v>7408</v>
      </c>
      <c r="FN6">
        <v>5818</v>
      </c>
      <c r="FO6">
        <v>7331</v>
      </c>
      <c r="FP6">
        <v>5829</v>
      </c>
      <c r="FQ6">
        <v>7287</v>
      </c>
      <c r="FR6">
        <v>5747</v>
      </c>
      <c r="FS6">
        <v>7314</v>
      </c>
      <c r="FT6">
        <v>5901</v>
      </c>
      <c r="FU6">
        <v>7392</v>
      </c>
      <c r="FV6">
        <v>5758</v>
      </c>
      <c r="FW6">
        <v>7590</v>
      </c>
      <c r="FX6">
        <v>5967</v>
      </c>
      <c r="FY6">
        <v>7651</v>
      </c>
      <c r="FZ6">
        <v>5747</v>
      </c>
      <c r="GA6">
        <v>7480</v>
      </c>
      <c r="GB6">
        <v>5918</v>
      </c>
      <c r="GC6">
        <v>7568</v>
      </c>
      <c r="GD6">
        <v>5824</v>
      </c>
      <c r="GE6">
        <v>7480</v>
      </c>
      <c r="GF6">
        <v>5912</v>
      </c>
      <c r="GG6">
        <v>7623</v>
      </c>
      <c r="GH6">
        <v>5995</v>
      </c>
      <c r="GI6">
        <v>7822</v>
      </c>
      <c r="GJ6">
        <v>6023</v>
      </c>
      <c r="GK6">
        <v>7927</v>
      </c>
      <c r="GL6">
        <v>5824</v>
      </c>
      <c r="GM6">
        <v>7541</v>
      </c>
      <c r="GN6">
        <v>6050</v>
      </c>
      <c r="GO6">
        <v>7535</v>
      </c>
      <c r="GP6">
        <v>5658</v>
      </c>
      <c r="GQ6">
        <v>7508</v>
      </c>
      <c r="GR6">
        <v>5967</v>
      </c>
      <c r="GS6">
        <v>5388</v>
      </c>
      <c r="GT6">
        <v>4560</v>
      </c>
      <c r="GU6">
        <v>4731</v>
      </c>
      <c r="GV6">
        <v>4565</v>
      </c>
      <c r="GW6">
        <v>4709</v>
      </c>
      <c r="GX6">
        <v>5476</v>
      </c>
      <c r="GY6">
        <v>7927</v>
      </c>
      <c r="GZ6">
        <v>6359</v>
      </c>
      <c r="HA6">
        <v>7535</v>
      </c>
      <c r="HB6">
        <v>5802</v>
      </c>
      <c r="HC6">
        <v>7645</v>
      </c>
      <c r="HD6">
        <v>6078</v>
      </c>
      <c r="HE6">
        <v>7816</v>
      </c>
      <c r="HF6">
        <v>5802</v>
      </c>
      <c r="HG6">
        <v>7480</v>
      </c>
      <c r="HH6">
        <v>4245</v>
      </c>
      <c r="HI6">
        <v>4471</v>
      </c>
      <c r="HJ6">
        <v>4510</v>
      </c>
      <c r="HK6">
        <v>4565</v>
      </c>
      <c r="HL6">
        <v>4510</v>
      </c>
      <c r="HM6">
        <v>5912</v>
      </c>
      <c r="HN6">
        <v>6967</v>
      </c>
      <c r="HO6">
        <v>7651</v>
      </c>
      <c r="HP6">
        <v>5807</v>
      </c>
      <c r="HQ6">
        <v>5664</v>
      </c>
      <c r="HR6">
        <v>7204</v>
      </c>
      <c r="HS6">
        <v>7618</v>
      </c>
      <c r="HT6">
        <v>6166</v>
      </c>
      <c r="HU6">
        <v>7204</v>
      </c>
      <c r="HV6">
        <v>2832</v>
      </c>
      <c r="HW6">
        <v>4013</v>
      </c>
      <c r="HX6">
        <v>2418</v>
      </c>
      <c r="HY6">
        <v>2473</v>
      </c>
      <c r="HZ6">
        <v>2308</v>
      </c>
      <c r="IA6">
        <v>6790</v>
      </c>
      <c r="IB6">
        <v>5940</v>
      </c>
      <c r="IC6">
        <v>5857</v>
      </c>
      <c r="ID6">
        <v>7232</v>
      </c>
      <c r="IE6">
        <v>7596</v>
      </c>
      <c r="IF6">
        <v>5967</v>
      </c>
      <c r="IG6">
        <v>7210</v>
      </c>
      <c r="IH6">
        <v>5885</v>
      </c>
      <c r="II6">
        <v>6050</v>
      </c>
      <c r="IJ6">
        <v>7314</v>
      </c>
      <c r="IK6">
        <v>5708</v>
      </c>
      <c r="IL6">
        <v>5984</v>
      </c>
      <c r="IM6">
        <f>SUM(C6:IL6)</f>
        <v>1497570</v>
      </c>
    </row>
    <row r="7" spans="3:247" x14ac:dyDescent="0.2">
      <c r="C7">
        <v>8058</v>
      </c>
      <c r="D7">
        <v>7543</v>
      </c>
      <c r="E7">
        <v>8170</v>
      </c>
      <c r="F7">
        <v>8153</v>
      </c>
      <c r="G7">
        <v>7433</v>
      </c>
      <c r="H7">
        <v>6877</v>
      </c>
      <c r="I7">
        <v>4880</v>
      </c>
      <c r="J7">
        <v>7397</v>
      </c>
      <c r="K7">
        <v>4589</v>
      </c>
      <c r="L7">
        <v>7923</v>
      </c>
      <c r="M7">
        <v>8100</v>
      </c>
      <c r="N7">
        <v>7171</v>
      </c>
      <c r="O7">
        <v>7201</v>
      </c>
      <c r="P7">
        <v>8597</v>
      </c>
      <c r="Q7">
        <v>5880</v>
      </c>
      <c r="R7">
        <v>5674</v>
      </c>
      <c r="S7">
        <v>9002</v>
      </c>
      <c r="T7">
        <v>7749</v>
      </c>
      <c r="U7">
        <v>7937</v>
      </c>
      <c r="V7">
        <v>7704</v>
      </c>
      <c r="W7">
        <v>8468</v>
      </c>
      <c r="X7">
        <v>7656</v>
      </c>
      <c r="Y7">
        <v>6473</v>
      </c>
      <c r="Z7">
        <v>5790</v>
      </c>
      <c r="AA7">
        <v>8492</v>
      </c>
      <c r="AB7">
        <v>7112</v>
      </c>
      <c r="AC7">
        <v>6802</v>
      </c>
      <c r="AD7">
        <v>7502</v>
      </c>
      <c r="AE7">
        <v>8126</v>
      </c>
      <c r="AF7">
        <v>6565</v>
      </c>
      <c r="AG7">
        <v>7775</v>
      </c>
      <c r="AH7">
        <v>6433</v>
      </c>
      <c r="AI7">
        <v>7025</v>
      </c>
      <c r="AJ7">
        <v>7122</v>
      </c>
      <c r="AK7">
        <v>4570</v>
      </c>
      <c r="AL7">
        <v>6527</v>
      </c>
      <c r="AM7">
        <v>7911</v>
      </c>
      <c r="AN7">
        <v>7154</v>
      </c>
      <c r="AO7">
        <v>6717</v>
      </c>
      <c r="AP7">
        <v>6629</v>
      </c>
      <c r="AQ7">
        <v>6812</v>
      </c>
      <c r="AR7">
        <v>6780</v>
      </c>
      <c r="AS7">
        <v>5846</v>
      </c>
      <c r="AT7">
        <v>4718</v>
      </c>
      <c r="AU7">
        <v>6821</v>
      </c>
      <c r="AV7">
        <v>7443</v>
      </c>
      <c r="AW7">
        <v>7635</v>
      </c>
      <c r="AX7">
        <v>6540</v>
      </c>
      <c r="AY7">
        <v>7126</v>
      </c>
      <c r="AZ7">
        <v>6431</v>
      </c>
      <c r="BA7">
        <v>6411</v>
      </c>
      <c r="BB7">
        <v>5601</v>
      </c>
      <c r="BC7">
        <v>5998</v>
      </c>
      <c r="BD7">
        <v>6869</v>
      </c>
      <c r="BE7">
        <v>7523</v>
      </c>
      <c r="BF7">
        <v>7745</v>
      </c>
      <c r="BG7">
        <v>8402</v>
      </c>
      <c r="BH7">
        <v>6813</v>
      </c>
      <c r="BI7">
        <v>7355</v>
      </c>
      <c r="BJ7">
        <v>7300</v>
      </c>
      <c r="BK7">
        <v>6812</v>
      </c>
      <c r="BL7">
        <v>6568</v>
      </c>
      <c r="BM7">
        <v>2660</v>
      </c>
      <c r="BN7">
        <v>5859</v>
      </c>
      <c r="BO7">
        <v>6884</v>
      </c>
      <c r="BP7">
        <v>4914</v>
      </c>
      <c r="BQ7">
        <v>5236</v>
      </c>
      <c r="BR7">
        <v>5734</v>
      </c>
      <c r="BS7">
        <v>5512</v>
      </c>
      <c r="BT7">
        <v>5006</v>
      </c>
      <c r="BU7">
        <v>6043</v>
      </c>
      <c r="BV7">
        <v>4872</v>
      </c>
      <c r="BW7">
        <v>5436</v>
      </c>
      <c r="BX7">
        <v>6827</v>
      </c>
      <c r="BY7">
        <v>6483</v>
      </c>
      <c r="BZ7">
        <v>6462</v>
      </c>
      <c r="CA7">
        <v>7332</v>
      </c>
      <c r="CB7">
        <v>6701</v>
      </c>
      <c r="CC7">
        <v>6252</v>
      </c>
      <c r="CD7">
        <v>7000</v>
      </c>
      <c r="CE7">
        <v>6877</v>
      </c>
      <c r="CF7">
        <v>6485</v>
      </c>
      <c r="CG7">
        <v>7707</v>
      </c>
      <c r="CH7">
        <v>7011</v>
      </c>
      <c r="CI7">
        <v>7268</v>
      </c>
      <c r="CJ7">
        <v>7572</v>
      </c>
      <c r="CK7">
        <v>6294</v>
      </c>
      <c r="CL7">
        <v>5923</v>
      </c>
      <c r="CM7">
        <v>6346</v>
      </c>
      <c r="CN7">
        <v>7668</v>
      </c>
      <c r="CO7">
        <v>7027</v>
      </c>
      <c r="CP7">
        <v>7277</v>
      </c>
      <c r="CQ7">
        <v>6695</v>
      </c>
      <c r="CR7">
        <v>7943</v>
      </c>
      <c r="CS7">
        <v>7499</v>
      </c>
      <c r="CT7">
        <v>7827</v>
      </c>
      <c r="CU7">
        <v>7888</v>
      </c>
      <c r="CV7">
        <v>7520</v>
      </c>
      <c r="CW7">
        <v>7931</v>
      </c>
      <c r="CX7">
        <v>7893</v>
      </c>
      <c r="CY7">
        <v>7961</v>
      </c>
      <c r="CZ7">
        <v>7799</v>
      </c>
      <c r="DA7">
        <v>8173</v>
      </c>
      <c r="DB7">
        <v>8404</v>
      </c>
      <c r="DC7">
        <v>8168</v>
      </c>
      <c r="DD7">
        <v>7345</v>
      </c>
      <c r="DE7">
        <v>7145</v>
      </c>
      <c r="DF7">
        <v>7461</v>
      </c>
      <c r="DG7">
        <v>6334</v>
      </c>
      <c r="DH7">
        <v>7619</v>
      </c>
      <c r="DI7">
        <v>7093</v>
      </c>
      <c r="DJ7">
        <v>5499</v>
      </c>
      <c r="DK7">
        <v>7108</v>
      </c>
      <c r="DL7">
        <v>6435</v>
      </c>
      <c r="DM7">
        <v>7818</v>
      </c>
      <c r="DN7">
        <v>8190</v>
      </c>
      <c r="DO7">
        <v>6939</v>
      </c>
      <c r="DP7">
        <v>6584</v>
      </c>
      <c r="DQ7">
        <v>7916</v>
      </c>
      <c r="DR7">
        <v>7051</v>
      </c>
      <c r="DS7">
        <v>7098</v>
      </c>
      <c r="DT7">
        <v>7034</v>
      </c>
      <c r="DU7">
        <v>6538</v>
      </c>
      <c r="DV7">
        <v>5956</v>
      </c>
      <c r="DW7">
        <v>5585</v>
      </c>
      <c r="DX7">
        <v>6947</v>
      </c>
      <c r="DY7">
        <v>6816</v>
      </c>
      <c r="DZ7">
        <v>6325</v>
      </c>
      <c r="EA7">
        <v>4894</v>
      </c>
      <c r="EB7">
        <v>5932</v>
      </c>
      <c r="EC7">
        <v>7439</v>
      </c>
      <c r="ED7">
        <v>6854</v>
      </c>
      <c r="EE7">
        <v>7226</v>
      </c>
      <c r="EF7">
        <v>5813</v>
      </c>
      <c r="EG7">
        <v>8171</v>
      </c>
      <c r="EH7">
        <v>7133</v>
      </c>
      <c r="EI7">
        <v>7236</v>
      </c>
      <c r="EJ7">
        <v>5420</v>
      </c>
      <c r="EK7">
        <v>5901</v>
      </c>
      <c r="EL7">
        <v>4899</v>
      </c>
      <c r="EM7">
        <v>9254</v>
      </c>
      <c r="EN7">
        <v>6816</v>
      </c>
      <c r="EO7">
        <v>7559</v>
      </c>
      <c r="EP7">
        <v>6344</v>
      </c>
      <c r="EQ7">
        <v>4007</v>
      </c>
      <c r="ER7">
        <v>4854</v>
      </c>
      <c r="ES7">
        <v>7221</v>
      </c>
      <c r="ET7">
        <v>7742</v>
      </c>
      <c r="EU7">
        <v>8347</v>
      </c>
      <c r="EV7">
        <v>7646</v>
      </c>
      <c r="EW7">
        <v>7271</v>
      </c>
      <c r="EX7">
        <v>7846</v>
      </c>
      <c r="EY7">
        <v>7785</v>
      </c>
      <c r="EZ7">
        <v>6796</v>
      </c>
      <c r="FA7">
        <v>6298</v>
      </c>
      <c r="FB7">
        <v>7227</v>
      </c>
      <c r="FC7">
        <v>7017</v>
      </c>
      <c r="FD7">
        <v>7329</v>
      </c>
      <c r="FE7">
        <v>6728</v>
      </c>
      <c r="FF7">
        <v>7697</v>
      </c>
      <c r="FG7">
        <v>8493</v>
      </c>
      <c r="FH7">
        <v>5732</v>
      </c>
      <c r="FI7">
        <v>8167</v>
      </c>
      <c r="FJ7">
        <v>6662</v>
      </c>
      <c r="FK7">
        <v>7306</v>
      </c>
      <c r="FL7">
        <v>7640</v>
      </c>
      <c r="FM7">
        <v>7543</v>
      </c>
      <c r="FN7">
        <v>6784</v>
      </c>
      <c r="FO7">
        <v>7023</v>
      </c>
      <c r="FP7">
        <v>7531</v>
      </c>
      <c r="FQ7">
        <v>6787</v>
      </c>
      <c r="FR7">
        <v>6034</v>
      </c>
      <c r="FS7">
        <v>6241</v>
      </c>
      <c r="FT7">
        <v>5753</v>
      </c>
      <c r="FU7">
        <v>5304</v>
      </c>
      <c r="FV7">
        <v>6743</v>
      </c>
      <c r="FW7">
        <v>7500</v>
      </c>
      <c r="FX7">
        <v>7419</v>
      </c>
      <c r="FY7">
        <v>8069</v>
      </c>
      <c r="FZ7">
        <v>7091</v>
      </c>
      <c r="GA7">
        <v>7515</v>
      </c>
      <c r="GB7">
        <v>8700</v>
      </c>
      <c r="GC7">
        <v>7536</v>
      </c>
      <c r="GD7">
        <v>6216</v>
      </c>
      <c r="GE7">
        <v>7557</v>
      </c>
      <c r="GF7">
        <v>7092</v>
      </c>
      <c r="GG7">
        <v>7983</v>
      </c>
      <c r="GH7">
        <v>8519</v>
      </c>
      <c r="GI7">
        <v>8000</v>
      </c>
      <c r="GJ7">
        <v>6167</v>
      </c>
      <c r="GK7">
        <v>8178</v>
      </c>
      <c r="GL7">
        <v>7361</v>
      </c>
      <c r="GM7">
        <v>7795</v>
      </c>
      <c r="GN7">
        <v>7157</v>
      </c>
      <c r="GO7">
        <v>7760</v>
      </c>
      <c r="GP7">
        <v>8632</v>
      </c>
      <c r="GQ7">
        <v>7790</v>
      </c>
      <c r="GR7">
        <v>5508</v>
      </c>
      <c r="GS7">
        <v>7270</v>
      </c>
      <c r="GT7">
        <v>5143</v>
      </c>
      <c r="GU7">
        <v>4087</v>
      </c>
      <c r="GV7">
        <v>3488</v>
      </c>
      <c r="GW7">
        <v>3855</v>
      </c>
      <c r="GX7">
        <v>6765</v>
      </c>
      <c r="GY7">
        <v>7810</v>
      </c>
      <c r="GZ7">
        <v>7055</v>
      </c>
      <c r="HA7">
        <v>7800</v>
      </c>
      <c r="HB7">
        <v>6920</v>
      </c>
      <c r="HC7">
        <v>8212</v>
      </c>
      <c r="HD7">
        <v>6368</v>
      </c>
      <c r="HE7">
        <v>6527</v>
      </c>
      <c r="HF7">
        <v>6198</v>
      </c>
      <c r="HG7">
        <v>6244</v>
      </c>
      <c r="HH7">
        <v>5448</v>
      </c>
      <c r="HI7">
        <v>4346</v>
      </c>
      <c r="HJ7">
        <v>3683</v>
      </c>
      <c r="HK7">
        <v>4607</v>
      </c>
      <c r="HL7">
        <v>2937</v>
      </c>
      <c r="HM7">
        <v>6472</v>
      </c>
      <c r="HN7">
        <v>6845</v>
      </c>
      <c r="HO7">
        <v>7245</v>
      </c>
      <c r="HP7">
        <v>6882</v>
      </c>
      <c r="HQ7">
        <v>7160</v>
      </c>
      <c r="HR7">
        <v>5906</v>
      </c>
      <c r="HS7">
        <v>6728</v>
      </c>
      <c r="HT7">
        <v>6482</v>
      </c>
      <c r="HU7">
        <v>7046</v>
      </c>
      <c r="HV7">
        <v>2340</v>
      </c>
      <c r="HW7">
        <v>0</v>
      </c>
      <c r="HX7">
        <v>0</v>
      </c>
      <c r="HY7">
        <v>2962</v>
      </c>
      <c r="HZ7">
        <v>3073</v>
      </c>
      <c r="IA7">
        <v>6825</v>
      </c>
      <c r="IB7">
        <v>7263</v>
      </c>
      <c r="IC7">
        <v>8284</v>
      </c>
      <c r="ID7">
        <v>9160</v>
      </c>
      <c r="IE7">
        <v>8113</v>
      </c>
      <c r="IF7">
        <v>6358</v>
      </c>
      <c r="IG7">
        <v>6620</v>
      </c>
      <c r="IH7">
        <v>6082</v>
      </c>
      <c r="II7">
        <v>7323</v>
      </c>
      <c r="IJ7">
        <v>8633</v>
      </c>
      <c r="IK7">
        <v>7661</v>
      </c>
      <c r="IL7">
        <v>5857</v>
      </c>
      <c r="IM7">
        <f>SUM(C7:IL7)</f>
        <v>1651714</v>
      </c>
    </row>
    <row r="8" spans="3:247" x14ac:dyDescent="0.2">
      <c r="C8">
        <v>8001.77</v>
      </c>
      <c r="D8">
        <v>7486.77</v>
      </c>
      <c r="E8">
        <v>8113.77</v>
      </c>
      <c r="F8">
        <v>8096.77</v>
      </c>
      <c r="G8">
        <v>7376.77</v>
      </c>
      <c r="H8">
        <v>6820.77</v>
      </c>
      <c r="I8">
        <v>4823.7700000000004</v>
      </c>
      <c r="J8">
        <v>7340.77</v>
      </c>
      <c r="K8">
        <v>4532.7700000000004</v>
      </c>
      <c r="L8">
        <v>7866.77</v>
      </c>
      <c r="M8">
        <v>8043.77</v>
      </c>
      <c r="N8">
        <v>7114.77</v>
      </c>
      <c r="O8">
        <v>7144.77</v>
      </c>
      <c r="P8">
        <v>8540.77</v>
      </c>
      <c r="Q8">
        <v>5823.77</v>
      </c>
      <c r="R8">
        <v>5617.77</v>
      </c>
      <c r="S8">
        <v>8945.77</v>
      </c>
      <c r="T8">
        <v>7692.77</v>
      </c>
      <c r="U8">
        <v>7880.77</v>
      </c>
      <c r="V8">
        <v>7647.77</v>
      </c>
      <c r="W8">
        <v>8411.77</v>
      </c>
      <c r="X8">
        <v>7599.77</v>
      </c>
      <c r="Y8">
        <v>6416.77</v>
      </c>
      <c r="Z8">
        <v>5733.77</v>
      </c>
      <c r="AA8">
        <v>8435.77</v>
      </c>
      <c r="AB8">
        <v>7055.77</v>
      </c>
      <c r="AC8">
        <v>6745.77</v>
      </c>
      <c r="AD8">
        <v>7445.77</v>
      </c>
      <c r="AE8">
        <v>8069.77</v>
      </c>
      <c r="AF8">
        <v>6508.77</v>
      </c>
      <c r="AG8">
        <v>7718.77</v>
      </c>
      <c r="AH8">
        <v>6380.9840000000004</v>
      </c>
      <c r="AI8">
        <v>6972.9840000000004</v>
      </c>
      <c r="AJ8">
        <v>7069.9840000000004</v>
      </c>
      <c r="AK8">
        <v>4517.9840000000004</v>
      </c>
      <c r="AL8">
        <v>6474.9840000000004</v>
      </c>
      <c r="AM8">
        <v>7858.9840000000004</v>
      </c>
      <c r="AN8">
        <v>7101.9840000000004</v>
      </c>
      <c r="AO8">
        <v>6664.9840000000004</v>
      </c>
      <c r="AP8">
        <v>6576.9840000000004</v>
      </c>
      <c r="AQ8">
        <v>6759.9840000000004</v>
      </c>
      <c r="AR8">
        <v>6727.9840000000004</v>
      </c>
      <c r="AS8">
        <v>5793.9840000000004</v>
      </c>
      <c r="AT8">
        <v>4665.9840000000004</v>
      </c>
      <c r="AU8">
        <v>6768.9840000000004</v>
      </c>
      <c r="AV8">
        <v>7390.9840000000004</v>
      </c>
      <c r="AW8">
        <v>7582.9840000000004</v>
      </c>
      <c r="AX8">
        <v>6487.9840000000004</v>
      </c>
      <c r="AY8">
        <v>7073.9840000000004</v>
      </c>
      <c r="AZ8">
        <v>6378.9840000000004</v>
      </c>
      <c r="BA8">
        <v>6358.9840000000004</v>
      </c>
      <c r="BB8">
        <v>5548.9840000000004</v>
      </c>
      <c r="BC8">
        <v>5945.9840000000004</v>
      </c>
      <c r="BD8">
        <v>6816.9840000000004</v>
      </c>
      <c r="BE8">
        <v>7470.9840000000004</v>
      </c>
      <c r="BF8">
        <v>7692.9840000000004</v>
      </c>
      <c r="BG8">
        <v>8349.9840000000004</v>
      </c>
      <c r="BH8">
        <v>6760.9840000000004</v>
      </c>
      <c r="BI8">
        <v>7302.9840000000004</v>
      </c>
      <c r="BJ8">
        <v>7247.9840000000004</v>
      </c>
      <c r="BK8">
        <v>6812</v>
      </c>
      <c r="BL8">
        <v>6568</v>
      </c>
      <c r="BM8">
        <v>2660</v>
      </c>
      <c r="BN8">
        <v>5859</v>
      </c>
      <c r="BO8">
        <v>6884</v>
      </c>
      <c r="BP8">
        <v>4914</v>
      </c>
      <c r="BQ8">
        <v>5236</v>
      </c>
      <c r="BR8">
        <v>5734</v>
      </c>
      <c r="BS8">
        <v>5512</v>
      </c>
      <c r="BT8">
        <v>5006</v>
      </c>
      <c r="BU8">
        <v>6043</v>
      </c>
      <c r="BV8">
        <v>4872</v>
      </c>
      <c r="BW8">
        <v>5436</v>
      </c>
      <c r="BX8">
        <v>6827</v>
      </c>
      <c r="BY8">
        <v>6483</v>
      </c>
      <c r="BZ8">
        <v>6462</v>
      </c>
      <c r="CA8">
        <v>7332</v>
      </c>
      <c r="CB8">
        <v>6701</v>
      </c>
      <c r="CC8">
        <v>6252</v>
      </c>
      <c r="CD8">
        <v>7000</v>
      </c>
      <c r="CE8">
        <v>6877</v>
      </c>
      <c r="CF8">
        <v>6485</v>
      </c>
      <c r="CG8">
        <v>7707</v>
      </c>
      <c r="CH8">
        <v>7011</v>
      </c>
      <c r="CI8">
        <v>7268</v>
      </c>
      <c r="CJ8">
        <v>7572</v>
      </c>
      <c r="CK8">
        <v>6294</v>
      </c>
      <c r="CL8">
        <v>5923</v>
      </c>
      <c r="CM8">
        <v>6346</v>
      </c>
      <c r="CN8">
        <v>7668</v>
      </c>
      <c r="CO8">
        <v>7027</v>
      </c>
      <c r="CP8">
        <v>7277</v>
      </c>
      <c r="CQ8">
        <v>6695</v>
      </c>
      <c r="CR8">
        <v>7943</v>
      </c>
      <c r="CS8">
        <v>7499</v>
      </c>
      <c r="CT8">
        <v>7827</v>
      </c>
      <c r="CU8">
        <v>7888</v>
      </c>
      <c r="CV8">
        <v>7520</v>
      </c>
      <c r="CW8">
        <v>7931</v>
      </c>
      <c r="CX8">
        <v>7893</v>
      </c>
      <c r="CY8">
        <v>7961</v>
      </c>
      <c r="CZ8">
        <v>7799</v>
      </c>
      <c r="DA8">
        <v>8173</v>
      </c>
      <c r="DB8">
        <v>8404</v>
      </c>
      <c r="DC8">
        <v>8168</v>
      </c>
      <c r="DD8">
        <v>7345</v>
      </c>
      <c r="DE8">
        <v>7145</v>
      </c>
      <c r="DF8">
        <v>7461</v>
      </c>
      <c r="DG8">
        <v>6334</v>
      </c>
      <c r="DH8">
        <v>7619</v>
      </c>
      <c r="DI8">
        <v>7093</v>
      </c>
      <c r="DJ8">
        <v>5499</v>
      </c>
      <c r="DK8">
        <v>7108</v>
      </c>
      <c r="DL8">
        <v>6435</v>
      </c>
      <c r="DM8">
        <v>7818</v>
      </c>
      <c r="DN8">
        <v>8190</v>
      </c>
      <c r="DO8">
        <v>6939</v>
      </c>
      <c r="DP8">
        <v>6584</v>
      </c>
      <c r="DQ8">
        <v>7916</v>
      </c>
      <c r="DR8">
        <v>7051</v>
      </c>
      <c r="DS8">
        <v>7098</v>
      </c>
      <c r="DT8">
        <v>7034</v>
      </c>
      <c r="DU8">
        <v>6538</v>
      </c>
      <c r="DV8">
        <v>5956</v>
      </c>
      <c r="DW8">
        <v>5585</v>
      </c>
      <c r="DX8">
        <v>6947</v>
      </c>
      <c r="DY8">
        <v>6816</v>
      </c>
      <c r="DZ8">
        <v>6325</v>
      </c>
      <c r="EA8">
        <v>4894</v>
      </c>
      <c r="EB8">
        <v>5932</v>
      </c>
      <c r="EC8">
        <v>7439</v>
      </c>
      <c r="ED8">
        <v>6854</v>
      </c>
      <c r="EE8">
        <v>7226</v>
      </c>
      <c r="EF8">
        <v>5813</v>
      </c>
      <c r="EG8">
        <v>8171</v>
      </c>
      <c r="EH8">
        <v>7133</v>
      </c>
      <c r="EI8">
        <v>7236</v>
      </c>
      <c r="EJ8">
        <v>5420</v>
      </c>
      <c r="EK8">
        <v>5901</v>
      </c>
    </row>
    <row r="9" spans="3:247" x14ac:dyDescent="0.2">
      <c r="C9">
        <v>12557.668699999685</v>
      </c>
      <c r="D9">
        <v>12938.038699999688</v>
      </c>
      <c r="E9">
        <v>11461.488699999689</v>
      </c>
      <c r="F9">
        <v>11528.978699999687</v>
      </c>
      <c r="G9">
        <v>10504.428699999688</v>
      </c>
      <c r="H9">
        <v>11362.934699999689</v>
      </c>
      <c r="I9">
        <v>13241.104699999687</v>
      </c>
      <c r="J9">
        <v>13733.139699999687</v>
      </c>
      <c r="K9">
        <v>15495.689699999686</v>
      </c>
      <c r="L9">
        <v>13949.759699999686</v>
      </c>
      <c r="M9">
        <v>13601.349699999686</v>
      </c>
      <c r="N9">
        <v>12660.099699999686</v>
      </c>
      <c r="O9">
        <v>13185.684699999685</v>
      </c>
      <c r="P9">
        <v>12662.534699999687</v>
      </c>
      <c r="Q9">
        <v>13458.624699999687</v>
      </c>
      <c r="R9">
        <v>15929.402699999686</v>
      </c>
      <c r="S9">
        <v>13446.430699999684</v>
      </c>
      <c r="T9">
        <v>13292.888699999683</v>
      </c>
      <c r="U9">
        <v>11946.603699999683</v>
      </c>
      <c r="V9">
        <v>12275.893699999684</v>
      </c>
      <c r="W9">
        <v>10160.590699999684</v>
      </c>
      <c r="X9">
        <v>10438.205699999682</v>
      </c>
      <c r="Y9">
        <v>9987.1396999996832</v>
      </c>
      <c r="Z9">
        <v>11938.028699999682</v>
      </c>
      <c r="AA9">
        <v>9774.628699999681</v>
      </c>
      <c r="AB9">
        <v>11055.564699999679</v>
      </c>
      <c r="AC9">
        <v>10957.869699999679</v>
      </c>
      <c r="AD9">
        <v>11024.669699999678</v>
      </c>
      <c r="AE9">
        <v>9431.3716999996795</v>
      </c>
      <c r="AF9">
        <v>11086.813699999679</v>
      </c>
      <c r="AG9">
        <v>9962.1636999996772</v>
      </c>
      <c r="AH9">
        <v>11637.343699999677</v>
      </c>
      <c r="AI9">
        <v>11001.473699999679</v>
      </c>
      <c r="AJ9">
        <v>11093.527699999679</v>
      </c>
      <c r="AK9">
        <v>12650.521699999677</v>
      </c>
      <c r="AL9">
        <v>13616.985699999677</v>
      </c>
      <c r="AM9">
        <v>12096.171699999675</v>
      </c>
      <c r="AN9">
        <v>12652.687699999675</v>
      </c>
      <c r="AO9">
        <v>12516.579699999675</v>
      </c>
      <c r="AP9">
        <v>13221.279699999675</v>
      </c>
      <c r="AQ9">
        <v>12881.871699999676</v>
      </c>
      <c r="AR9">
        <v>13650.264899999675</v>
      </c>
      <c r="AS9">
        <v>14377.132899999673</v>
      </c>
      <c r="AT9">
        <v>16573.058899999673</v>
      </c>
      <c r="AU9">
        <v>16027.214899999672</v>
      </c>
      <c r="AV9">
        <v>16071.289899999672</v>
      </c>
      <c r="AW9">
        <v>16326.278699999672</v>
      </c>
      <c r="AX9">
        <v>15547.354699999672</v>
      </c>
      <c r="AY9">
        <v>14924.34989999967</v>
      </c>
      <c r="AZ9">
        <v>16103.785899999672</v>
      </c>
      <c r="BA9">
        <v>15611.790899999673</v>
      </c>
      <c r="BB9">
        <v>17760.911899999672</v>
      </c>
      <c r="BC9">
        <v>19892.927899999671</v>
      </c>
      <c r="BD9">
        <v>19223.863899999673</v>
      </c>
      <c r="BE9">
        <v>17996.000899999672</v>
      </c>
      <c r="BF9">
        <v>18094.245899999671</v>
      </c>
      <c r="BG9">
        <v>17135.51189999967</v>
      </c>
      <c r="BH9">
        <v>16365.04359999967</v>
      </c>
      <c r="BI9">
        <v>15235.77659999967</v>
      </c>
      <c r="BJ9">
        <v>15646.472199999669</v>
      </c>
      <c r="BK9">
        <v>13074.610199999668</v>
      </c>
      <c r="BL9">
        <v>8265.279199999668</v>
      </c>
      <c r="BM9">
        <v>10379.093199999668</v>
      </c>
      <c r="BN9">
        <v>9383.0351999996674</v>
      </c>
      <c r="BO9">
        <v>7187.6211999996667</v>
      </c>
      <c r="BP9">
        <v>7377.1481999996668</v>
      </c>
      <c r="BQ9">
        <v>7397.9581999996662</v>
      </c>
      <c r="BR9">
        <v>6575.7061999996658</v>
      </c>
      <c r="BS9">
        <v>5986.8681999996661</v>
      </c>
      <c r="BT9">
        <v>6249.0391999996664</v>
      </c>
      <c r="BU9">
        <v>5238.7311999996655</v>
      </c>
      <c r="BV9">
        <v>5453.3541999996669</v>
      </c>
      <c r="BW9">
        <v>6290.3541999996669</v>
      </c>
      <c r="BX9">
        <v>5691.8821999996653</v>
      </c>
      <c r="BY9">
        <v>8607.2131999996654</v>
      </c>
      <c r="BZ9">
        <v>7830.4951999996665</v>
      </c>
      <c r="CA9">
        <v>8664.4291999996676</v>
      </c>
      <c r="CB9">
        <v>9977.0021999996679</v>
      </c>
      <c r="CC9">
        <v>10213.08419999967</v>
      </c>
      <c r="CD9">
        <v>11252.289199999672</v>
      </c>
      <c r="CE9">
        <v>10940.701199999672</v>
      </c>
      <c r="CF9">
        <v>12372.242199999673</v>
      </c>
      <c r="CG9">
        <v>11147.240199999673</v>
      </c>
      <c r="CH9">
        <v>10295.345199999672</v>
      </c>
      <c r="CI9">
        <v>11387.537199999671</v>
      </c>
      <c r="CJ9">
        <v>11167.313199999669</v>
      </c>
      <c r="CK9">
        <v>11083.509199999669</v>
      </c>
      <c r="CL9">
        <v>11137.737199999669</v>
      </c>
      <c r="CM9">
        <v>12741.689199999666</v>
      </c>
      <c r="CN9">
        <v>9796.7391999996653</v>
      </c>
      <c r="CO9">
        <v>11472.664199999665</v>
      </c>
      <c r="CP9">
        <v>11165.912199999664</v>
      </c>
      <c r="CQ9">
        <v>13534.989199999665</v>
      </c>
      <c r="CR9">
        <v>12874.949199999664</v>
      </c>
      <c r="CS9">
        <v>14570.225199999666</v>
      </c>
      <c r="CT9">
        <v>14093.097199999665</v>
      </c>
      <c r="CU9">
        <v>15190.370199999667</v>
      </c>
      <c r="CV9">
        <v>14634.343199999668</v>
      </c>
      <c r="CW9">
        <v>15701.508199999669</v>
      </c>
      <c r="CX9">
        <v>14680.828199999669</v>
      </c>
      <c r="CY9">
        <v>15427.793199999669</v>
      </c>
      <c r="CZ9">
        <v>16320.71119999967</v>
      </c>
      <c r="DA9">
        <v>15263.831199999669</v>
      </c>
      <c r="DB9">
        <v>15106.526199999669</v>
      </c>
      <c r="DC9">
        <v>13914.110199999668</v>
      </c>
      <c r="DD9">
        <v>13536.311199999669</v>
      </c>
      <c r="DE9">
        <v>15314.511199999666</v>
      </c>
      <c r="DF9">
        <v>16649.227199999666</v>
      </c>
      <c r="DG9">
        <v>17375.541199999665</v>
      </c>
      <c r="DH9">
        <v>16932.556199999664</v>
      </c>
      <c r="DI9">
        <v>14726.268199999664</v>
      </c>
      <c r="DJ9">
        <v>18049.158199999663</v>
      </c>
      <c r="DK9">
        <v>20175.581199999666</v>
      </c>
      <c r="DL9">
        <v>20970.551199999667</v>
      </c>
      <c r="DM9">
        <v>22152.938199999669</v>
      </c>
      <c r="DN9">
        <v>21278.353999999668</v>
      </c>
      <c r="DO9">
        <v>21501.382499999669</v>
      </c>
      <c r="DP9">
        <v>22298.447999999669</v>
      </c>
      <c r="DQ9">
        <v>22945.122399999669</v>
      </c>
      <c r="DR9">
        <v>22867.082399999668</v>
      </c>
      <c r="DS9">
        <v>24645.39599999967</v>
      </c>
      <c r="DT9">
        <v>23511.845199999669</v>
      </c>
      <c r="DU9">
        <v>20101.133999999667</v>
      </c>
      <c r="DV9">
        <v>20062.804399999666</v>
      </c>
      <c r="DW9">
        <v>19162.127199999668</v>
      </c>
      <c r="DX9">
        <v>18350.211599999668</v>
      </c>
      <c r="DY9">
        <v>15793.773199999667</v>
      </c>
      <c r="DZ9">
        <v>14153.492199999666</v>
      </c>
      <c r="EA9">
        <v>15533.077199999665</v>
      </c>
      <c r="EB9">
        <v>15627.189199999666</v>
      </c>
      <c r="EC9">
        <v>14788.659199999665</v>
      </c>
      <c r="ED9">
        <v>13534.779199999664</v>
      </c>
      <c r="EE9">
        <v>13554.308799999664</v>
      </c>
      <c r="EF9">
        <v>13491.806799999662</v>
      </c>
      <c r="EG9">
        <v>14029.596799999661</v>
      </c>
      <c r="EH9">
        <v>13706.476799999662</v>
      </c>
      <c r="EI9">
        <v>15107.335799999662</v>
      </c>
      <c r="EJ9">
        <v>16417.355799999663</v>
      </c>
      <c r="EK9">
        <v>18788.675799999663</v>
      </c>
      <c r="EL9">
        <v>20898.480999999665</v>
      </c>
      <c r="EM9">
        <v>18799.596199999665</v>
      </c>
      <c r="EN9">
        <v>17947.804199999664</v>
      </c>
      <c r="EO9">
        <v>17683.150199999665</v>
      </c>
      <c r="EP9">
        <v>17564.006199999665</v>
      </c>
      <c r="EQ9">
        <v>21071.115199999665</v>
      </c>
      <c r="ER9">
        <v>22007.799199999667</v>
      </c>
      <c r="ES9">
        <v>20544.866299999667</v>
      </c>
      <c r="ET9">
        <v>19850.686299999667</v>
      </c>
      <c r="EU9">
        <v>18682.286299999669</v>
      </c>
      <c r="EV9">
        <v>16401.306299999669</v>
      </c>
      <c r="EW9">
        <v>17030.566299999671</v>
      </c>
      <c r="EX9">
        <v>15876.25829999967</v>
      </c>
      <c r="EY9">
        <v>14736.504299999668</v>
      </c>
      <c r="EZ9">
        <v>16579.959899999667</v>
      </c>
      <c r="FA9">
        <v>16841.652899999666</v>
      </c>
      <c r="FB9">
        <v>17832.537899999668</v>
      </c>
      <c r="FC9">
        <v>17324.621899999667</v>
      </c>
      <c r="FD9">
        <v>17935.785899999668</v>
      </c>
      <c r="FE9">
        <v>18668.717899999669</v>
      </c>
      <c r="FF9">
        <v>17546.156899999667</v>
      </c>
      <c r="FG9">
        <v>17781.656899999667</v>
      </c>
      <c r="FH9">
        <v>18775.232899999668</v>
      </c>
      <c r="FI9">
        <v>17554.260899999666</v>
      </c>
      <c r="FJ9">
        <v>19619.935499999665</v>
      </c>
      <c r="FK9">
        <v>20804.175499999663</v>
      </c>
      <c r="FL9">
        <v>18838.958499999666</v>
      </c>
      <c r="FM9">
        <v>18611.140499999667</v>
      </c>
      <c r="FN9">
        <v>18087.396499999668</v>
      </c>
      <c r="FO9">
        <v>19162.748499999667</v>
      </c>
      <c r="FP9">
        <v>17186.304499999671</v>
      </c>
      <c r="FQ9">
        <v>17750.654499999673</v>
      </c>
      <c r="FR9">
        <v>18233.867299999671</v>
      </c>
      <c r="FS9">
        <v>20528.519899999672</v>
      </c>
      <c r="FT9">
        <v>21508.560899999673</v>
      </c>
      <c r="FU9">
        <v>24683.184899999673</v>
      </c>
      <c r="FV9">
        <v>24351.714899999672</v>
      </c>
      <c r="FW9">
        <v>25131.870899999674</v>
      </c>
      <c r="FX9">
        <v>24108.436499999676</v>
      </c>
      <c r="FY9">
        <v>23622.720499999676</v>
      </c>
      <c r="FZ9">
        <v>23113.890499999674</v>
      </c>
      <c r="GA9">
        <v>23599.865499999672</v>
      </c>
      <c r="GB9">
        <v>20970.617499999673</v>
      </c>
      <c r="GC9">
        <v>21535.609499999671</v>
      </c>
      <c r="GD9">
        <v>22077.448699999673</v>
      </c>
      <c r="GE9">
        <v>22519.043699999675</v>
      </c>
      <c r="GF9">
        <v>21656.123699999673</v>
      </c>
      <c r="GG9">
        <v>21800.933699999674</v>
      </c>
      <c r="GH9">
        <v>19496.430499999675</v>
      </c>
      <c r="GI9">
        <v>19850.947299999672</v>
      </c>
      <c r="GJ9">
        <v>20116.648499999672</v>
      </c>
      <c r="GK9">
        <v>20402.968499999668</v>
      </c>
      <c r="GL9">
        <v>18637.87769999967</v>
      </c>
      <c r="GM9">
        <v>19041.993699999668</v>
      </c>
      <c r="GN9">
        <v>18402.003699999666</v>
      </c>
      <c r="GO9">
        <v>18840.123699999669</v>
      </c>
      <c r="GP9">
        <v>16211.17889999967</v>
      </c>
      <c r="GQ9">
        <v>16591.362899999673</v>
      </c>
      <c r="GR9">
        <v>17122.884899999674</v>
      </c>
      <c r="GS9">
        <v>14958.584899999674</v>
      </c>
      <c r="GT9">
        <v>14274.725899999674</v>
      </c>
      <c r="GU9">
        <v>15035.933899999673</v>
      </c>
      <c r="GV9">
        <v>15934.147799999671</v>
      </c>
      <c r="GW9">
        <v>16880.379799999671</v>
      </c>
      <c r="GX9">
        <v>15948.77559999967</v>
      </c>
      <c r="GY9">
        <v>17101.199599999669</v>
      </c>
      <c r="GZ9">
        <v>17294.067599999667</v>
      </c>
      <c r="HA9">
        <v>17698.472599999666</v>
      </c>
      <c r="HB9">
        <v>16513.276599999663</v>
      </c>
      <c r="HC9">
        <v>16278.63059999966</v>
      </c>
      <c r="HD9">
        <v>16076.898599999662</v>
      </c>
      <c r="HE9">
        <v>17865.619099999662</v>
      </c>
      <c r="HF9">
        <v>17544.871099999662</v>
      </c>
      <c r="HG9">
        <v>18719.623099999662</v>
      </c>
      <c r="HH9">
        <v>17422.237249999664</v>
      </c>
      <c r="HI9">
        <v>17599.199399999663</v>
      </c>
      <c r="HJ9">
        <v>18422.083399999661</v>
      </c>
      <c r="HK9">
        <v>18278.900499999661</v>
      </c>
      <c r="HL9">
        <v>19871.427699999662</v>
      </c>
      <c r="HM9">
        <v>19171.72369999966</v>
      </c>
      <c r="HN9">
        <v>19397.743179999659</v>
      </c>
      <c r="HO9">
        <v>19839.455079999661</v>
      </c>
      <c r="HP9">
        <v>18562.339179999661</v>
      </c>
      <c r="HQ9">
        <v>16848.831979999661</v>
      </c>
      <c r="HR9">
        <v>18107.484139999659</v>
      </c>
      <c r="HS9">
        <v>19132.554019999658</v>
      </c>
      <c r="HT9">
        <v>18873.81341999966</v>
      </c>
      <c r="HU9">
        <v>19121.099819999661</v>
      </c>
      <c r="HV9">
        <v>19587.076619999661</v>
      </c>
      <c r="HW9">
        <v>23599.67531999966</v>
      </c>
      <c r="HX9">
        <v>26017.43351999966</v>
      </c>
      <c r="HY9">
        <v>25495.604219999659</v>
      </c>
      <c r="HZ9">
        <v>24696.570419999658</v>
      </c>
      <c r="IA9">
        <v>25007.160419999658</v>
      </c>
      <c r="IB9">
        <v>23490.570419999658</v>
      </c>
      <c r="IC9">
        <v>20730.844719999659</v>
      </c>
      <c r="ID9">
        <v>18465.404719999657</v>
      </c>
      <c r="IE9">
        <v>18490.273919999654</v>
      </c>
      <c r="IF9">
        <v>18083.797119999654</v>
      </c>
      <c r="IG9">
        <v>18722.438119999657</v>
      </c>
      <c r="IH9">
        <v>18541.883619999655</v>
      </c>
      <c r="II9">
        <v>17219.627619999657</v>
      </c>
      <c r="IJ9">
        <v>16118.890259999658</v>
      </c>
      <c r="IK9">
        <v>14341.694159999657</v>
      </c>
      <c r="IL9">
        <v>14667.763359999659</v>
      </c>
    </row>
  </sheetData>
  <phoneticPr fontId="12"/>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2:ND34"/>
  <sheetViews>
    <sheetView topLeftCell="MC10" zoomScale="90" zoomScaleNormal="90" workbookViewId="0">
      <selection activeCell="MG34" sqref="MG34"/>
    </sheetView>
  </sheetViews>
  <sheetFormatPr defaultRowHeight="15" x14ac:dyDescent="0.2"/>
  <cols>
    <col min="345" max="345" width="11.43359375" bestFit="1" customWidth="1"/>
  </cols>
  <sheetData>
    <row r="2" spans="2:368" ht="18.75" x14ac:dyDescent="0.2">
      <c r="B2" s="34">
        <v>0.13200000000000001</v>
      </c>
      <c r="C2" s="34">
        <v>0.14000000000000001</v>
      </c>
      <c r="D2" s="34">
        <v>0.18099999999999999</v>
      </c>
      <c r="E2" s="34">
        <v>0.17</v>
      </c>
      <c r="F2" s="34">
        <v>0.19</v>
      </c>
      <c r="G2" s="34">
        <v>0.16600000000000001</v>
      </c>
      <c r="H2" s="34">
        <v>0.182</v>
      </c>
      <c r="I2" s="34">
        <v>0.16300000000000001</v>
      </c>
      <c r="J2" s="34">
        <v>0.16</v>
      </c>
      <c r="K2" s="34">
        <v>0.16</v>
      </c>
      <c r="L2" s="34">
        <v>0.152</v>
      </c>
      <c r="M2" s="34">
        <v>0.16</v>
      </c>
      <c r="N2" s="34">
        <v>0.155</v>
      </c>
      <c r="O2" s="34">
        <v>0.14000000000000001</v>
      </c>
      <c r="P2" s="34">
        <v>0.17</v>
      </c>
      <c r="Q2" s="34">
        <v>0.19600000000000001</v>
      </c>
      <c r="R2" s="34">
        <v>0.158</v>
      </c>
      <c r="S2" s="34">
        <v>0.16400000000000001</v>
      </c>
      <c r="T2" s="34">
        <v>0.16500000000000001</v>
      </c>
      <c r="U2" s="34">
        <v>0.17</v>
      </c>
      <c r="V2" s="34">
        <v>0.17100000000000001</v>
      </c>
      <c r="W2" s="34">
        <v>0.161</v>
      </c>
      <c r="X2" s="34">
        <v>0.16700000000000001</v>
      </c>
      <c r="Y2" s="34">
        <v>0.161</v>
      </c>
      <c r="Z2" s="34">
        <v>0.17</v>
      </c>
      <c r="AA2" s="34">
        <v>0.17799999999999999</v>
      </c>
      <c r="AB2" s="34">
        <v>0.17249999999999999</v>
      </c>
      <c r="AC2" s="34">
        <v>0.17</v>
      </c>
      <c r="AD2" s="34">
        <v>0.17199999999999999</v>
      </c>
      <c r="AE2" s="34">
        <v>0.17100000000000001</v>
      </c>
      <c r="AF2" s="34">
        <v>0.17</v>
      </c>
      <c r="AG2" s="34">
        <v>0.17299999999999999</v>
      </c>
      <c r="AH2" s="34">
        <v>0.14099999999999999</v>
      </c>
      <c r="AI2" s="34">
        <v>0.14299999999999999</v>
      </c>
      <c r="AJ2" s="34">
        <v>0.151</v>
      </c>
      <c r="AK2" s="34">
        <v>0.16200000000000001</v>
      </c>
      <c r="AL2" s="34">
        <v>0.13</v>
      </c>
      <c r="AM2" s="34">
        <v>0.156</v>
      </c>
      <c r="AN2" s="34">
        <v>0.16400000000000001</v>
      </c>
      <c r="AO2" s="34">
        <v>0.14599999999999999</v>
      </c>
      <c r="AP2" s="34">
        <v>0.128</v>
      </c>
      <c r="AQ2" s="34">
        <v>0.15559999999999999</v>
      </c>
      <c r="AR2" s="34">
        <v>0.157</v>
      </c>
      <c r="AS2" s="34">
        <v>0.16600000000000001</v>
      </c>
      <c r="AT2" s="34">
        <v>0.155</v>
      </c>
      <c r="AU2" s="34">
        <v>0.16300000000000001</v>
      </c>
      <c r="AV2" s="34">
        <v>0.14960000000000001</v>
      </c>
      <c r="AW2" s="34">
        <v>0.15920000000000001</v>
      </c>
      <c r="AX2" s="34">
        <v>0.1744</v>
      </c>
      <c r="AY2" s="34">
        <v>0.13150000000000001</v>
      </c>
      <c r="AZ2" s="34">
        <v>0.13900000000000001</v>
      </c>
      <c r="BA2" s="34">
        <v>0.14299999999999999</v>
      </c>
      <c r="BB2" s="34">
        <v>0.154</v>
      </c>
      <c r="BC2" s="34">
        <v>0.14699999999999999</v>
      </c>
      <c r="BD2" s="34">
        <v>0.14699999999999999</v>
      </c>
      <c r="BE2" s="34">
        <v>0.129</v>
      </c>
      <c r="BF2" s="34">
        <v>0.125</v>
      </c>
      <c r="BG2" s="34">
        <v>0.11409999999999999</v>
      </c>
      <c r="BH2" s="34">
        <v>0.13300000000000001</v>
      </c>
      <c r="BI2" s="34">
        <v>0.1484</v>
      </c>
      <c r="BJ2" s="34">
        <v>0.16200000000000001</v>
      </c>
      <c r="BK2" s="34">
        <v>0.16700000000000001</v>
      </c>
      <c r="BL2" s="34">
        <v>0.14699999999999999</v>
      </c>
      <c r="BM2" s="34">
        <v>0.14099999999999999</v>
      </c>
      <c r="BN2" s="34">
        <v>0.14299999999999999</v>
      </c>
      <c r="BO2" s="34">
        <v>0.157</v>
      </c>
      <c r="BP2" s="34">
        <v>0.17</v>
      </c>
      <c r="BQ2" s="34">
        <v>0.13200000000000001</v>
      </c>
      <c r="BR2" s="34">
        <v>0.14199999999999999</v>
      </c>
      <c r="BS2" s="34">
        <v>0.14699999999999999</v>
      </c>
      <c r="BT2" s="34">
        <v>0.13400000000000001</v>
      </c>
      <c r="BU2" s="34">
        <v>0.14899999999999999</v>
      </c>
      <c r="BV2" s="34">
        <v>0.125</v>
      </c>
      <c r="BW2" s="34">
        <v>0.156</v>
      </c>
      <c r="BX2" s="34">
        <v>0.159</v>
      </c>
      <c r="BY2" s="34">
        <v>0.14299999999999999</v>
      </c>
      <c r="BZ2" s="34">
        <v>0.13700000000000001</v>
      </c>
      <c r="CA2" s="34">
        <v>0.14299999999999999</v>
      </c>
      <c r="CB2" s="34">
        <v>0.159</v>
      </c>
      <c r="CC2" s="34">
        <v>0.13500000000000001</v>
      </c>
      <c r="CD2" s="34">
        <v>0.14799999999999999</v>
      </c>
      <c r="CE2" s="34">
        <v>0.16300000000000001</v>
      </c>
      <c r="CF2" s="34">
        <v>0.17299999999999999</v>
      </c>
      <c r="CG2" s="34">
        <v>0.161</v>
      </c>
      <c r="CH2" s="34">
        <v>0.156</v>
      </c>
      <c r="CI2" s="34">
        <v>0.14299999999999999</v>
      </c>
      <c r="CJ2" s="34">
        <v>0.14199999999999999</v>
      </c>
      <c r="CK2" s="34">
        <v>0.14199999999999999</v>
      </c>
      <c r="CL2" s="34">
        <v>0.152</v>
      </c>
      <c r="CM2" s="34">
        <v>0.15</v>
      </c>
      <c r="CN2" s="34">
        <v>0.155</v>
      </c>
      <c r="CO2" s="34">
        <v>0.17899999999999999</v>
      </c>
      <c r="CP2" s="34">
        <v>0.17699999999999999</v>
      </c>
      <c r="CQ2" s="34">
        <v>0.18</v>
      </c>
      <c r="CR2" s="34">
        <v>0.183</v>
      </c>
      <c r="CS2" s="34">
        <v>0.192</v>
      </c>
      <c r="CT2" s="34">
        <v>0.189</v>
      </c>
      <c r="CU2" s="34">
        <v>0.189</v>
      </c>
      <c r="CV2" s="34">
        <v>0.17699999999999999</v>
      </c>
      <c r="CW2" s="34">
        <v>0.18</v>
      </c>
      <c r="CX2" s="145">
        <v>0.19500000000000001</v>
      </c>
      <c r="CY2" s="34">
        <v>0.191</v>
      </c>
      <c r="CZ2" s="34">
        <v>0.19800000000000001</v>
      </c>
      <c r="DA2" s="34">
        <v>0.19500000000000001</v>
      </c>
      <c r="DB2" s="34">
        <v>0.192</v>
      </c>
      <c r="DC2" s="34">
        <v>0.22900000000000001</v>
      </c>
      <c r="DD2" s="34">
        <v>0.2</v>
      </c>
      <c r="DE2" s="34">
        <v>0.19800000000000001</v>
      </c>
      <c r="DF2" s="34">
        <v>0.23799999999999999</v>
      </c>
      <c r="DG2" s="34">
        <v>0.19700000000000001</v>
      </c>
      <c r="DH2" s="34">
        <v>0.20599999999999999</v>
      </c>
      <c r="DI2" s="34">
        <v>0.19700000000000001</v>
      </c>
      <c r="DJ2" s="34">
        <v>0.221</v>
      </c>
      <c r="DK2" s="34">
        <v>0.20599999999999999</v>
      </c>
      <c r="DL2" s="34">
        <v>0.191</v>
      </c>
      <c r="DM2" s="34">
        <v>0.2026</v>
      </c>
      <c r="DN2" s="34">
        <v>0.20349999999999999</v>
      </c>
      <c r="DO2" s="34">
        <v>0.20349999999999999</v>
      </c>
      <c r="DP2" s="34">
        <v>0.18859999999999999</v>
      </c>
      <c r="DQ2" s="34">
        <v>0.19400000000000001</v>
      </c>
      <c r="DR2" s="34">
        <v>0.20080000000000001</v>
      </c>
      <c r="DS2" s="34">
        <v>0.2011</v>
      </c>
      <c r="DT2" s="34">
        <v>0.1908</v>
      </c>
      <c r="DU2" s="34">
        <v>0.18740000000000001</v>
      </c>
      <c r="DV2" s="34">
        <v>0.1948</v>
      </c>
      <c r="DW2" s="34">
        <v>0.19040000000000001</v>
      </c>
      <c r="DX2" s="34">
        <v>0.18920000000000001</v>
      </c>
      <c r="DY2" s="34">
        <v>0.191</v>
      </c>
      <c r="DZ2" s="34">
        <v>0.17499999999999999</v>
      </c>
      <c r="EA2" s="34">
        <v>0.1472</v>
      </c>
      <c r="EB2" s="34">
        <v>0.19500000000000001</v>
      </c>
      <c r="EC2" s="34">
        <v>0.20100000000000001</v>
      </c>
      <c r="ED2" s="34">
        <v>0.1888</v>
      </c>
      <c r="EE2" s="34">
        <v>0.1764</v>
      </c>
      <c r="EF2" s="34">
        <v>0.221</v>
      </c>
      <c r="EG2" s="34">
        <v>0.19500000000000001</v>
      </c>
      <c r="EH2" s="34">
        <v>0.17299999999999999</v>
      </c>
      <c r="EI2" s="34">
        <v>0.17299999999999999</v>
      </c>
      <c r="EJ2" s="34">
        <v>0.16</v>
      </c>
      <c r="EK2" s="34">
        <v>0.1956</v>
      </c>
      <c r="EL2" s="34">
        <v>0.1636</v>
      </c>
      <c r="EM2" s="34">
        <v>0.152</v>
      </c>
      <c r="EN2" s="34">
        <v>0.17100000000000001</v>
      </c>
      <c r="EO2" s="34">
        <v>0.16200000000000001</v>
      </c>
      <c r="EP2" s="34">
        <v>0.13700000000000001</v>
      </c>
      <c r="EQ2" s="34">
        <v>0.17399999999999999</v>
      </c>
      <c r="ER2" s="34">
        <v>0.1767</v>
      </c>
      <c r="ES2" s="34">
        <v>0.17799999999999999</v>
      </c>
      <c r="ET2" s="34">
        <v>0.19</v>
      </c>
      <c r="EU2" s="34">
        <v>0.17199999999999999</v>
      </c>
      <c r="EV2" s="34">
        <v>0.17699999999999999</v>
      </c>
      <c r="EW2" s="34">
        <v>0.188</v>
      </c>
      <c r="EX2" s="34">
        <v>0.19400000000000001</v>
      </c>
      <c r="EY2" s="34">
        <v>0.20760000000000001</v>
      </c>
      <c r="EZ2" s="34">
        <v>0.187</v>
      </c>
      <c r="FA2" s="34">
        <v>0.17899999999999999</v>
      </c>
      <c r="FB2" s="34">
        <v>0.16400000000000001</v>
      </c>
      <c r="FC2" s="34">
        <v>0.19400000000000001</v>
      </c>
      <c r="FD2" s="34">
        <v>0.189</v>
      </c>
      <c r="FE2" s="34">
        <v>0.20300000000000001</v>
      </c>
      <c r="FF2" s="34">
        <v>0.19</v>
      </c>
      <c r="FG2" s="34">
        <v>0.184</v>
      </c>
      <c r="FH2" s="34">
        <v>0.20380000000000001</v>
      </c>
      <c r="FI2" s="34">
        <v>0.20619999999999999</v>
      </c>
      <c r="FJ2" s="34">
        <v>0.192</v>
      </c>
      <c r="FK2" s="34">
        <v>0.16900000000000001</v>
      </c>
      <c r="FL2" s="34">
        <v>0.16880000000000001</v>
      </c>
      <c r="FM2" s="34">
        <v>0.14399999999999999</v>
      </c>
      <c r="FN2" s="34">
        <v>0.16</v>
      </c>
      <c r="FO2" s="34">
        <v>0.157</v>
      </c>
      <c r="FP2" s="34">
        <v>0.15870000000000001</v>
      </c>
      <c r="FQ2" s="34">
        <v>0.1636</v>
      </c>
      <c r="FR2" s="34">
        <v>0.19719999999999999</v>
      </c>
      <c r="FS2" s="34">
        <v>0.17100000000000001</v>
      </c>
      <c r="FT2" s="34">
        <v>0.17699999999999999</v>
      </c>
      <c r="FU2" s="34">
        <v>0.188</v>
      </c>
      <c r="FV2" s="34">
        <v>0.19839999999999999</v>
      </c>
      <c r="FW2" s="34">
        <v>0.19470000000000001</v>
      </c>
      <c r="FX2" s="34">
        <v>0.192</v>
      </c>
      <c r="FY2" s="34">
        <v>0.2</v>
      </c>
      <c r="FZ2" s="34">
        <v>0.17499999999999999</v>
      </c>
      <c r="GA2" s="34">
        <v>0.19400000000000001</v>
      </c>
      <c r="GB2" s="34">
        <v>0.20100000000000001</v>
      </c>
      <c r="GC2" s="34">
        <v>0.18490000000000001</v>
      </c>
      <c r="GD2" s="34">
        <v>0.16500000000000001</v>
      </c>
      <c r="GE2" s="34">
        <v>0.182</v>
      </c>
      <c r="GF2" s="34">
        <v>0.18</v>
      </c>
      <c r="GG2" s="34">
        <v>0.17929999999999999</v>
      </c>
      <c r="GH2" s="34">
        <v>0.18440000000000001</v>
      </c>
      <c r="GI2" s="34">
        <v>0.1827</v>
      </c>
      <c r="GJ2" s="34">
        <v>0.17</v>
      </c>
      <c r="GK2" s="34">
        <v>0.1784</v>
      </c>
      <c r="GL2" s="34">
        <v>0.20100000000000001</v>
      </c>
      <c r="GM2" s="34">
        <v>0.19</v>
      </c>
      <c r="GN2" s="34">
        <v>0.18679999999999999</v>
      </c>
      <c r="GO2" s="34">
        <v>0.17519999999999999</v>
      </c>
      <c r="GP2" s="34">
        <v>0.16800000000000001</v>
      </c>
      <c r="GQ2" s="34">
        <v>0.188</v>
      </c>
      <c r="GR2" s="34">
        <v>0.18</v>
      </c>
      <c r="GS2" s="34">
        <v>0.20300000000000001</v>
      </c>
      <c r="GT2" s="34">
        <v>0.21199999999999999</v>
      </c>
      <c r="GU2" s="34">
        <v>0.16070000000000001</v>
      </c>
      <c r="GV2" s="34">
        <v>0.20799999999999999</v>
      </c>
      <c r="GW2" s="34">
        <v>0.19900000000000001</v>
      </c>
      <c r="GX2" s="34">
        <v>0.182</v>
      </c>
      <c r="GY2" s="34">
        <v>0.192</v>
      </c>
      <c r="GZ2" s="34">
        <v>0.17299999999999999</v>
      </c>
      <c r="HA2" s="34">
        <v>0.17199999999999999</v>
      </c>
      <c r="HB2" s="34">
        <v>0.188</v>
      </c>
      <c r="HC2" s="34">
        <v>0.18479999999999999</v>
      </c>
      <c r="HD2" s="34">
        <v>0.1845</v>
      </c>
      <c r="HE2" s="34">
        <v>0.17299999999999999</v>
      </c>
      <c r="HF2" s="34">
        <v>0.20200000000000001</v>
      </c>
      <c r="HG2" s="34">
        <v>0.17799999999999999</v>
      </c>
      <c r="HH2" s="34">
        <v>0.189</v>
      </c>
      <c r="HI2" s="34">
        <v>0.20899999999999999</v>
      </c>
      <c r="HJ2" s="34">
        <v>0.2114</v>
      </c>
      <c r="HK2" s="34">
        <v>0.15759999999999999</v>
      </c>
      <c r="HL2" s="34">
        <v>0.17</v>
      </c>
      <c r="HM2" s="34">
        <v>0.16800000000000001</v>
      </c>
      <c r="HN2" s="34">
        <v>0.191</v>
      </c>
      <c r="HO2" s="34">
        <v>0.187</v>
      </c>
      <c r="HP2" s="34">
        <v>0.17799999999999999</v>
      </c>
      <c r="HQ2" s="34">
        <v>0.15659999999999999</v>
      </c>
      <c r="HR2" s="34">
        <v>0.1734</v>
      </c>
      <c r="HS2" s="34">
        <v>0.18099999999999999</v>
      </c>
      <c r="HT2" s="34">
        <v>0.189</v>
      </c>
      <c r="HU2" s="34">
        <v>0.111</v>
      </c>
      <c r="HV2" s="34">
        <v>0.111</v>
      </c>
      <c r="HW2" s="34">
        <v>0.111</v>
      </c>
      <c r="HX2" s="34">
        <v>0.111</v>
      </c>
      <c r="HY2" s="34">
        <v>0.111</v>
      </c>
      <c r="HZ2" s="34">
        <v>0.19</v>
      </c>
      <c r="IA2" s="34">
        <v>0.17</v>
      </c>
      <c r="IB2" s="34">
        <v>0.191</v>
      </c>
      <c r="IC2" s="34">
        <v>0.2</v>
      </c>
      <c r="ID2" s="34">
        <v>0.188</v>
      </c>
      <c r="IE2" s="34">
        <v>0.184</v>
      </c>
      <c r="IF2" s="34">
        <v>0.189</v>
      </c>
      <c r="IG2" s="34">
        <v>0.159</v>
      </c>
      <c r="IH2" s="34">
        <v>0.17199999999999999</v>
      </c>
      <c r="II2" s="34">
        <v>0.16839999999999999</v>
      </c>
      <c r="IJ2" s="34">
        <v>0.1595</v>
      </c>
      <c r="IK2" s="34">
        <v>0.17199999999999999</v>
      </c>
      <c r="IL2" s="34">
        <v>0.186</v>
      </c>
      <c r="IM2" s="34">
        <v>0.186</v>
      </c>
      <c r="IN2" s="34">
        <v>0.186</v>
      </c>
      <c r="IO2" s="34">
        <v>0.16200000000000001</v>
      </c>
      <c r="IP2" s="34">
        <v>0.17599999999999999</v>
      </c>
      <c r="IQ2" s="34">
        <v>0.17399999999999999</v>
      </c>
      <c r="IR2" s="34">
        <v>0.17</v>
      </c>
      <c r="IS2" s="34">
        <v>0.17499999999999999</v>
      </c>
      <c r="IT2" s="34">
        <v>0.17699999999999999</v>
      </c>
      <c r="IU2" s="34">
        <v>0.17699999999999999</v>
      </c>
      <c r="IV2" s="34">
        <v>0.17499999999999999</v>
      </c>
      <c r="IW2" s="34">
        <v>0.17</v>
      </c>
      <c r="IX2" s="34">
        <v>0.189</v>
      </c>
      <c r="IY2" s="34">
        <v>0.189</v>
      </c>
      <c r="IZ2" s="34">
        <v>0.19</v>
      </c>
      <c r="JA2" s="34">
        <v>0.188</v>
      </c>
      <c r="JB2" s="34">
        <v>0.20899999999999999</v>
      </c>
      <c r="JC2" s="34">
        <v>0.20300000000000001</v>
      </c>
      <c r="JD2" s="34">
        <v>0.16</v>
      </c>
      <c r="JE2" s="34">
        <v>0.125</v>
      </c>
      <c r="JF2" s="34">
        <v>0.188</v>
      </c>
      <c r="JG2" s="34">
        <v>0.186</v>
      </c>
      <c r="JH2" s="34">
        <v>0.16500000000000001</v>
      </c>
      <c r="JI2" s="34">
        <v>0.20100000000000001</v>
      </c>
      <c r="JJ2" s="34">
        <v>0.17399999999999999</v>
      </c>
      <c r="JK2" s="34">
        <v>0.17399999999999999</v>
      </c>
      <c r="JL2" s="34">
        <v>0.22700000000000001</v>
      </c>
      <c r="JM2" s="34">
        <v>0.17799999999999999</v>
      </c>
      <c r="JN2" s="34">
        <v>0.18</v>
      </c>
      <c r="JO2" s="34">
        <v>0.1845</v>
      </c>
      <c r="JP2" s="34">
        <v>0.18</v>
      </c>
      <c r="JQ2" s="34">
        <v>0.21099999999999999</v>
      </c>
      <c r="JR2" s="34">
        <v>0.16700000000000001</v>
      </c>
      <c r="JS2" s="34">
        <v>0.17</v>
      </c>
      <c r="JT2" s="34">
        <v>0.1835</v>
      </c>
      <c r="JU2" s="34">
        <v>0.16900000000000001</v>
      </c>
      <c r="JV2" s="34">
        <v>0.17199999999999999</v>
      </c>
      <c r="JW2" s="34">
        <v>0.19600000000000001</v>
      </c>
      <c r="JX2" s="34">
        <v>0.152</v>
      </c>
      <c r="JY2" s="34">
        <v>0.20799999999999999</v>
      </c>
      <c r="JZ2" s="34">
        <v>0.217</v>
      </c>
      <c r="KA2" s="34">
        <v>0.191</v>
      </c>
      <c r="KB2" s="34">
        <v>0.20749999999999999</v>
      </c>
      <c r="KC2" s="34">
        <v>0.19800000000000001</v>
      </c>
      <c r="KD2" s="34">
        <v>0.17100000000000001</v>
      </c>
      <c r="KE2" s="34">
        <v>0.17</v>
      </c>
      <c r="KF2" s="34">
        <v>0.19600000000000001</v>
      </c>
      <c r="KG2" s="34">
        <v>0.189</v>
      </c>
      <c r="KH2" s="34">
        <v>0.159</v>
      </c>
      <c r="KI2" s="34">
        <v>0.157</v>
      </c>
      <c r="KJ2" s="34">
        <v>0.17199999999999999</v>
      </c>
      <c r="KK2" s="34">
        <v>0.152</v>
      </c>
      <c r="KL2" s="34">
        <v>0.17299999999999999</v>
      </c>
      <c r="KM2" s="34">
        <v>0.156</v>
      </c>
      <c r="KN2" s="34">
        <v>0.17100000000000001</v>
      </c>
      <c r="KO2" s="34">
        <v>0.20050000000000001</v>
      </c>
      <c r="KP2" s="34">
        <v>0.185</v>
      </c>
      <c r="KQ2" s="34">
        <v>0.19</v>
      </c>
      <c r="KR2" s="34">
        <v>0.189</v>
      </c>
      <c r="KS2" s="34">
        <v>0.19400000000000001</v>
      </c>
      <c r="KT2" s="34">
        <v>0.18110000000000001</v>
      </c>
      <c r="KU2" s="34">
        <v>0.20200000000000001</v>
      </c>
      <c r="KV2" s="34">
        <v>0.20599999999999999</v>
      </c>
      <c r="KW2" s="34">
        <v>0.188</v>
      </c>
      <c r="KX2" s="34">
        <v>0.18</v>
      </c>
      <c r="KY2" s="34">
        <v>0.17699999999999999</v>
      </c>
      <c r="KZ2" s="34">
        <v>0.20399999999999999</v>
      </c>
      <c r="LA2" s="34">
        <v>0.189</v>
      </c>
      <c r="LB2" s="34">
        <v>0.17649999999999999</v>
      </c>
      <c r="LC2" s="34">
        <v>0.17299999999999999</v>
      </c>
      <c r="LD2" s="34">
        <v>0.17499999999999999</v>
      </c>
      <c r="LE2" s="34">
        <v>0.186</v>
      </c>
      <c r="LF2" s="34">
        <v>0.18</v>
      </c>
      <c r="LG2" s="34">
        <v>0.18</v>
      </c>
      <c r="LH2" s="34">
        <v>0.17</v>
      </c>
      <c r="LI2" s="34">
        <v>0.12</v>
      </c>
      <c r="LJ2" s="34">
        <v>0.12</v>
      </c>
      <c r="LK2" s="34">
        <v>0.12</v>
      </c>
      <c r="LL2" s="34">
        <v>0.12</v>
      </c>
      <c r="LM2" s="34">
        <v>0.12</v>
      </c>
      <c r="LN2" s="34">
        <v>0.12</v>
      </c>
      <c r="LO2" s="34">
        <v>0.12</v>
      </c>
      <c r="LP2" s="34">
        <v>0.12</v>
      </c>
      <c r="LQ2" s="34">
        <v>0.12</v>
      </c>
      <c r="LR2" s="34">
        <v>0.12</v>
      </c>
      <c r="LS2" s="34">
        <v>0.12</v>
      </c>
      <c r="LT2" s="34">
        <v>0.12</v>
      </c>
      <c r="LU2" s="34">
        <v>0.12</v>
      </c>
      <c r="LV2" s="34">
        <v>0.12</v>
      </c>
      <c r="LW2" s="34">
        <v>0.12</v>
      </c>
      <c r="LX2" s="34">
        <v>0.12</v>
      </c>
      <c r="LY2" s="34">
        <v>0.12</v>
      </c>
      <c r="LZ2" s="34">
        <v>0.12</v>
      </c>
      <c r="MA2" s="34">
        <v>0.12</v>
      </c>
      <c r="MB2" s="34">
        <v>0.12</v>
      </c>
      <c r="MC2" s="34">
        <v>0.12</v>
      </c>
      <c r="MD2" s="34">
        <v>0.17</v>
      </c>
      <c r="ME2" s="34">
        <v>0.17</v>
      </c>
      <c r="MF2" s="34">
        <v>0.16700000000000001</v>
      </c>
      <c r="MG2" s="34">
        <v>0.192</v>
      </c>
      <c r="MH2" s="34">
        <v>0.17699999999999999</v>
      </c>
      <c r="MI2" s="34">
        <v>0.14349999999999999</v>
      </c>
      <c r="MJ2" s="34">
        <v>0.17399999999999999</v>
      </c>
      <c r="MK2" s="34">
        <v>0.16600000000000001</v>
      </c>
      <c r="ML2" s="34">
        <v>0.17199999999999999</v>
      </c>
      <c r="MM2" s="34">
        <v>0.17199999999999999</v>
      </c>
      <c r="MN2" s="34">
        <v>0.17599999999999999</v>
      </c>
      <c r="MO2" s="34">
        <v>0.19900000000000001</v>
      </c>
      <c r="MP2" s="34">
        <v>0.157</v>
      </c>
      <c r="MQ2" s="34">
        <v>0.1565</v>
      </c>
      <c r="MR2" s="34">
        <v>0.183</v>
      </c>
      <c r="MS2" s="34">
        <v>0.19800000000000001</v>
      </c>
      <c r="MT2" s="34">
        <v>0.16900000000000001</v>
      </c>
      <c r="MU2" s="34">
        <v>0.1825</v>
      </c>
      <c r="MV2" s="34">
        <v>0.16700000000000001</v>
      </c>
      <c r="MW2" s="34">
        <v>0.17949999999999999</v>
      </c>
      <c r="MX2" s="34">
        <v>0.16800000000000001</v>
      </c>
      <c r="MY2" s="34">
        <v>0.19650000000000001</v>
      </c>
      <c r="MZ2" s="34">
        <v>0.19800000000000001</v>
      </c>
      <c r="NA2" s="34">
        <v>0.2167</v>
      </c>
      <c r="NB2" s="34">
        <v>0.192</v>
      </c>
      <c r="NC2" s="34">
        <v>0.17965200000000001</v>
      </c>
      <c r="ND2" s="542">
        <f>AVERAGE(B2:NC2)</f>
        <v>0.17154467759562811</v>
      </c>
    </row>
    <row r="3" spans="2:368" ht="18.75" x14ac:dyDescent="0.2">
      <c r="B3" s="36">
        <v>42370</v>
      </c>
      <c r="C3" s="36">
        <v>42371</v>
      </c>
      <c r="D3" s="36">
        <v>42372</v>
      </c>
      <c r="E3" s="36">
        <v>42373</v>
      </c>
      <c r="F3" s="36">
        <v>42374</v>
      </c>
      <c r="G3" s="36">
        <v>42375</v>
      </c>
      <c r="H3" s="36">
        <v>42376</v>
      </c>
      <c r="I3" s="36">
        <v>42377</v>
      </c>
      <c r="J3" s="36">
        <v>42378</v>
      </c>
      <c r="K3" s="36">
        <v>42379</v>
      </c>
      <c r="L3" s="36">
        <v>42380</v>
      </c>
      <c r="M3" s="36">
        <v>42381</v>
      </c>
      <c r="N3" s="36">
        <v>42382</v>
      </c>
      <c r="O3" s="36">
        <v>42383</v>
      </c>
      <c r="P3" s="36">
        <v>42384</v>
      </c>
      <c r="Q3" s="36">
        <v>42385</v>
      </c>
      <c r="R3" s="36">
        <v>42386</v>
      </c>
      <c r="S3" s="36">
        <v>42387</v>
      </c>
      <c r="T3" s="36">
        <v>42388</v>
      </c>
      <c r="U3" s="36">
        <v>42389</v>
      </c>
      <c r="V3" s="36">
        <v>42390</v>
      </c>
      <c r="W3" s="36">
        <v>42391</v>
      </c>
      <c r="X3" s="36">
        <v>42392</v>
      </c>
      <c r="Y3" s="36">
        <v>42393</v>
      </c>
      <c r="Z3" s="36">
        <v>42394</v>
      </c>
      <c r="AA3" s="36">
        <v>42395</v>
      </c>
      <c r="AB3" s="36">
        <v>42396</v>
      </c>
      <c r="AC3" s="36">
        <v>42397</v>
      </c>
      <c r="AD3" s="36">
        <v>42398</v>
      </c>
      <c r="AE3" s="36">
        <v>42399</v>
      </c>
      <c r="AF3" s="36">
        <v>42400</v>
      </c>
      <c r="AG3" s="36">
        <v>42401</v>
      </c>
      <c r="AH3" s="36">
        <v>42402</v>
      </c>
      <c r="AI3" s="36">
        <v>42403</v>
      </c>
      <c r="AJ3" s="36">
        <v>42404</v>
      </c>
      <c r="AK3" s="36">
        <v>42405</v>
      </c>
      <c r="AL3" s="36">
        <v>42406</v>
      </c>
      <c r="AM3" s="36">
        <v>42407</v>
      </c>
      <c r="AN3" s="36">
        <v>42408</v>
      </c>
      <c r="AO3" s="36">
        <v>42409</v>
      </c>
      <c r="AP3" s="36">
        <v>42410</v>
      </c>
      <c r="AQ3" s="36">
        <v>42411</v>
      </c>
      <c r="AR3" s="36">
        <v>42412</v>
      </c>
      <c r="AS3" s="36">
        <v>42413</v>
      </c>
      <c r="AT3" s="36">
        <v>42414</v>
      </c>
      <c r="AU3" s="36">
        <v>42415</v>
      </c>
      <c r="AV3" s="36">
        <v>42416</v>
      </c>
      <c r="AW3" s="36">
        <v>42417</v>
      </c>
      <c r="AX3" s="36">
        <v>42418</v>
      </c>
      <c r="AY3" s="36">
        <v>42419</v>
      </c>
      <c r="AZ3" s="36">
        <v>42420</v>
      </c>
      <c r="BA3" s="36">
        <v>42421</v>
      </c>
      <c r="BB3" s="36">
        <v>42422</v>
      </c>
      <c r="BC3" s="36">
        <v>42423</v>
      </c>
      <c r="BD3" s="36">
        <v>42424</v>
      </c>
      <c r="BE3" s="36">
        <v>42425</v>
      </c>
      <c r="BF3" s="36">
        <v>42426</v>
      </c>
      <c r="BG3" s="36">
        <v>42427</v>
      </c>
      <c r="BH3" s="36">
        <v>42428</v>
      </c>
      <c r="BI3" s="36">
        <v>42429</v>
      </c>
      <c r="BJ3" s="36">
        <v>42430</v>
      </c>
      <c r="BK3" s="36">
        <v>42431</v>
      </c>
      <c r="BL3" s="36">
        <v>42432</v>
      </c>
      <c r="BM3" s="36">
        <v>42433</v>
      </c>
      <c r="BN3" s="36">
        <v>42434</v>
      </c>
      <c r="BO3" s="36">
        <v>42435</v>
      </c>
      <c r="BP3" s="36">
        <v>42436</v>
      </c>
      <c r="BQ3" s="36">
        <v>42437</v>
      </c>
      <c r="BR3" s="36">
        <v>42438</v>
      </c>
      <c r="BS3" s="36">
        <v>42439</v>
      </c>
      <c r="BT3" s="36">
        <v>42440</v>
      </c>
      <c r="BU3" s="36">
        <v>42441</v>
      </c>
      <c r="BV3" s="36">
        <v>42442</v>
      </c>
      <c r="BW3" s="36">
        <v>42443</v>
      </c>
      <c r="BX3" s="36">
        <v>42444</v>
      </c>
      <c r="BY3" s="36">
        <v>42445</v>
      </c>
      <c r="BZ3" s="36">
        <v>42446</v>
      </c>
      <c r="CA3" s="36">
        <v>42447</v>
      </c>
      <c r="CB3" s="36">
        <v>42448</v>
      </c>
      <c r="CC3" s="36">
        <v>42449</v>
      </c>
      <c r="CD3" s="36">
        <v>42450</v>
      </c>
      <c r="CE3" s="36">
        <v>42451</v>
      </c>
      <c r="CF3" s="36">
        <v>42452</v>
      </c>
      <c r="CG3" s="36">
        <v>42453</v>
      </c>
      <c r="CH3" s="36">
        <v>42454</v>
      </c>
      <c r="CI3" s="36">
        <v>42455</v>
      </c>
      <c r="CJ3" s="36">
        <v>42456</v>
      </c>
      <c r="CK3" s="36">
        <v>42457</v>
      </c>
      <c r="CL3" s="36">
        <v>42458</v>
      </c>
      <c r="CM3" s="36">
        <v>42459</v>
      </c>
      <c r="CN3" s="36">
        <v>42460</v>
      </c>
      <c r="CO3" s="28">
        <v>42461</v>
      </c>
      <c r="CP3" s="28">
        <v>42462</v>
      </c>
      <c r="CQ3" s="28">
        <v>42463</v>
      </c>
      <c r="CR3" s="28">
        <v>42464</v>
      </c>
      <c r="CS3" s="28">
        <v>42465</v>
      </c>
      <c r="CT3" s="28">
        <v>42466</v>
      </c>
      <c r="CU3" s="28">
        <v>42467</v>
      </c>
      <c r="CV3" s="28">
        <v>42468</v>
      </c>
      <c r="CW3" s="28">
        <v>42469</v>
      </c>
      <c r="CX3" s="146">
        <v>42470</v>
      </c>
      <c r="CY3" s="148">
        <v>42471</v>
      </c>
      <c r="CZ3" s="148">
        <v>42472</v>
      </c>
      <c r="DA3" s="148">
        <v>42473</v>
      </c>
      <c r="DB3" s="148">
        <v>42474</v>
      </c>
      <c r="DC3" s="148">
        <v>42475</v>
      </c>
      <c r="DD3" s="148">
        <v>42476</v>
      </c>
      <c r="DE3" s="148">
        <v>42477</v>
      </c>
      <c r="DF3" s="148">
        <v>42478</v>
      </c>
      <c r="DG3" s="148">
        <v>42479</v>
      </c>
      <c r="DH3" s="149">
        <v>42480</v>
      </c>
      <c r="DI3" s="204">
        <v>42481</v>
      </c>
      <c r="DJ3" s="204">
        <v>42482</v>
      </c>
      <c r="DK3" s="204">
        <v>42483</v>
      </c>
      <c r="DL3" s="204">
        <v>42484</v>
      </c>
      <c r="DM3" s="204">
        <v>42485</v>
      </c>
      <c r="DN3" s="204">
        <v>42486</v>
      </c>
      <c r="DO3" s="204">
        <v>42487</v>
      </c>
      <c r="DP3" s="204">
        <v>42488</v>
      </c>
      <c r="DQ3" s="165">
        <v>42489</v>
      </c>
      <c r="DR3" s="165">
        <v>42490</v>
      </c>
      <c r="DS3" s="166">
        <v>42491</v>
      </c>
      <c r="DT3" s="166">
        <v>42492</v>
      </c>
      <c r="DU3" s="166">
        <v>42493</v>
      </c>
      <c r="DV3" s="166">
        <v>42494</v>
      </c>
      <c r="DW3" s="166">
        <v>42495</v>
      </c>
      <c r="DX3" s="166">
        <v>42496</v>
      </c>
      <c r="DY3" s="166">
        <v>42497</v>
      </c>
      <c r="DZ3" s="166">
        <v>42498</v>
      </c>
      <c r="EA3" s="165">
        <v>42499</v>
      </c>
      <c r="EB3" s="165">
        <v>42500</v>
      </c>
      <c r="EC3" s="165">
        <v>42501</v>
      </c>
      <c r="ED3" s="165">
        <v>42502</v>
      </c>
      <c r="EE3" s="165">
        <v>42503</v>
      </c>
      <c r="EF3" s="165">
        <v>42504</v>
      </c>
      <c r="EG3" s="165">
        <v>42505</v>
      </c>
      <c r="EH3" s="165">
        <v>42506</v>
      </c>
      <c r="EI3" s="165">
        <v>42507</v>
      </c>
      <c r="EJ3" s="165">
        <v>42508</v>
      </c>
      <c r="EK3" s="165">
        <v>42509</v>
      </c>
      <c r="EL3" s="165">
        <v>42510</v>
      </c>
      <c r="EM3" s="165">
        <v>42511</v>
      </c>
      <c r="EN3" s="165">
        <v>42512</v>
      </c>
      <c r="EO3" s="165">
        <v>42513</v>
      </c>
      <c r="EP3" s="165">
        <v>42514</v>
      </c>
      <c r="EQ3" s="165">
        <v>42515</v>
      </c>
      <c r="ER3" s="165">
        <v>42516</v>
      </c>
      <c r="ES3" s="165">
        <v>42517</v>
      </c>
      <c r="ET3" s="165">
        <v>42518</v>
      </c>
      <c r="EU3" s="165">
        <v>42519</v>
      </c>
      <c r="EV3" s="165">
        <v>42520</v>
      </c>
      <c r="EW3" s="165">
        <v>42521</v>
      </c>
      <c r="EX3" s="165">
        <v>42522</v>
      </c>
      <c r="EY3" s="165">
        <v>42523</v>
      </c>
      <c r="EZ3" s="165">
        <v>42524</v>
      </c>
      <c r="FA3" s="165">
        <v>42525</v>
      </c>
      <c r="FB3" s="165">
        <v>42526</v>
      </c>
      <c r="FC3" s="165">
        <v>42527</v>
      </c>
      <c r="FD3" s="165">
        <v>42528</v>
      </c>
      <c r="FE3" s="165">
        <v>42529</v>
      </c>
      <c r="FF3" s="165">
        <v>42530</v>
      </c>
      <c r="FG3" s="165">
        <v>42531</v>
      </c>
      <c r="FH3" s="165">
        <v>42532</v>
      </c>
      <c r="FI3" s="165">
        <v>42533</v>
      </c>
      <c r="FJ3" s="165">
        <v>42534</v>
      </c>
      <c r="FK3" s="165">
        <v>42535</v>
      </c>
      <c r="FL3" s="165">
        <v>42536</v>
      </c>
      <c r="FM3" s="165">
        <v>42537</v>
      </c>
      <c r="FN3" s="165">
        <v>42538</v>
      </c>
      <c r="FO3" s="165">
        <v>42539</v>
      </c>
      <c r="FP3" s="165">
        <v>42540</v>
      </c>
      <c r="FQ3" s="165">
        <v>42541</v>
      </c>
      <c r="FR3" s="165">
        <v>42542</v>
      </c>
      <c r="FS3" s="165">
        <v>42543</v>
      </c>
      <c r="FT3" s="165">
        <v>42544</v>
      </c>
      <c r="FU3" s="165">
        <v>42545</v>
      </c>
      <c r="FV3" s="165">
        <v>42546</v>
      </c>
      <c r="FW3" s="165">
        <v>42547</v>
      </c>
      <c r="FX3" s="165">
        <v>42548</v>
      </c>
      <c r="FY3" s="165">
        <v>42549</v>
      </c>
      <c r="FZ3" s="165">
        <v>42550</v>
      </c>
      <c r="GA3" s="165">
        <v>42551</v>
      </c>
      <c r="GB3" s="165">
        <v>42552</v>
      </c>
      <c r="GC3" s="165">
        <v>42553</v>
      </c>
      <c r="GD3" s="165">
        <v>42554</v>
      </c>
      <c r="GE3" s="165">
        <v>42555</v>
      </c>
      <c r="GF3" s="165">
        <v>42556</v>
      </c>
      <c r="GG3" s="165">
        <v>42557</v>
      </c>
      <c r="GH3" s="165">
        <v>42558</v>
      </c>
      <c r="GI3" s="165">
        <v>42559</v>
      </c>
      <c r="GJ3" s="165">
        <v>42560</v>
      </c>
      <c r="GK3" s="165">
        <v>42561</v>
      </c>
      <c r="GL3" s="165">
        <v>42562</v>
      </c>
      <c r="GM3" s="165">
        <v>42563</v>
      </c>
      <c r="GN3" s="165">
        <v>42564</v>
      </c>
      <c r="GO3" s="165">
        <v>42565</v>
      </c>
      <c r="GP3" s="165">
        <v>42566</v>
      </c>
      <c r="GQ3" s="165">
        <v>42567</v>
      </c>
      <c r="GR3" s="300">
        <v>42568</v>
      </c>
      <c r="GS3" s="300">
        <v>42569</v>
      </c>
      <c r="GT3" s="300">
        <v>42570</v>
      </c>
      <c r="GU3" s="300">
        <v>42571</v>
      </c>
      <c r="GV3" s="300">
        <v>42572</v>
      </c>
      <c r="GW3" s="165">
        <v>42573</v>
      </c>
      <c r="GX3" s="165">
        <v>42574</v>
      </c>
      <c r="GY3" s="165">
        <v>42575</v>
      </c>
      <c r="GZ3" s="165">
        <v>42576</v>
      </c>
      <c r="HA3" s="165">
        <v>42577</v>
      </c>
      <c r="HB3" s="165">
        <v>42578</v>
      </c>
      <c r="HC3" s="165">
        <v>42579</v>
      </c>
      <c r="HD3" s="165">
        <v>42580</v>
      </c>
      <c r="HE3" s="165">
        <v>42581</v>
      </c>
      <c r="HF3" s="165">
        <v>42582</v>
      </c>
      <c r="HG3" s="300">
        <v>42583</v>
      </c>
      <c r="HH3" s="300">
        <v>42584</v>
      </c>
      <c r="HI3" s="300">
        <v>42585</v>
      </c>
      <c r="HJ3" s="300">
        <v>42586</v>
      </c>
      <c r="HK3" s="300">
        <v>42587</v>
      </c>
      <c r="HL3" s="165">
        <v>42588</v>
      </c>
      <c r="HM3" s="165">
        <v>42589</v>
      </c>
      <c r="HN3" s="165">
        <v>42590</v>
      </c>
      <c r="HO3" s="165">
        <v>42591</v>
      </c>
      <c r="HP3" s="165">
        <v>42592</v>
      </c>
      <c r="HQ3" s="165">
        <v>42593</v>
      </c>
      <c r="HR3" s="165">
        <v>42594</v>
      </c>
      <c r="HS3" s="165">
        <v>42595</v>
      </c>
      <c r="HT3" s="165">
        <v>42596</v>
      </c>
      <c r="HU3" s="300">
        <v>42597</v>
      </c>
      <c r="HV3" s="300">
        <v>42598</v>
      </c>
      <c r="HW3" s="300">
        <v>42599</v>
      </c>
      <c r="HX3" s="300">
        <v>42600</v>
      </c>
      <c r="HY3" s="300">
        <v>42601</v>
      </c>
      <c r="HZ3" s="165">
        <v>42602</v>
      </c>
      <c r="IA3" s="165">
        <v>42603</v>
      </c>
      <c r="IB3" s="165">
        <v>42604</v>
      </c>
      <c r="IC3" s="165">
        <v>42605</v>
      </c>
      <c r="ID3" s="165">
        <v>42606</v>
      </c>
      <c r="IE3" s="165">
        <v>42607</v>
      </c>
      <c r="IF3" s="165">
        <v>42608</v>
      </c>
      <c r="IG3" s="165">
        <v>42609</v>
      </c>
      <c r="IH3" s="165">
        <v>42610</v>
      </c>
      <c r="II3" s="165">
        <v>42611</v>
      </c>
      <c r="IJ3" s="165">
        <v>42612</v>
      </c>
      <c r="IK3" s="364">
        <v>42613</v>
      </c>
      <c r="IL3" s="364">
        <v>42614</v>
      </c>
      <c r="IM3" s="364">
        <v>42615</v>
      </c>
      <c r="IN3" s="364">
        <v>42616</v>
      </c>
      <c r="IO3" s="364">
        <v>42617</v>
      </c>
      <c r="IP3" s="364">
        <v>42618</v>
      </c>
      <c r="IQ3" s="364">
        <v>42619</v>
      </c>
      <c r="IR3" s="364">
        <v>42620</v>
      </c>
      <c r="IS3" s="364">
        <v>42621</v>
      </c>
      <c r="IT3" s="364">
        <v>42622</v>
      </c>
      <c r="IU3" s="364">
        <v>42623</v>
      </c>
      <c r="IV3" s="364">
        <v>42624</v>
      </c>
      <c r="IW3" s="364">
        <v>42625</v>
      </c>
      <c r="IX3" s="364">
        <v>42626</v>
      </c>
      <c r="IY3" s="364">
        <v>42627</v>
      </c>
      <c r="IZ3" s="364">
        <v>42628</v>
      </c>
      <c r="JA3" s="364">
        <v>42629</v>
      </c>
      <c r="JB3" s="364">
        <v>42630</v>
      </c>
      <c r="JC3" s="364">
        <v>42631</v>
      </c>
      <c r="JD3" s="364">
        <v>42632</v>
      </c>
      <c r="JE3" s="364">
        <v>42633</v>
      </c>
      <c r="JF3" s="364">
        <v>42634</v>
      </c>
      <c r="JG3" s="364">
        <v>42635</v>
      </c>
      <c r="JH3" s="364">
        <v>42636</v>
      </c>
      <c r="JI3" s="364">
        <v>42637</v>
      </c>
      <c r="JJ3" s="364">
        <v>42638</v>
      </c>
      <c r="JK3" s="364">
        <v>42639</v>
      </c>
      <c r="JL3" s="364">
        <v>42640</v>
      </c>
      <c r="JM3" s="364">
        <v>42641</v>
      </c>
      <c r="JN3" s="364">
        <v>42642</v>
      </c>
      <c r="JO3" s="364">
        <v>42643</v>
      </c>
      <c r="JP3" s="364">
        <v>42644</v>
      </c>
      <c r="JQ3" s="364">
        <v>42645</v>
      </c>
      <c r="JR3" s="364">
        <v>42646</v>
      </c>
      <c r="JS3" s="364">
        <v>42647</v>
      </c>
      <c r="JT3" s="364">
        <v>42648</v>
      </c>
      <c r="JU3" s="364">
        <v>42649</v>
      </c>
      <c r="JV3" s="364">
        <v>42650</v>
      </c>
      <c r="JW3" s="364">
        <v>42651</v>
      </c>
      <c r="JX3" s="364">
        <v>42652</v>
      </c>
      <c r="JY3" s="364">
        <v>42653</v>
      </c>
      <c r="JZ3" s="364">
        <v>42654</v>
      </c>
      <c r="KA3" s="364">
        <v>42655</v>
      </c>
      <c r="KB3" s="364">
        <v>42656</v>
      </c>
      <c r="KC3" s="364">
        <v>42657</v>
      </c>
      <c r="KD3" s="364">
        <v>42658</v>
      </c>
      <c r="KE3" s="364">
        <v>42659</v>
      </c>
      <c r="KF3" s="364">
        <v>42660</v>
      </c>
      <c r="KG3" s="364">
        <v>42661</v>
      </c>
      <c r="KH3" s="364">
        <v>42662</v>
      </c>
      <c r="KI3" s="364">
        <v>42663</v>
      </c>
      <c r="KJ3" s="364">
        <v>42664</v>
      </c>
      <c r="KK3" s="364">
        <v>42665</v>
      </c>
      <c r="KL3" s="364">
        <v>42666</v>
      </c>
      <c r="KM3" s="364">
        <v>42667</v>
      </c>
      <c r="KN3" s="364">
        <v>42668</v>
      </c>
      <c r="KO3" s="364">
        <v>42669</v>
      </c>
      <c r="KP3" s="364">
        <v>42670</v>
      </c>
      <c r="KQ3" s="364">
        <v>42671</v>
      </c>
      <c r="KR3" s="364">
        <v>42672</v>
      </c>
      <c r="KS3" s="364">
        <v>42673</v>
      </c>
      <c r="KT3" s="364">
        <v>42674</v>
      </c>
      <c r="KU3" s="477">
        <v>42675</v>
      </c>
      <c r="KV3" s="477">
        <v>42676</v>
      </c>
      <c r="KW3" s="477">
        <v>42677</v>
      </c>
      <c r="KX3" s="477">
        <v>42678</v>
      </c>
      <c r="KY3" s="477">
        <v>42679</v>
      </c>
      <c r="KZ3" s="477">
        <v>42680</v>
      </c>
      <c r="LA3" s="477">
        <v>42681</v>
      </c>
      <c r="LB3" s="477">
        <v>42682</v>
      </c>
      <c r="LC3" s="477">
        <v>42683</v>
      </c>
      <c r="LD3" s="476">
        <v>42684</v>
      </c>
      <c r="LE3" s="476">
        <v>42685</v>
      </c>
      <c r="LF3" s="476">
        <v>42686</v>
      </c>
      <c r="LG3" s="476">
        <v>42687</v>
      </c>
      <c r="LH3" s="476">
        <v>42688</v>
      </c>
      <c r="LI3" s="476">
        <v>42689</v>
      </c>
      <c r="LJ3" s="476">
        <v>42690</v>
      </c>
      <c r="LK3" s="476">
        <v>42691</v>
      </c>
      <c r="LL3" s="476">
        <v>42692</v>
      </c>
      <c r="LM3" s="476">
        <v>42693</v>
      </c>
      <c r="LN3" s="476">
        <v>42694</v>
      </c>
      <c r="LO3" s="476">
        <v>42695</v>
      </c>
      <c r="LP3" s="476">
        <v>42696</v>
      </c>
      <c r="LQ3" s="476">
        <v>42697</v>
      </c>
      <c r="LR3" s="476">
        <v>42698</v>
      </c>
      <c r="LS3" s="476">
        <v>42699</v>
      </c>
      <c r="LT3" s="476">
        <v>42700</v>
      </c>
      <c r="LU3" s="476">
        <v>42701</v>
      </c>
      <c r="LV3" s="476">
        <v>42702</v>
      </c>
      <c r="LW3" s="476">
        <v>42703</v>
      </c>
      <c r="LX3" s="476">
        <v>42704</v>
      </c>
      <c r="LY3" s="476">
        <v>42705</v>
      </c>
      <c r="LZ3" s="476">
        <v>42706</v>
      </c>
      <c r="MA3" s="476">
        <v>42707</v>
      </c>
      <c r="MB3" s="476">
        <v>42708</v>
      </c>
      <c r="MC3" s="476">
        <v>42709</v>
      </c>
      <c r="MD3" s="476">
        <v>42710</v>
      </c>
      <c r="ME3" s="476">
        <v>42711</v>
      </c>
      <c r="MF3" s="364">
        <v>42712</v>
      </c>
      <c r="MG3" s="364">
        <v>42713</v>
      </c>
      <c r="MH3" s="364">
        <v>42714</v>
      </c>
      <c r="MI3" s="364">
        <v>42715</v>
      </c>
      <c r="MJ3" s="511">
        <v>42716</v>
      </c>
      <c r="MK3" s="511">
        <v>42717</v>
      </c>
      <c r="ML3" s="476">
        <v>42718</v>
      </c>
      <c r="MM3" s="476">
        <v>42719</v>
      </c>
      <c r="MN3" s="476">
        <v>42720</v>
      </c>
      <c r="MO3" s="476">
        <v>42721</v>
      </c>
      <c r="MP3" s="476">
        <v>42722</v>
      </c>
      <c r="MQ3" s="476">
        <v>42723</v>
      </c>
      <c r="MR3" s="364">
        <v>42724</v>
      </c>
      <c r="MS3" s="364">
        <v>42725</v>
      </c>
      <c r="MT3" s="364">
        <v>42726</v>
      </c>
      <c r="MU3" s="364">
        <v>42727</v>
      </c>
      <c r="MV3" s="364">
        <v>42728</v>
      </c>
      <c r="MW3" s="364">
        <v>42729</v>
      </c>
      <c r="MX3" s="364">
        <v>42730</v>
      </c>
      <c r="MY3" s="364">
        <v>42731</v>
      </c>
      <c r="MZ3" s="364">
        <v>42732</v>
      </c>
      <c r="NA3" s="364">
        <v>42733</v>
      </c>
      <c r="NB3" s="364">
        <v>42734</v>
      </c>
      <c r="NC3" s="364">
        <v>42735</v>
      </c>
    </row>
    <row r="4" spans="2:368" x14ac:dyDescent="0.2">
      <c r="B4">
        <v>7886.6440000000011</v>
      </c>
      <c r="C4">
        <v>7867.1400000000012</v>
      </c>
      <c r="D4">
        <v>6637.22</v>
      </c>
      <c r="E4">
        <v>8164.2599999999993</v>
      </c>
      <c r="F4">
        <v>6352.2199999999993</v>
      </c>
      <c r="G4">
        <v>7679.2759999999998</v>
      </c>
      <c r="H4">
        <v>6701.94</v>
      </c>
      <c r="I4">
        <v>7832.8050000000003</v>
      </c>
      <c r="J4">
        <v>6295.32</v>
      </c>
      <c r="K4">
        <v>6320.8399999999992</v>
      </c>
      <c r="L4">
        <v>7695.36</v>
      </c>
      <c r="M4">
        <v>6173.5199999999995</v>
      </c>
      <c r="N4">
        <v>7670.3550000000005</v>
      </c>
      <c r="O4">
        <v>8017.6200000000008</v>
      </c>
      <c r="P4">
        <v>6619.86</v>
      </c>
      <c r="Q4">
        <v>8088.5479999999998</v>
      </c>
      <c r="R4">
        <v>6462.7979999999998</v>
      </c>
      <c r="S4">
        <v>7539.2279999999992</v>
      </c>
      <c r="T4">
        <v>6534.4850000000006</v>
      </c>
      <c r="U4">
        <v>7977.0599999999995</v>
      </c>
      <c r="V4">
        <v>6296.4670000000006</v>
      </c>
      <c r="W4">
        <v>7877.3850000000002</v>
      </c>
      <c r="X4">
        <v>5965.7040000000006</v>
      </c>
      <c r="Y4">
        <v>7684.6590000000006</v>
      </c>
      <c r="Z4">
        <v>6272.37</v>
      </c>
      <c r="AA4">
        <v>8336.7060000000001</v>
      </c>
      <c r="AB4">
        <v>6648.0749999999989</v>
      </c>
      <c r="AC4">
        <v>7512.57</v>
      </c>
      <c r="AD4">
        <v>6476.4719999999998</v>
      </c>
      <c r="AE4">
        <v>8164.2120000000004</v>
      </c>
      <c r="AF4">
        <v>6594.12</v>
      </c>
      <c r="AG4">
        <v>8056.1640000000007</v>
      </c>
      <c r="AH4">
        <v>6337.1140000000005</v>
      </c>
      <c r="AI4">
        <v>7162.0380000000005</v>
      </c>
      <c r="AJ4">
        <v>6074.9780000000001</v>
      </c>
      <c r="AK4">
        <v>7441.4479999999994</v>
      </c>
      <c r="AL4">
        <v>6338.1699999999992</v>
      </c>
      <c r="AM4">
        <v>7658.4999999999991</v>
      </c>
      <c r="AN4">
        <v>6528.8759999999993</v>
      </c>
      <c r="AO4">
        <v>7281.6839999999993</v>
      </c>
      <c r="AP4">
        <v>6420.5760000000009</v>
      </c>
      <c r="AQ4">
        <v>7496.3771999999999</v>
      </c>
      <c r="AR4">
        <v>6520.8519999999999</v>
      </c>
      <c r="AS4">
        <v>6861.91</v>
      </c>
      <c r="AT4">
        <v>6223.14</v>
      </c>
      <c r="AU4">
        <v>7435.0590000000002</v>
      </c>
      <c r="AV4">
        <v>7837.9727999999996</v>
      </c>
      <c r="AW4">
        <v>5709.06</v>
      </c>
      <c r="AX4">
        <v>6450.9791999999998</v>
      </c>
      <c r="AY4">
        <v>7558.42</v>
      </c>
      <c r="AZ4">
        <v>5866.9890000000005</v>
      </c>
      <c r="BA4">
        <v>7698.1050000000005</v>
      </c>
      <c r="BB4">
        <v>8077.9999999999991</v>
      </c>
      <c r="BC4">
        <v>6147.92</v>
      </c>
      <c r="BD4">
        <v>6243.1210000000001</v>
      </c>
      <c r="BE4">
        <v>7791.2290000000003</v>
      </c>
      <c r="BF4">
        <v>7391.25</v>
      </c>
      <c r="BG4">
        <v>5990.5157000000008</v>
      </c>
      <c r="BH4">
        <v>6173.7169999999996</v>
      </c>
      <c r="BI4">
        <v>7658.6796000000004</v>
      </c>
      <c r="BJ4">
        <v>4240.1379999999999</v>
      </c>
      <c r="BK4">
        <v>1758.6690000000001</v>
      </c>
      <c r="BL4">
        <v>4773.8140000000003</v>
      </c>
      <c r="BM4">
        <v>4862.942</v>
      </c>
      <c r="BN4">
        <v>4688.5860000000002</v>
      </c>
      <c r="BO4">
        <v>5103.527</v>
      </c>
      <c r="BP4">
        <v>5256.8099999999995</v>
      </c>
      <c r="BQ4">
        <v>4911.7480000000005</v>
      </c>
      <c r="BR4">
        <v>4923.1619999999994</v>
      </c>
      <c r="BS4">
        <v>5268.1710000000003</v>
      </c>
      <c r="BT4">
        <v>5032.6919999999991</v>
      </c>
      <c r="BU4">
        <v>5086.6230000000005</v>
      </c>
      <c r="BV4">
        <v>6273</v>
      </c>
      <c r="BW4">
        <v>6228.5279999999993</v>
      </c>
      <c r="BX4">
        <v>9398.3310000000001</v>
      </c>
      <c r="BY4">
        <v>5685.2820000000002</v>
      </c>
      <c r="BZ4">
        <v>8165.9340000000002</v>
      </c>
      <c r="CA4">
        <v>8013.5730000000003</v>
      </c>
      <c r="CB4">
        <v>6488.0820000000003</v>
      </c>
      <c r="CC4">
        <v>8039.2049999999999</v>
      </c>
      <c r="CD4">
        <v>6565.4119999999994</v>
      </c>
      <c r="CE4">
        <v>7916.5410000000002</v>
      </c>
      <c r="CF4">
        <v>6481.9980000000005</v>
      </c>
      <c r="CG4">
        <v>6159.1050000000005</v>
      </c>
      <c r="CH4">
        <v>8360.1919999999991</v>
      </c>
      <c r="CI4">
        <v>7351.7759999999998</v>
      </c>
      <c r="CJ4">
        <v>6210.1959999999999</v>
      </c>
      <c r="CK4">
        <v>5977.2279999999992</v>
      </c>
      <c r="CL4">
        <v>7949.9519999999993</v>
      </c>
      <c r="CM4">
        <v>4723.0499999999993</v>
      </c>
      <c r="CN4">
        <v>8702.9250000000011</v>
      </c>
      <c r="CO4">
        <v>6970.2480000000005</v>
      </c>
      <c r="CP4">
        <v>9064.0770000000011</v>
      </c>
      <c r="CQ4">
        <v>7282.96</v>
      </c>
      <c r="CR4">
        <v>9194.2759999999998</v>
      </c>
      <c r="CS4">
        <v>7349.8719999999994</v>
      </c>
      <c r="CT4">
        <v>8985.273000000001</v>
      </c>
      <c r="CU4">
        <v>6963.973</v>
      </c>
      <c r="CV4">
        <v>8998.1650000000009</v>
      </c>
      <c r="CW4">
        <v>6872.32</v>
      </c>
      <c r="CX4">
        <v>8707.9650000000001</v>
      </c>
      <c r="CY4">
        <v>8691.9179999999997</v>
      </c>
      <c r="CZ4">
        <v>7116.12</v>
      </c>
      <c r="DA4">
        <v>8246.6949999999997</v>
      </c>
      <c r="DB4">
        <v>6975.5839999999998</v>
      </c>
      <c r="DC4">
        <v>6967.2010000000009</v>
      </c>
      <c r="DD4">
        <v>8923.1999999999989</v>
      </c>
      <c r="DE4">
        <v>8795.7160000000003</v>
      </c>
      <c r="DF4">
        <v>7060.3140000000003</v>
      </c>
      <c r="DG4">
        <v>7176.0150000000003</v>
      </c>
      <c r="DH4">
        <v>4886.7119999999995</v>
      </c>
      <c r="DI4">
        <v>8821.8900000000012</v>
      </c>
      <c r="DJ4">
        <v>9234.4230000000007</v>
      </c>
      <c r="DK4">
        <v>7229.9699999999993</v>
      </c>
      <c r="DL4">
        <v>9000.3870000000006</v>
      </c>
      <c r="DM4">
        <v>7315.4157999999998</v>
      </c>
      <c r="DN4">
        <v>7162.0285000000003</v>
      </c>
      <c r="DO4">
        <v>7381.0654999999997</v>
      </c>
      <c r="DP4">
        <v>8562.6743999999999</v>
      </c>
      <c r="DQ4">
        <v>6972.96</v>
      </c>
      <c r="DR4">
        <v>8876.3136000000013</v>
      </c>
      <c r="DS4">
        <v>7033.6266000000005</v>
      </c>
      <c r="DT4">
        <v>4374.7392</v>
      </c>
      <c r="DU4">
        <v>7033.8247999999994</v>
      </c>
      <c r="DV4">
        <v>5772.2807999999995</v>
      </c>
      <c r="DW4">
        <v>7457.7932000000001</v>
      </c>
      <c r="DX4">
        <v>5549.1487999999999</v>
      </c>
      <c r="DY4">
        <v>5892.7939999999999</v>
      </c>
      <c r="DZ4">
        <v>7130.0349999999999</v>
      </c>
      <c r="EA4">
        <v>6662.0223999999998</v>
      </c>
      <c r="EB4">
        <v>7753.5150000000003</v>
      </c>
      <c r="EC4">
        <v>6703.6140000000005</v>
      </c>
      <c r="ED4">
        <v>8320.7584000000006</v>
      </c>
      <c r="EE4">
        <v>6543.3912</v>
      </c>
      <c r="EF4">
        <v>8716.9610000000011</v>
      </c>
      <c r="EG4">
        <v>6809.88</v>
      </c>
      <c r="EH4">
        <v>8636.8590000000004</v>
      </c>
      <c r="EI4">
        <v>6730.02</v>
      </c>
      <c r="EJ4">
        <v>8272.32</v>
      </c>
      <c r="EK4">
        <v>7183.2096000000001</v>
      </c>
      <c r="EL4">
        <v>8298.909599999999</v>
      </c>
      <c r="EM4">
        <v>6727.5999999999995</v>
      </c>
      <c r="EN4">
        <v>8284.5750000000007</v>
      </c>
      <c r="EO4">
        <v>6224.8559999999998</v>
      </c>
      <c r="EP4">
        <v>7902.7879999999996</v>
      </c>
      <c r="EQ4">
        <v>6441.119999999999</v>
      </c>
      <c r="ER4">
        <v>6745.1778000000004</v>
      </c>
      <c r="ES4">
        <v>8116.2159999999994</v>
      </c>
      <c r="ET4">
        <v>8430.65</v>
      </c>
      <c r="EU4">
        <v>6374.2919999999995</v>
      </c>
      <c r="EV4">
        <v>8096.5770000000002</v>
      </c>
      <c r="EW4">
        <v>6691.6919999999991</v>
      </c>
      <c r="EX4">
        <v>6536.2559999999994</v>
      </c>
      <c r="EY4">
        <v>8636.7371999999996</v>
      </c>
      <c r="EZ4">
        <v>6559.6930000000002</v>
      </c>
      <c r="FA4">
        <v>8217.8850000000002</v>
      </c>
      <c r="FB4">
        <v>6509.0839999999989</v>
      </c>
      <c r="FC4">
        <v>8262.64</v>
      </c>
      <c r="FD4">
        <v>7992.4440000000004</v>
      </c>
      <c r="FE4">
        <v>6574.4390000000003</v>
      </c>
      <c r="FF4">
        <v>8728.5</v>
      </c>
      <c r="FG4">
        <v>6725.5759999999991</v>
      </c>
      <c r="FH4">
        <v>6944.3945999999996</v>
      </c>
      <c r="FI4">
        <v>8729.0069999999996</v>
      </c>
      <c r="FJ4">
        <v>8490.24</v>
      </c>
      <c r="FK4">
        <v>6736.7430000000004</v>
      </c>
      <c r="FL4">
        <v>8362.1504000000004</v>
      </c>
      <c r="FM4">
        <v>6423.0719999999992</v>
      </c>
      <c r="FN4">
        <v>8210.7199999999993</v>
      </c>
      <c r="FO4">
        <v>6510.9930000000004</v>
      </c>
      <c r="FP4">
        <v>8224.8369000000002</v>
      </c>
      <c r="FQ4">
        <v>6514.7991999999995</v>
      </c>
      <c r="FR4">
        <v>8536.9007999999994</v>
      </c>
      <c r="FS4">
        <v>6733.0410000000002</v>
      </c>
      <c r="FT4">
        <v>8478.6239999999998</v>
      </c>
      <c r="FU4">
        <v>6667.7639999999992</v>
      </c>
      <c r="FV4">
        <v>8868.155999999999</v>
      </c>
      <c r="FW4">
        <v>6949.7649000000001</v>
      </c>
      <c r="FX4">
        <v>8890.4619999999995</v>
      </c>
      <c r="FY4">
        <v>6723.99</v>
      </c>
      <c r="FZ4">
        <v>8564.6</v>
      </c>
      <c r="GA4">
        <v>6888.5519999999997</v>
      </c>
      <c r="GB4">
        <v>8862.1280000000006</v>
      </c>
      <c r="GC4">
        <v>6726.1376</v>
      </c>
      <c r="GD4">
        <v>8489.7999999999993</v>
      </c>
      <c r="GE4">
        <v>6810.6239999999998</v>
      </c>
      <c r="GF4">
        <v>8766.4499999999989</v>
      </c>
      <c r="GG4">
        <v>6890.0535</v>
      </c>
      <c r="GH4">
        <v>9029.7167999999983</v>
      </c>
      <c r="GI4">
        <v>6942.7121000000006</v>
      </c>
      <c r="GJ4">
        <v>9036.7799999999988</v>
      </c>
      <c r="GK4">
        <v>6688.2816000000003</v>
      </c>
      <c r="GL4">
        <v>8830.5110000000004</v>
      </c>
      <c r="GM4">
        <v>7017.9999999999991</v>
      </c>
      <c r="GN4">
        <v>8716.4880000000012</v>
      </c>
      <c r="GO4">
        <v>6479.5415999999996</v>
      </c>
      <c r="GP4">
        <v>8544.1039999999994</v>
      </c>
      <c r="GQ4">
        <v>6909.7859999999991</v>
      </c>
      <c r="GR4">
        <v>6196.2</v>
      </c>
      <c r="GS4">
        <v>5348.88</v>
      </c>
      <c r="GT4">
        <v>5592.0419999999995</v>
      </c>
      <c r="GU4">
        <v>4842.0954999999994</v>
      </c>
      <c r="GV4">
        <v>5217.5720000000001</v>
      </c>
      <c r="GW4">
        <v>6164.8807999999999</v>
      </c>
      <c r="GX4">
        <v>9290.4439999999995</v>
      </c>
      <c r="GY4">
        <v>7261.9779999999992</v>
      </c>
      <c r="GZ4">
        <v>8461.8050000000003</v>
      </c>
      <c r="HA4">
        <v>6509.8439999999991</v>
      </c>
      <c r="HB4">
        <v>8700.0099999999984</v>
      </c>
      <c r="HC4">
        <v>6897.3144000000002</v>
      </c>
      <c r="HD4">
        <v>8867.2520000000004</v>
      </c>
      <c r="HE4">
        <v>6515.6459999999997</v>
      </c>
      <c r="HF4">
        <v>8242.9600000000009</v>
      </c>
      <c r="HG4">
        <v>4575.5581499999998</v>
      </c>
      <c r="HH4">
        <v>4518.6161499999998</v>
      </c>
      <c r="HI4">
        <v>4907.3310000000001</v>
      </c>
      <c r="HJ4">
        <v>4977.0369000000001</v>
      </c>
      <c r="HK4">
        <v>4698.6984000000002</v>
      </c>
      <c r="HL4">
        <v>6225.3360000000002</v>
      </c>
      <c r="HM4">
        <v>7262.6794799999989</v>
      </c>
      <c r="HN4">
        <v>8201.1069000000007</v>
      </c>
      <c r="HO4">
        <v>6203.6181000000006</v>
      </c>
      <c r="HP4">
        <v>6004.9728000000005</v>
      </c>
      <c r="HQ4">
        <v>7498.9317599999995</v>
      </c>
      <c r="HR4">
        <v>8045.0650800000003</v>
      </c>
      <c r="HS4">
        <v>6553.8414000000002</v>
      </c>
      <c r="HT4">
        <v>7709.0004000000008</v>
      </c>
      <c r="HU4">
        <v>2831.7168000000001</v>
      </c>
      <c r="HV4">
        <v>4012.5987000000005</v>
      </c>
      <c r="HW4">
        <v>2417.7582000000002</v>
      </c>
      <c r="HX4">
        <v>2472.7527</v>
      </c>
      <c r="HY4">
        <v>2307.7692000000002</v>
      </c>
      <c r="HZ4">
        <v>7272.0899999999992</v>
      </c>
      <c r="IA4">
        <v>6254.82</v>
      </c>
      <c r="IB4">
        <v>6278.1183000000001</v>
      </c>
      <c r="IC4">
        <v>7810.5599999999995</v>
      </c>
      <c r="ID4">
        <v>8121.6431999999995</v>
      </c>
      <c r="IE4">
        <v>6358.4351999999999</v>
      </c>
      <c r="IF4">
        <v>7715.4210000000003</v>
      </c>
      <c r="IG4">
        <v>6138.6435000000001</v>
      </c>
      <c r="IH4">
        <v>6381.54</v>
      </c>
      <c r="II4">
        <v>7691.109840000001</v>
      </c>
      <c r="IJ4">
        <v>5956.5833999999995</v>
      </c>
      <c r="IK4">
        <v>6311.9232000000002</v>
      </c>
      <c r="IL4">
        <v>7925.4449999999997</v>
      </c>
      <c r="IM4">
        <v>7866.7380000000003</v>
      </c>
      <c r="IN4">
        <v>6529.6178799999998</v>
      </c>
      <c r="IO4">
        <v>8007.5046799999991</v>
      </c>
      <c r="IP4">
        <v>6400.1734944</v>
      </c>
      <c r="IQ4">
        <v>6346.7444943999999</v>
      </c>
      <c r="IR4">
        <v>8041.7521079999997</v>
      </c>
      <c r="IS4">
        <v>7968.0293799999999</v>
      </c>
      <c r="IT4">
        <v>6278.7502844000001</v>
      </c>
      <c r="IU4">
        <v>8077.8348024000006</v>
      </c>
      <c r="IV4">
        <v>6497.3613100000002</v>
      </c>
      <c r="IW4">
        <v>6217.4909159999997</v>
      </c>
      <c r="IX4">
        <v>6398.0056708000011</v>
      </c>
      <c r="IY4">
        <v>7990.0495615999998</v>
      </c>
      <c r="IZ4">
        <v>8118.4018159999996</v>
      </c>
      <c r="JA4">
        <v>6465.4813872000004</v>
      </c>
      <c r="JB4">
        <v>8006.6387700000014</v>
      </c>
      <c r="JC4">
        <v>6675.8199300000006</v>
      </c>
      <c r="JD4">
        <v>7873.1113999999989</v>
      </c>
      <c r="JE4">
        <v>6295.32</v>
      </c>
      <c r="JF4">
        <v>6742.5177599999988</v>
      </c>
      <c r="JG4">
        <v>8579.0496000000003</v>
      </c>
      <c r="JH4">
        <v>8316.4223999999995</v>
      </c>
      <c r="JI4">
        <v>6593.7782399999996</v>
      </c>
      <c r="JJ4">
        <v>6569.5161599999992</v>
      </c>
      <c r="JK4">
        <v>8087.6390399999991</v>
      </c>
      <c r="JL4">
        <v>8256.3357599999999</v>
      </c>
      <c r="JM4">
        <v>6659.7640999999994</v>
      </c>
      <c r="JN4">
        <v>8075.6839999999993</v>
      </c>
      <c r="JO4">
        <v>6528.8455499999991</v>
      </c>
      <c r="JP4">
        <v>8348.7360000000008</v>
      </c>
      <c r="JQ4">
        <v>6712.6214399999999</v>
      </c>
      <c r="JR4">
        <v>8132.4028800000006</v>
      </c>
      <c r="JS4">
        <v>6724.5749999999998</v>
      </c>
      <c r="JT4">
        <v>8570.7294750000001</v>
      </c>
      <c r="JU4">
        <v>6412.3157000000001</v>
      </c>
      <c r="JV4">
        <v>8143.4075999999995</v>
      </c>
      <c r="JW4">
        <v>6915.3676799999994</v>
      </c>
      <c r="JX4">
        <v>8162.7955199999997</v>
      </c>
      <c r="JY4">
        <v>6952.2815999999993</v>
      </c>
      <c r="JZ4">
        <v>8918.9548800000011</v>
      </c>
      <c r="KA4">
        <v>6696.6595199999992</v>
      </c>
      <c r="KB4">
        <v>8237.2752</v>
      </c>
      <c r="KC4">
        <v>6546.2553599999992</v>
      </c>
      <c r="KD4">
        <v>7943.3145599999998</v>
      </c>
      <c r="KE4">
        <v>6361.804799999999</v>
      </c>
      <c r="KF4">
        <v>8208.1958400000003</v>
      </c>
      <c r="KG4">
        <v>6810.9724799999995</v>
      </c>
      <c r="KH4">
        <v>8322.5471999999991</v>
      </c>
      <c r="KI4">
        <v>6782.0563199999997</v>
      </c>
      <c r="KJ4">
        <v>8292.134399999999</v>
      </c>
      <c r="KK4">
        <v>6660.9561599999988</v>
      </c>
      <c r="KL4">
        <v>8454.6086400000004</v>
      </c>
      <c r="KM4">
        <v>6806.1580799999992</v>
      </c>
      <c r="KN4">
        <v>8253.5827200000003</v>
      </c>
      <c r="KO4">
        <v>6591.0331199999991</v>
      </c>
      <c r="KP4">
        <v>8446.68</v>
      </c>
      <c r="KQ4">
        <v>6628.2047999999995</v>
      </c>
      <c r="KR4">
        <v>8355.3407999999999</v>
      </c>
      <c r="KS4">
        <v>6681.4329600000001</v>
      </c>
      <c r="KT4">
        <v>8200.0465920000006</v>
      </c>
      <c r="KU4">
        <v>6440.0275199999996</v>
      </c>
      <c r="KV4">
        <v>8180.7321599999996</v>
      </c>
      <c r="KW4">
        <v>5800.4812799999991</v>
      </c>
      <c r="KX4">
        <v>7785.7343999999994</v>
      </c>
      <c r="KY4">
        <v>6524.1580800000002</v>
      </c>
      <c r="KZ4">
        <v>7593.8687999999993</v>
      </c>
      <c r="LA4">
        <v>6150.0787200000004</v>
      </c>
      <c r="LB4">
        <v>7893.6561599999986</v>
      </c>
      <c r="LC4">
        <v>5849.9856</v>
      </c>
      <c r="LD4">
        <v>1239.672</v>
      </c>
      <c r="LE4">
        <v>0</v>
      </c>
      <c r="LF4">
        <v>0</v>
      </c>
      <c r="LG4">
        <v>0</v>
      </c>
      <c r="LH4">
        <v>0</v>
      </c>
      <c r="LI4">
        <v>0</v>
      </c>
      <c r="LJ4">
        <v>0</v>
      </c>
      <c r="LK4">
        <v>0</v>
      </c>
      <c r="LL4">
        <v>0</v>
      </c>
      <c r="LM4">
        <v>0</v>
      </c>
      <c r="LN4">
        <v>0</v>
      </c>
      <c r="LO4">
        <v>0</v>
      </c>
      <c r="LP4">
        <v>0</v>
      </c>
      <c r="LQ4">
        <v>0</v>
      </c>
      <c r="LR4">
        <v>0</v>
      </c>
      <c r="LS4">
        <v>0</v>
      </c>
      <c r="LT4">
        <v>0</v>
      </c>
      <c r="LU4">
        <v>0</v>
      </c>
      <c r="LV4">
        <v>0</v>
      </c>
      <c r="LW4">
        <v>0</v>
      </c>
      <c r="LX4">
        <v>0</v>
      </c>
      <c r="LY4">
        <v>0</v>
      </c>
      <c r="LZ4">
        <v>0</v>
      </c>
      <c r="MA4">
        <v>0</v>
      </c>
      <c r="MB4">
        <v>0</v>
      </c>
      <c r="MC4">
        <v>0</v>
      </c>
      <c r="MD4">
        <v>1482.8209695</v>
      </c>
      <c r="ME4">
        <v>6425.1579600000005</v>
      </c>
      <c r="MF4">
        <v>7722.7023811500012</v>
      </c>
      <c r="MG4">
        <v>5670.3268948000004</v>
      </c>
      <c r="MH4">
        <v>7556.140263100001</v>
      </c>
      <c r="MI4">
        <v>5362.2892777250008</v>
      </c>
      <c r="MJ4">
        <v>5910.6658338000007</v>
      </c>
      <c r="MK4">
        <v>5085.5199020999999</v>
      </c>
      <c r="ML4">
        <v>4859.5267122000005</v>
      </c>
      <c r="MM4">
        <v>4813.8973533999997</v>
      </c>
      <c r="MN4">
        <v>4305.0033684</v>
      </c>
      <c r="MO4">
        <v>4524.3277623500007</v>
      </c>
      <c r="MP4">
        <v>4326.7258775000009</v>
      </c>
      <c r="MQ4">
        <v>5305.9467118500015</v>
      </c>
      <c r="MR4">
        <v>5400.8620484000003</v>
      </c>
      <c r="MS4">
        <v>7094.4350020000002</v>
      </c>
      <c r="MT4">
        <v>6565.7856439000007</v>
      </c>
      <c r="MU4">
        <v>6487.7451581250007</v>
      </c>
      <c r="MV4">
        <v>6158.7923773500006</v>
      </c>
      <c r="MW4">
        <v>5931.1056063000005</v>
      </c>
      <c r="MX4">
        <v>6091.0726960000002</v>
      </c>
      <c r="MY4">
        <v>5753.0270339749995</v>
      </c>
      <c r="MZ4">
        <v>5814.2454332999996</v>
      </c>
      <c r="NA4">
        <v>5850.152939605</v>
      </c>
      <c r="NB4">
        <v>5846.1888531999994</v>
      </c>
      <c r="NC4">
        <v>5672.0182588238004</v>
      </c>
      <c r="ND4">
        <f>SUM(B4:NC4)</f>
        <v>2370967.7802210525</v>
      </c>
    </row>
    <row r="5" spans="2:368" x14ac:dyDescent="0.2">
      <c r="B5">
        <v>6967</v>
      </c>
      <c r="C5">
        <v>6901</v>
      </c>
      <c r="D5">
        <v>5620</v>
      </c>
      <c r="E5">
        <v>6978</v>
      </c>
      <c r="F5">
        <v>5338</v>
      </c>
      <c r="G5">
        <v>6586</v>
      </c>
      <c r="H5">
        <v>5670</v>
      </c>
      <c r="I5">
        <v>6735</v>
      </c>
      <c r="J5">
        <v>5427</v>
      </c>
      <c r="K5">
        <v>5449</v>
      </c>
      <c r="L5">
        <v>6680</v>
      </c>
      <c r="M5">
        <v>5322</v>
      </c>
      <c r="N5">
        <v>6641</v>
      </c>
      <c r="O5">
        <v>7033</v>
      </c>
      <c r="P5">
        <v>5658</v>
      </c>
      <c r="Q5">
        <v>6763</v>
      </c>
      <c r="R5">
        <v>5581</v>
      </c>
      <c r="S5">
        <v>6477</v>
      </c>
      <c r="T5">
        <v>5609</v>
      </c>
      <c r="U5">
        <v>6818</v>
      </c>
      <c r="V5">
        <v>5377</v>
      </c>
      <c r="W5">
        <v>6785</v>
      </c>
      <c r="X5">
        <v>5112</v>
      </c>
      <c r="Y5">
        <v>6619</v>
      </c>
      <c r="Z5">
        <v>5361</v>
      </c>
      <c r="AA5">
        <v>7077</v>
      </c>
      <c r="AB5">
        <v>5670</v>
      </c>
      <c r="AC5">
        <v>6421</v>
      </c>
      <c r="AD5">
        <v>5526</v>
      </c>
      <c r="AE5">
        <v>6972</v>
      </c>
      <c r="AF5">
        <v>5636</v>
      </c>
      <c r="AG5">
        <v>6868</v>
      </c>
      <c r="AH5">
        <v>5554</v>
      </c>
      <c r="AI5">
        <v>6266</v>
      </c>
      <c r="AJ5">
        <v>5278</v>
      </c>
      <c r="AK5">
        <v>6404</v>
      </c>
      <c r="AL5">
        <v>5609</v>
      </c>
      <c r="AM5">
        <v>6625</v>
      </c>
      <c r="AN5">
        <v>5609</v>
      </c>
      <c r="AO5">
        <v>6354</v>
      </c>
      <c r="AP5">
        <v>5692</v>
      </c>
      <c r="AQ5">
        <v>6487</v>
      </c>
      <c r="AR5">
        <v>5636</v>
      </c>
      <c r="AS5">
        <v>5885</v>
      </c>
      <c r="AT5">
        <v>5388</v>
      </c>
      <c r="AU5">
        <v>6393</v>
      </c>
      <c r="AV5">
        <v>6818</v>
      </c>
      <c r="AW5">
        <v>4925</v>
      </c>
      <c r="AX5">
        <v>5493</v>
      </c>
      <c r="AY5">
        <v>6680</v>
      </c>
      <c r="AZ5">
        <v>5151</v>
      </c>
      <c r="BA5">
        <v>6735</v>
      </c>
      <c r="BB5">
        <v>7000</v>
      </c>
      <c r="BC5">
        <v>5360</v>
      </c>
      <c r="BD5">
        <v>5443</v>
      </c>
      <c r="BE5">
        <v>6901</v>
      </c>
      <c r="BF5">
        <v>6570</v>
      </c>
      <c r="BG5">
        <v>5377</v>
      </c>
      <c r="BH5">
        <v>5449</v>
      </c>
      <c r="BI5">
        <v>6669</v>
      </c>
      <c r="BJ5">
        <v>3649</v>
      </c>
      <c r="BK5">
        <v>1507</v>
      </c>
      <c r="BL5">
        <v>4162</v>
      </c>
      <c r="BM5">
        <v>4262</v>
      </c>
      <c r="BN5">
        <v>4102</v>
      </c>
      <c r="BO5">
        <v>4411</v>
      </c>
      <c r="BP5">
        <v>4493</v>
      </c>
      <c r="BQ5">
        <v>4339</v>
      </c>
      <c r="BR5">
        <v>4311</v>
      </c>
      <c r="BS5">
        <v>4593</v>
      </c>
      <c r="BT5">
        <v>4438</v>
      </c>
      <c r="BU5">
        <v>4427</v>
      </c>
      <c r="BV5">
        <v>5576</v>
      </c>
      <c r="BW5">
        <v>5388</v>
      </c>
      <c r="BX5">
        <v>8109</v>
      </c>
      <c r="BY5">
        <v>4974</v>
      </c>
      <c r="BZ5">
        <v>7182</v>
      </c>
      <c r="CA5">
        <v>7011</v>
      </c>
      <c r="CB5">
        <v>5598</v>
      </c>
      <c r="CC5">
        <v>7083</v>
      </c>
      <c r="CD5">
        <v>5719</v>
      </c>
      <c r="CE5">
        <v>6807</v>
      </c>
      <c r="CF5">
        <v>5526</v>
      </c>
      <c r="CG5">
        <v>5305</v>
      </c>
      <c r="CH5">
        <v>7232</v>
      </c>
      <c r="CI5">
        <v>6432</v>
      </c>
      <c r="CJ5">
        <v>5438</v>
      </c>
      <c r="CK5">
        <v>5234</v>
      </c>
      <c r="CL5">
        <v>6901</v>
      </c>
      <c r="CM5">
        <v>4107</v>
      </c>
      <c r="CN5">
        <v>7535</v>
      </c>
      <c r="CO5">
        <v>5912</v>
      </c>
      <c r="CP5">
        <v>7701</v>
      </c>
      <c r="CQ5">
        <v>6172</v>
      </c>
      <c r="CR5">
        <v>7772</v>
      </c>
      <c r="CS5">
        <v>6166</v>
      </c>
      <c r="CT5">
        <v>7557</v>
      </c>
      <c r="CU5">
        <v>5857</v>
      </c>
      <c r="CV5">
        <v>7645</v>
      </c>
      <c r="CW5">
        <v>5824</v>
      </c>
      <c r="CX5">
        <v>7287</v>
      </c>
      <c r="CY5">
        <v>7298</v>
      </c>
      <c r="CZ5">
        <v>5940</v>
      </c>
      <c r="DA5">
        <v>6901</v>
      </c>
      <c r="DB5">
        <v>5852</v>
      </c>
      <c r="DC5">
        <v>5669</v>
      </c>
      <c r="DD5">
        <v>7436</v>
      </c>
      <c r="DE5">
        <v>7342</v>
      </c>
      <c r="DF5">
        <v>5703</v>
      </c>
      <c r="DG5">
        <v>5995</v>
      </c>
      <c r="DH5">
        <v>4052</v>
      </c>
      <c r="DI5">
        <v>7370</v>
      </c>
      <c r="DJ5">
        <v>7563</v>
      </c>
      <c r="DK5">
        <v>5995</v>
      </c>
      <c r="DL5">
        <v>7557</v>
      </c>
      <c r="DM5">
        <v>6083</v>
      </c>
      <c r="DN5">
        <v>5951</v>
      </c>
      <c r="DO5">
        <v>6133</v>
      </c>
      <c r="DP5">
        <v>7204</v>
      </c>
      <c r="DQ5">
        <v>5840</v>
      </c>
      <c r="DR5">
        <v>7392</v>
      </c>
      <c r="DS5">
        <v>6006</v>
      </c>
      <c r="DT5">
        <v>4124</v>
      </c>
      <c r="DU5">
        <v>6652</v>
      </c>
      <c r="DV5">
        <v>5421</v>
      </c>
      <c r="DW5">
        <v>7033</v>
      </c>
      <c r="DX5">
        <v>5239</v>
      </c>
      <c r="DY5">
        <v>5554</v>
      </c>
      <c r="DZ5">
        <v>6823</v>
      </c>
      <c r="EA5">
        <v>6017</v>
      </c>
      <c r="EB5">
        <v>6713</v>
      </c>
      <c r="EC5">
        <v>5774</v>
      </c>
      <c r="ED5">
        <v>7243</v>
      </c>
      <c r="EE5">
        <v>5758</v>
      </c>
      <c r="EF5">
        <v>7381</v>
      </c>
      <c r="EG5">
        <v>5896</v>
      </c>
      <c r="EH5">
        <v>7623</v>
      </c>
      <c r="EI5">
        <v>5940</v>
      </c>
      <c r="EJ5">
        <v>7386</v>
      </c>
      <c r="EK5">
        <v>6216</v>
      </c>
      <c r="EL5">
        <v>7386</v>
      </c>
      <c r="EM5">
        <v>6050</v>
      </c>
      <c r="EN5">
        <v>7325</v>
      </c>
      <c r="EO5">
        <v>5548</v>
      </c>
      <c r="EP5">
        <v>7204</v>
      </c>
      <c r="EQ5">
        <v>5680</v>
      </c>
      <c r="ER5">
        <v>5934</v>
      </c>
      <c r="ES5">
        <v>7132</v>
      </c>
      <c r="ET5">
        <v>7331</v>
      </c>
      <c r="EU5">
        <v>5631</v>
      </c>
      <c r="EV5">
        <v>7121</v>
      </c>
      <c r="EW5">
        <v>5829</v>
      </c>
      <c r="EX5">
        <v>5664</v>
      </c>
      <c r="EY5">
        <v>7397</v>
      </c>
      <c r="EZ5">
        <v>5719</v>
      </c>
      <c r="FA5">
        <v>7215</v>
      </c>
      <c r="FB5">
        <v>5791</v>
      </c>
      <c r="FC5">
        <v>7160</v>
      </c>
      <c r="FD5">
        <v>6956</v>
      </c>
      <c r="FE5">
        <v>5653</v>
      </c>
      <c r="FF5">
        <v>7590</v>
      </c>
      <c r="FG5">
        <v>5879</v>
      </c>
      <c r="FH5">
        <v>5967</v>
      </c>
      <c r="FI5">
        <v>7485</v>
      </c>
      <c r="FJ5">
        <v>7370</v>
      </c>
      <c r="FK5">
        <v>5967</v>
      </c>
      <c r="FL5">
        <v>7408</v>
      </c>
      <c r="FM5">
        <v>5818</v>
      </c>
      <c r="FN5">
        <v>7331</v>
      </c>
      <c r="FO5">
        <v>5829</v>
      </c>
      <c r="FP5">
        <v>7287</v>
      </c>
      <c r="FQ5">
        <v>5747</v>
      </c>
      <c r="FR5">
        <v>7314</v>
      </c>
      <c r="FS5">
        <v>5901</v>
      </c>
      <c r="FT5">
        <v>7392</v>
      </c>
      <c r="FU5">
        <v>5758</v>
      </c>
      <c r="FV5">
        <v>7590</v>
      </c>
      <c r="FW5">
        <v>5967</v>
      </c>
      <c r="FX5">
        <v>7651</v>
      </c>
      <c r="FY5">
        <v>5747</v>
      </c>
      <c r="FZ5">
        <v>7480</v>
      </c>
      <c r="GA5">
        <v>5918</v>
      </c>
      <c r="GB5">
        <v>7568</v>
      </c>
      <c r="GC5">
        <v>5824</v>
      </c>
      <c r="GD5">
        <v>7480</v>
      </c>
      <c r="GE5">
        <v>5912</v>
      </c>
      <c r="GF5">
        <v>7623</v>
      </c>
      <c r="GG5">
        <v>5995</v>
      </c>
      <c r="GH5">
        <v>7822</v>
      </c>
      <c r="GI5">
        <v>6023</v>
      </c>
      <c r="GJ5">
        <v>7927</v>
      </c>
      <c r="GK5">
        <v>5824</v>
      </c>
      <c r="GL5">
        <v>7541</v>
      </c>
      <c r="GM5">
        <v>6050</v>
      </c>
      <c r="GN5">
        <v>7535</v>
      </c>
      <c r="GO5">
        <v>5658</v>
      </c>
      <c r="GP5">
        <v>7508</v>
      </c>
      <c r="GQ5">
        <v>5967</v>
      </c>
      <c r="GR5">
        <v>5388</v>
      </c>
      <c r="GS5">
        <v>4560</v>
      </c>
      <c r="GT5">
        <v>4731</v>
      </c>
      <c r="GU5">
        <v>4565</v>
      </c>
      <c r="GV5">
        <v>4709</v>
      </c>
      <c r="GW5">
        <v>5476</v>
      </c>
      <c r="GX5">
        <v>7927</v>
      </c>
      <c r="GY5">
        <v>6359</v>
      </c>
      <c r="GZ5">
        <v>7535</v>
      </c>
      <c r="HA5">
        <v>5802</v>
      </c>
      <c r="HB5">
        <v>7645</v>
      </c>
      <c r="HC5">
        <v>6078</v>
      </c>
      <c r="HD5">
        <v>7816</v>
      </c>
      <c r="HE5">
        <v>5802</v>
      </c>
      <c r="HF5">
        <v>7480</v>
      </c>
      <c r="HG5">
        <v>4245</v>
      </c>
      <c r="HH5">
        <v>4471</v>
      </c>
      <c r="HI5">
        <v>4510</v>
      </c>
      <c r="HJ5">
        <v>4565</v>
      </c>
      <c r="HK5">
        <v>4510</v>
      </c>
      <c r="HL5">
        <v>5912</v>
      </c>
      <c r="HM5">
        <v>6967</v>
      </c>
      <c r="HN5">
        <v>7651</v>
      </c>
      <c r="HO5">
        <v>5807</v>
      </c>
      <c r="HP5">
        <v>5664</v>
      </c>
      <c r="HQ5">
        <v>7204</v>
      </c>
      <c r="HR5">
        <v>7618</v>
      </c>
      <c r="HS5">
        <v>6166</v>
      </c>
      <c r="HT5">
        <v>7204</v>
      </c>
      <c r="HU5">
        <v>2832</v>
      </c>
      <c r="HV5">
        <v>4013</v>
      </c>
      <c r="HW5">
        <v>2418</v>
      </c>
      <c r="HX5">
        <v>2473</v>
      </c>
      <c r="HY5">
        <v>2308</v>
      </c>
      <c r="HZ5">
        <v>6790</v>
      </c>
      <c r="IA5">
        <v>5940</v>
      </c>
      <c r="IB5">
        <v>5857</v>
      </c>
      <c r="IC5">
        <v>7232</v>
      </c>
      <c r="ID5">
        <v>7596</v>
      </c>
      <c r="IE5">
        <v>5967</v>
      </c>
      <c r="IF5">
        <v>7210</v>
      </c>
      <c r="IG5">
        <v>5885</v>
      </c>
      <c r="IH5">
        <v>6050</v>
      </c>
      <c r="II5">
        <v>7314</v>
      </c>
      <c r="IJ5">
        <v>5708</v>
      </c>
      <c r="IK5">
        <v>5984</v>
      </c>
      <c r="IL5">
        <v>7425</v>
      </c>
      <c r="IM5">
        <v>7370</v>
      </c>
      <c r="IN5">
        <v>5857</v>
      </c>
      <c r="IO5">
        <v>7331</v>
      </c>
      <c r="IP5">
        <v>5857</v>
      </c>
      <c r="IQ5">
        <v>5818</v>
      </c>
      <c r="IR5">
        <v>7397</v>
      </c>
      <c r="IS5">
        <v>7298</v>
      </c>
      <c r="IT5">
        <v>5741</v>
      </c>
      <c r="IU5">
        <v>7386</v>
      </c>
      <c r="IV5">
        <v>5951</v>
      </c>
      <c r="IW5">
        <v>5719</v>
      </c>
      <c r="IX5">
        <v>5791</v>
      </c>
      <c r="IY5">
        <v>7232</v>
      </c>
      <c r="IZ5">
        <v>7342</v>
      </c>
      <c r="JA5">
        <v>5857</v>
      </c>
      <c r="JB5">
        <v>7121</v>
      </c>
      <c r="JC5">
        <v>5967</v>
      </c>
      <c r="JD5">
        <v>7259</v>
      </c>
      <c r="JE5">
        <v>5829</v>
      </c>
      <c r="JF5">
        <v>5912</v>
      </c>
      <c r="JG5">
        <v>7535</v>
      </c>
      <c r="JH5">
        <v>7436</v>
      </c>
      <c r="JI5">
        <v>5719</v>
      </c>
      <c r="JJ5">
        <v>5829</v>
      </c>
      <c r="JK5">
        <v>7176</v>
      </c>
      <c r="JL5">
        <v>7314</v>
      </c>
      <c r="JM5">
        <v>5951</v>
      </c>
      <c r="JN5">
        <v>7204</v>
      </c>
      <c r="JO5">
        <v>5802</v>
      </c>
      <c r="JP5">
        <v>7370</v>
      </c>
      <c r="JQ5">
        <v>5774</v>
      </c>
      <c r="JR5">
        <v>7259</v>
      </c>
      <c r="JS5">
        <v>6050</v>
      </c>
      <c r="JT5">
        <v>7623</v>
      </c>
      <c r="JU5">
        <v>5774</v>
      </c>
      <c r="JV5">
        <v>7314</v>
      </c>
      <c r="JW5">
        <v>6023</v>
      </c>
      <c r="JX5">
        <v>7381</v>
      </c>
      <c r="JY5">
        <v>5995</v>
      </c>
      <c r="JZ5">
        <v>7634</v>
      </c>
      <c r="KA5">
        <v>5857</v>
      </c>
      <c r="KB5">
        <v>7106</v>
      </c>
      <c r="KC5">
        <v>5692</v>
      </c>
      <c r="KD5">
        <v>7066</v>
      </c>
      <c r="KE5">
        <v>5664</v>
      </c>
      <c r="KF5">
        <v>7149</v>
      </c>
      <c r="KG5">
        <v>5967</v>
      </c>
      <c r="KH5">
        <v>7480</v>
      </c>
      <c r="KI5">
        <v>6106</v>
      </c>
      <c r="KJ5">
        <v>7370</v>
      </c>
      <c r="KK5">
        <v>6023</v>
      </c>
      <c r="KL5">
        <v>7508</v>
      </c>
      <c r="KM5">
        <v>6133</v>
      </c>
      <c r="KN5">
        <v>7342</v>
      </c>
      <c r="KO5">
        <v>5719</v>
      </c>
      <c r="KP5">
        <v>7425</v>
      </c>
      <c r="KQ5">
        <v>5802</v>
      </c>
      <c r="KR5">
        <v>7320</v>
      </c>
      <c r="KS5">
        <v>5829</v>
      </c>
      <c r="KT5">
        <v>7232</v>
      </c>
      <c r="KU5">
        <v>5581</v>
      </c>
      <c r="KV5">
        <v>7066</v>
      </c>
      <c r="KW5">
        <v>5086</v>
      </c>
      <c r="KX5">
        <v>6873</v>
      </c>
      <c r="KY5">
        <v>5774</v>
      </c>
      <c r="KZ5">
        <v>6570</v>
      </c>
      <c r="LA5">
        <v>5388</v>
      </c>
      <c r="LB5">
        <v>6989</v>
      </c>
      <c r="LC5">
        <v>5195</v>
      </c>
      <c r="LD5">
        <v>1099</v>
      </c>
      <c r="LE5">
        <v>0</v>
      </c>
      <c r="LF5">
        <v>0</v>
      </c>
      <c r="LG5">
        <v>0</v>
      </c>
      <c r="LH5">
        <v>0</v>
      </c>
      <c r="LI5">
        <v>0</v>
      </c>
      <c r="LJ5">
        <v>0</v>
      </c>
      <c r="LK5">
        <v>0</v>
      </c>
      <c r="LL5">
        <v>0</v>
      </c>
      <c r="LM5">
        <v>0</v>
      </c>
      <c r="LN5">
        <v>0</v>
      </c>
      <c r="LO5">
        <v>0</v>
      </c>
      <c r="LP5">
        <v>0</v>
      </c>
      <c r="LQ5">
        <v>0</v>
      </c>
      <c r="LR5">
        <v>0</v>
      </c>
      <c r="LS5">
        <v>0</v>
      </c>
      <c r="LT5">
        <v>0</v>
      </c>
      <c r="LU5">
        <v>0</v>
      </c>
      <c r="LV5">
        <v>0</v>
      </c>
      <c r="LW5">
        <v>0</v>
      </c>
      <c r="LX5">
        <v>0</v>
      </c>
      <c r="LY5">
        <v>0</v>
      </c>
      <c r="LZ5">
        <v>0</v>
      </c>
      <c r="MA5">
        <v>0</v>
      </c>
      <c r="MB5">
        <v>0</v>
      </c>
      <c r="MC5">
        <v>0</v>
      </c>
      <c r="MD5">
        <v>1237</v>
      </c>
      <c r="ME5">
        <v>5360</v>
      </c>
      <c r="MF5">
        <v>6459</v>
      </c>
      <c r="MG5">
        <v>4643</v>
      </c>
      <c r="MH5">
        <v>6266</v>
      </c>
      <c r="MI5">
        <v>4577</v>
      </c>
      <c r="MJ5">
        <v>4914</v>
      </c>
      <c r="MK5">
        <v>4257</v>
      </c>
      <c r="ML5">
        <v>4047</v>
      </c>
      <c r="MM5">
        <v>4009</v>
      </c>
      <c r="MN5">
        <v>3573</v>
      </c>
      <c r="MO5">
        <v>3683</v>
      </c>
      <c r="MP5">
        <v>3650</v>
      </c>
      <c r="MQ5">
        <v>4478</v>
      </c>
      <c r="MR5">
        <v>4456</v>
      </c>
      <c r="MS5">
        <v>5780</v>
      </c>
      <c r="MT5">
        <v>5482</v>
      </c>
      <c r="MU5">
        <v>5355</v>
      </c>
      <c r="MV5">
        <v>5151</v>
      </c>
      <c r="MW5">
        <v>4908</v>
      </c>
      <c r="MX5">
        <v>5090</v>
      </c>
      <c r="MY5">
        <v>4693</v>
      </c>
      <c r="MZ5">
        <v>4737</v>
      </c>
      <c r="NA5">
        <v>4693</v>
      </c>
      <c r="NB5">
        <v>4787</v>
      </c>
      <c r="NC5">
        <v>4693</v>
      </c>
      <c r="ND5">
        <f>SUM(B5:NC5)</f>
        <v>2077582</v>
      </c>
    </row>
    <row r="6" spans="2:368" x14ac:dyDescent="0.2">
      <c r="B6">
        <v>8058</v>
      </c>
      <c r="C6">
        <v>7543</v>
      </c>
      <c r="D6">
        <v>8170</v>
      </c>
      <c r="E6">
        <v>8153</v>
      </c>
      <c r="F6">
        <v>7433</v>
      </c>
      <c r="G6">
        <v>6877</v>
      </c>
      <c r="H6">
        <v>4880</v>
      </c>
      <c r="I6">
        <v>7397</v>
      </c>
      <c r="J6">
        <v>4589</v>
      </c>
      <c r="K6">
        <v>7923</v>
      </c>
      <c r="L6">
        <v>8100</v>
      </c>
      <c r="M6">
        <v>7171</v>
      </c>
      <c r="N6">
        <v>7201</v>
      </c>
      <c r="O6">
        <v>8597</v>
      </c>
      <c r="P6">
        <v>5880</v>
      </c>
      <c r="Q6">
        <v>5674</v>
      </c>
      <c r="R6">
        <v>9002</v>
      </c>
      <c r="S6">
        <v>7749</v>
      </c>
      <c r="T6">
        <v>7937</v>
      </c>
      <c r="U6">
        <v>7704</v>
      </c>
      <c r="V6">
        <v>8468</v>
      </c>
      <c r="W6">
        <v>7656</v>
      </c>
      <c r="X6">
        <v>6473</v>
      </c>
      <c r="Y6">
        <v>5790</v>
      </c>
      <c r="Z6">
        <v>8492</v>
      </c>
      <c r="AA6">
        <v>7112</v>
      </c>
      <c r="AB6">
        <v>6802</v>
      </c>
      <c r="AC6">
        <v>7502</v>
      </c>
      <c r="AD6">
        <v>8126</v>
      </c>
      <c r="AE6">
        <v>6565</v>
      </c>
      <c r="AF6">
        <v>7775</v>
      </c>
      <c r="AG6">
        <v>6433</v>
      </c>
      <c r="AH6">
        <v>7025</v>
      </c>
      <c r="AI6">
        <v>7122</v>
      </c>
      <c r="AJ6">
        <v>4570</v>
      </c>
      <c r="AK6">
        <v>6527</v>
      </c>
      <c r="AL6">
        <v>7911</v>
      </c>
      <c r="AM6">
        <v>7154</v>
      </c>
      <c r="AN6">
        <v>6717</v>
      </c>
      <c r="AO6">
        <v>6629</v>
      </c>
      <c r="AP6">
        <v>6812</v>
      </c>
      <c r="AQ6">
        <v>6780</v>
      </c>
      <c r="AR6">
        <v>5846</v>
      </c>
      <c r="AS6">
        <v>4718</v>
      </c>
      <c r="AT6">
        <v>6821</v>
      </c>
      <c r="AU6">
        <v>7443</v>
      </c>
      <c r="AV6">
        <v>7635</v>
      </c>
      <c r="AW6">
        <v>6540</v>
      </c>
      <c r="AX6">
        <v>7126</v>
      </c>
      <c r="AY6">
        <v>6431</v>
      </c>
      <c r="AZ6">
        <v>6411</v>
      </c>
      <c r="BA6">
        <v>5601</v>
      </c>
      <c r="BB6">
        <v>5998</v>
      </c>
      <c r="BC6">
        <v>6869</v>
      </c>
      <c r="BD6">
        <v>7523</v>
      </c>
      <c r="BE6">
        <v>7745</v>
      </c>
      <c r="BF6">
        <v>8402</v>
      </c>
      <c r="BG6">
        <v>6813</v>
      </c>
      <c r="BH6">
        <v>7355</v>
      </c>
      <c r="BI6">
        <v>7300</v>
      </c>
      <c r="BJ6">
        <v>6812</v>
      </c>
      <c r="BK6">
        <v>6568</v>
      </c>
      <c r="BL6">
        <v>2660</v>
      </c>
      <c r="BM6">
        <v>5859</v>
      </c>
      <c r="BN6">
        <v>6884</v>
      </c>
      <c r="BO6">
        <v>4914</v>
      </c>
      <c r="BP6">
        <v>5236</v>
      </c>
      <c r="BQ6">
        <v>5734</v>
      </c>
      <c r="BR6">
        <v>5512</v>
      </c>
      <c r="BS6">
        <v>5006</v>
      </c>
      <c r="BT6">
        <v>6043</v>
      </c>
      <c r="BU6">
        <v>4872</v>
      </c>
      <c r="BV6">
        <v>5436</v>
      </c>
      <c r="BW6">
        <v>6827</v>
      </c>
      <c r="BX6">
        <v>6483</v>
      </c>
      <c r="BY6">
        <v>6462</v>
      </c>
      <c r="BZ6">
        <v>7332</v>
      </c>
      <c r="CA6">
        <v>6701</v>
      </c>
      <c r="CB6">
        <v>6252</v>
      </c>
      <c r="CC6">
        <v>7000</v>
      </c>
      <c r="CD6">
        <v>6877</v>
      </c>
      <c r="CE6">
        <v>6485</v>
      </c>
      <c r="CF6">
        <v>7707</v>
      </c>
      <c r="CG6">
        <v>7011</v>
      </c>
      <c r="CH6">
        <v>7268</v>
      </c>
      <c r="CI6">
        <v>7572</v>
      </c>
      <c r="CJ6">
        <v>6294</v>
      </c>
      <c r="CK6">
        <v>5923</v>
      </c>
      <c r="CL6">
        <v>6346</v>
      </c>
      <c r="CM6">
        <v>7668</v>
      </c>
      <c r="CN6">
        <v>7027</v>
      </c>
      <c r="CO6">
        <v>7277</v>
      </c>
      <c r="CP6">
        <v>6695</v>
      </c>
      <c r="CQ6">
        <v>7943</v>
      </c>
      <c r="CR6">
        <v>7499</v>
      </c>
      <c r="CS6">
        <v>7827</v>
      </c>
      <c r="CT6">
        <v>7888</v>
      </c>
      <c r="CU6">
        <v>7520</v>
      </c>
      <c r="CV6">
        <v>7931</v>
      </c>
      <c r="CW6">
        <v>7893</v>
      </c>
      <c r="CX6">
        <v>7961</v>
      </c>
      <c r="CY6">
        <v>7799</v>
      </c>
      <c r="CZ6">
        <v>8173</v>
      </c>
      <c r="DA6">
        <v>8404</v>
      </c>
      <c r="DB6">
        <v>8168</v>
      </c>
      <c r="DC6">
        <v>7345</v>
      </c>
      <c r="DD6">
        <v>7145</v>
      </c>
      <c r="DE6">
        <v>7461</v>
      </c>
      <c r="DF6">
        <v>6334</v>
      </c>
      <c r="DG6">
        <v>7619</v>
      </c>
      <c r="DH6">
        <v>7093</v>
      </c>
      <c r="DI6">
        <v>5499</v>
      </c>
      <c r="DJ6">
        <v>7108</v>
      </c>
      <c r="DK6">
        <v>6435</v>
      </c>
      <c r="DL6">
        <v>7818</v>
      </c>
      <c r="DM6">
        <v>8190</v>
      </c>
      <c r="DN6">
        <v>6939</v>
      </c>
      <c r="DO6">
        <v>6584</v>
      </c>
      <c r="DP6">
        <v>7916</v>
      </c>
      <c r="DQ6">
        <v>7051</v>
      </c>
      <c r="DR6">
        <v>7098</v>
      </c>
      <c r="DS6">
        <v>7034</v>
      </c>
      <c r="DT6">
        <v>6538</v>
      </c>
      <c r="DU6">
        <v>5956</v>
      </c>
      <c r="DV6">
        <v>5585</v>
      </c>
      <c r="DW6">
        <v>6947</v>
      </c>
      <c r="DX6">
        <v>6816</v>
      </c>
      <c r="DY6">
        <v>6325</v>
      </c>
      <c r="DZ6">
        <v>4894</v>
      </c>
      <c r="EA6">
        <v>5932</v>
      </c>
      <c r="EB6">
        <v>7439</v>
      </c>
      <c r="EC6">
        <v>6854</v>
      </c>
      <c r="ED6">
        <v>7226</v>
      </c>
      <c r="EE6">
        <v>5813</v>
      </c>
      <c r="EF6">
        <v>8171</v>
      </c>
      <c r="EG6">
        <v>7133</v>
      </c>
      <c r="EH6">
        <v>7236</v>
      </c>
      <c r="EI6">
        <v>5420</v>
      </c>
      <c r="EJ6">
        <v>5901</v>
      </c>
      <c r="EK6">
        <v>4899</v>
      </c>
      <c r="EL6">
        <v>9254</v>
      </c>
      <c r="EM6">
        <v>6816</v>
      </c>
      <c r="EN6">
        <v>7559</v>
      </c>
      <c r="EO6">
        <v>6344</v>
      </c>
      <c r="EP6">
        <v>4007</v>
      </c>
      <c r="EQ6">
        <v>4854</v>
      </c>
      <c r="ER6">
        <v>7221</v>
      </c>
      <c r="ES6">
        <v>7742</v>
      </c>
      <c r="ET6">
        <v>8347</v>
      </c>
      <c r="EU6">
        <v>7646</v>
      </c>
      <c r="EV6">
        <v>7271</v>
      </c>
      <c r="EW6">
        <v>7846</v>
      </c>
      <c r="EX6">
        <v>7785</v>
      </c>
      <c r="EY6">
        <v>6796</v>
      </c>
      <c r="EZ6">
        <v>6298</v>
      </c>
      <c r="FA6">
        <v>7227</v>
      </c>
      <c r="FB6">
        <v>7017</v>
      </c>
      <c r="FC6">
        <v>7329</v>
      </c>
      <c r="FD6">
        <v>6728</v>
      </c>
      <c r="FE6">
        <v>7697</v>
      </c>
      <c r="FF6">
        <v>8493</v>
      </c>
      <c r="FG6">
        <v>5732</v>
      </c>
      <c r="FH6">
        <v>8167</v>
      </c>
      <c r="FI6">
        <v>6662</v>
      </c>
      <c r="FJ6">
        <v>7306</v>
      </c>
      <c r="FK6">
        <v>7640</v>
      </c>
      <c r="FL6">
        <v>7543</v>
      </c>
      <c r="FM6">
        <v>6784</v>
      </c>
      <c r="FN6">
        <v>7023</v>
      </c>
      <c r="FO6">
        <v>7531</v>
      </c>
      <c r="FP6">
        <v>6787</v>
      </c>
      <c r="FQ6">
        <v>6034</v>
      </c>
      <c r="FR6">
        <v>6241</v>
      </c>
      <c r="FS6">
        <v>5753</v>
      </c>
      <c r="FT6">
        <v>5304</v>
      </c>
      <c r="FU6">
        <v>6743</v>
      </c>
      <c r="FV6">
        <v>7500</v>
      </c>
      <c r="FW6">
        <v>7419</v>
      </c>
      <c r="FX6">
        <v>8069</v>
      </c>
      <c r="FY6">
        <v>7091</v>
      </c>
      <c r="FZ6">
        <v>7515</v>
      </c>
      <c r="GA6">
        <v>8700</v>
      </c>
      <c r="GB6">
        <v>7536</v>
      </c>
      <c r="GC6">
        <v>6216</v>
      </c>
      <c r="GD6">
        <v>7557</v>
      </c>
      <c r="GE6">
        <v>7092</v>
      </c>
      <c r="GF6">
        <v>7983</v>
      </c>
      <c r="GG6">
        <v>8519</v>
      </c>
      <c r="GH6">
        <v>8000</v>
      </c>
      <c r="GI6">
        <v>6167</v>
      </c>
      <c r="GJ6">
        <v>8178</v>
      </c>
      <c r="GK6">
        <v>7361</v>
      </c>
      <c r="GL6">
        <v>7795</v>
      </c>
      <c r="GM6">
        <v>7157</v>
      </c>
      <c r="GN6">
        <v>7760</v>
      </c>
      <c r="GO6">
        <v>8632</v>
      </c>
      <c r="GP6">
        <v>7790</v>
      </c>
      <c r="GQ6">
        <v>5508</v>
      </c>
      <c r="GR6">
        <v>7270</v>
      </c>
      <c r="GS6">
        <v>5143</v>
      </c>
      <c r="GT6">
        <v>4087</v>
      </c>
      <c r="GU6">
        <v>3488</v>
      </c>
      <c r="GV6">
        <v>3855</v>
      </c>
      <c r="GW6">
        <v>6765</v>
      </c>
      <c r="GX6">
        <v>7810</v>
      </c>
      <c r="GY6">
        <v>7055</v>
      </c>
      <c r="GZ6">
        <v>7800</v>
      </c>
      <c r="HA6">
        <v>6920</v>
      </c>
      <c r="HB6">
        <v>8212</v>
      </c>
      <c r="HC6">
        <v>6368</v>
      </c>
      <c r="HD6">
        <v>6527</v>
      </c>
      <c r="HE6">
        <v>6198</v>
      </c>
      <c r="HF6">
        <v>6244</v>
      </c>
      <c r="HG6">
        <v>5448</v>
      </c>
      <c r="HH6">
        <v>4346</v>
      </c>
      <c r="HI6">
        <v>3683</v>
      </c>
      <c r="HJ6">
        <v>4607</v>
      </c>
      <c r="HK6">
        <v>2937</v>
      </c>
      <c r="HL6">
        <v>6472</v>
      </c>
      <c r="HM6">
        <v>6845</v>
      </c>
      <c r="HN6">
        <v>7245</v>
      </c>
      <c r="HO6">
        <v>6882</v>
      </c>
      <c r="HP6">
        <v>7160</v>
      </c>
      <c r="HQ6">
        <v>5906</v>
      </c>
      <c r="HR6">
        <v>6728</v>
      </c>
      <c r="HS6">
        <v>6482</v>
      </c>
      <c r="HT6">
        <v>7046</v>
      </c>
      <c r="HU6">
        <v>2340</v>
      </c>
      <c r="HV6">
        <v>0</v>
      </c>
      <c r="HW6">
        <v>0</v>
      </c>
      <c r="HX6">
        <v>2962</v>
      </c>
      <c r="HY6">
        <v>3073</v>
      </c>
      <c r="HZ6">
        <v>6825</v>
      </c>
      <c r="IA6">
        <v>7263</v>
      </c>
      <c r="IB6">
        <v>8284</v>
      </c>
      <c r="IC6">
        <v>9160</v>
      </c>
      <c r="ID6">
        <v>8113</v>
      </c>
      <c r="IE6">
        <v>6358</v>
      </c>
      <c r="IF6">
        <v>6620</v>
      </c>
      <c r="IG6">
        <v>6082</v>
      </c>
      <c r="IH6">
        <v>7323</v>
      </c>
      <c r="II6">
        <v>8633</v>
      </c>
      <c r="IJ6">
        <v>7661</v>
      </c>
      <c r="IK6">
        <v>5857</v>
      </c>
      <c r="IL6">
        <v>7994</v>
      </c>
      <c r="IM6">
        <v>7575</v>
      </c>
      <c r="IN6">
        <v>6532</v>
      </c>
      <c r="IO6">
        <v>5493</v>
      </c>
      <c r="IP6">
        <v>6239</v>
      </c>
      <c r="IQ6">
        <v>6427</v>
      </c>
      <c r="IR6">
        <v>6824</v>
      </c>
      <c r="IS6">
        <v>8453</v>
      </c>
      <c r="IT6">
        <v>7325</v>
      </c>
      <c r="IU6">
        <v>8455</v>
      </c>
      <c r="IV6">
        <v>8297</v>
      </c>
      <c r="IW6">
        <v>4667</v>
      </c>
      <c r="IX6">
        <v>6752</v>
      </c>
      <c r="IY6">
        <v>6363</v>
      </c>
      <c r="IZ6">
        <v>6363</v>
      </c>
      <c r="JA6">
        <v>8636</v>
      </c>
      <c r="JB6">
        <v>6378</v>
      </c>
      <c r="JC6">
        <v>7384</v>
      </c>
      <c r="JD6">
        <v>8058</v>
      </c>
      <c r="JE6">
        <v>8516</v>
      </c>
      <c r="JF6">
        <v>7811</v>
      </c>
      <c r="JG6">
        <v>7817</v>
      </c>
      <c r="JH6">
        <v>7070</v>
      </c>
      <c r="JI6">
        <v>6817</v>
      </c>
      <c r="JJ6">
        <v>6467</v>
      </c>
      <c r="JK6">
        <v>5720</v>
      </c>
      <c r="JL6">
        <v>7167</v>
      </c>
      <c r="JM6">
        <v>9010</v>
      </c>
      <c r="JN6">
        <v>2496</v>
      </c>
      <c r="JO6">
        <v>2369</v>
      </c>
      <c r="JP6">
        <v>6830</v>
      </c>
      <c r="JQ6">
        <v>6145</v>
      </c>
      <c r="JR6">
        <v>9947</v>
      </c>
      <c r="JS6">
        <v>9033</v>
      </c>
      <c r="JT6">
        <v>9467</v>
      </c>
      <c r="JU6">
        <v>9119</v>
      </c>
      <c r="JV6">
        <v>9154</v>
      </c>
      <c r="JW6">
        <v>8373</v>
      </c>
      <c r="JX6">
        <v>8377</v>
      </c>
      <c r="JY6">
        <v>8118</v>
      </c>
      <c r="JZ6">
        <v>8027</v>
      </c>
      <c r="KA6">
        <v>6107</v>
      </c>
      <c r="KB6">
        <v>8158</v>
      </c>
      <c r="KC6">
        <v>8545</v>
      </c>
      <c r="KD6">
        <v>8878</v>
      </c>
      <c r="KE6">
        <v>8563</v>
      </c>
      <c r="KF6">
        <v>7721</v>
      </c>
      <c r="KG6">
        <v>7710</v>
      </c>
      <c r="KH6">
        <v>8806</v>
      </c>
      <c r="KI6">
        <v>7972</v>
      </c>
      <c r="KJ6">
        <v>7580</v>
      </c>
      <c r="KK6">
        <v>5007</v>
      </c>
      <c r="KL6">
        <v>8699</v>
      </c>
      <c r="KM6">
        <v>8032</v>
      </c>
      <c r="KN6">
        <v>8161</v>
      </c>
      <c r="KO6">
        <v>8959</v>
      </c>
      <c r="KP6">
        <v>9300</v>
      </c>
      <c r="KQ6">
        <v>9339</v>
      </c>
      <c r="KR6">
        <v>7186</v>
      </c>
      <c r="KS6">
        <v>5497</v>
      </c>
      <c r="KT6">
        <v>7702</v>
      </c>
      <c r="KU6">
        <v>6869</v>
      </c>
      <c r="KV6">
        <v>4427</v>
      </c>
      <c r="KW6">
        <v>6370</v>
      </c>
      <c r="KX6">
        <v>1946</v>
      </c>
      <c r="KY6">
        <v>6552</v>
      </c>
      <c r="KZ6">
        <v>10118</v>
      </c>
      <c r="LA6">
        <v>9724</v>
      </c>
      <c r="LB6">
        <v>9926</v>
      </c>
      <c r="LC6">
        <v>8212</v>
      </c>
      <c r="LD6">
        <v>7551</v>
      </c>
      <c r="LE6">
        <v>4972</v>
      </c>
      <c r="LF6">
        <v>4477</v>
      </c>
      <c r="LG6">
        <v>5970</v>
      </c>
      <c r="LH6">
        <v>2539</v>
      </c>
      <c r="LI6">
        <v>3145</v>
      </c>
      <c r="LJ6">
        <v>1988</v>
      </c>
      <c r="LK6">
        <v>1176</v>
      </c>
      <c r="LL6">
        <v>1501</v>
      </c>
      <c r="LM6">
        <v>1422</v>
      </c>
      <c r="LN6">
        <v>1717</v>
      </c>
      <c r="LO6">
        <v>22</v>
      </c>
      <c r="LP6">
        <v>0</v>
      </c>
      <c r="LQ6">
        <v>0</v>
      </c>
      <c r="LR6">
        <v>0</v>
      </c>
      <c r="LS6">
        <v>0</v>
      </c>
      <c r="LT6">
        <v>10</v>
      </c>
      <c r="LU6">
        <v>10</v>
      </c>
      <c r="LV6">
        <v>0</v>
      </c>
      <c r="LW6">
        <v>0</v>
      </c>
      <c r="LX6">
        <v>0</v>
      </c>
      <c r="LY6">
        <v>0</v>
      </c>
      <c r="LZ6">
        <v>0</v>
      </c>
      <c r="MA6">
        <v>0</v>
      </c>
      <c r="MB6">
        <v>0</v>
      </c>
      <c r="MC6">
        <v>0</v>
      </c>
      <c r="MD6">
        <v>10</v>
      </c>
      <c r="ME6">
        <v>6</v>
      </c>
      <c r="MF6">
        <v>4263</v>
      </c>
      <c r="MG6">
        <v>6566</v>
      </c>
      <c r="MH6">
        <v>5386</v>
      </c>
      <c r="MI6">
        <v>7106</v>
      </c>
      <c r="MJ6">
        <v>5743</v>
      </c>
      <c r="MK6">
        <v>5786</v>
      </c>
      <c r="ML6">
        <v>6196</v>
      </c>
      <c r="MM6">
        <v>5120</v>
      </c>
      <c r="MN6">
        <v>5034</v>
      </c>
      <c r="MO6">
        <v>4021</v>
      </c>
      <c r="MP6">
        <v>4647</v>
      </c>
      <c r="MQ6">
        <v>4293</v>
      </c>
      <c r="MR6">
        <v>5267</v>
      </c>
      <c r="MS6">
        <v>6278</v>
      </c>
      <c r="MT6">
        <v>6584</v>
      </c>
      <c r="MU6">
        <v>7471</v>
      </c>
      <c r="MV6">
        <v>6601</v>
      </c>
      <c r="MW6">
        <v>6878</v>
      </c>
      <c r="MX6">
        <v>6972</v>
      </c>
      <c r="MY6">
        <v>6385</v>
      </c>
      <c r="MZ6">
        <v>6090</v>
      </c>
      <c r="NA6">
        <v>4814</v>
      </c>
      <c r="NB6">
        <v>6558</v>
      </c>
      <c r="NC6">
        <v>6347</v>
      </c>
      <c r="ND6">
        <f>SUM(B6:NC6)</f>
        <v>2348767</v>
      </c>
    </row>
    <row r="7" spans="2:368" x14ac:dyDescent="0.2">
      <c r="B7">
        <v>8001.77</v>
      </c>
      <c r="C7">
        <v>7486.77</v>
      </c>
      <c r="D7">
        <v>8113.77</v>
      </c>
      <c r="E7">
        <v>8096.77</v>
      </c>
      <c r="F7">
        <v>7376.77</v>
      </c>
      <c r="G7">
        <v>6820.77</v>
      </c>
      <c r="H7">
        <v>4823.7700000000004</v>
      </c>
      <c r="I7">
        <v>7340.77</v>
      </c>
      <c r="J7">
        <v>4532.7700000000004</v>
      </c>
      <c r="K7">
        <v>7866.77</v>
      </c>
      <c r="L7">
        <v>8043.77</v>
      </c>
      <c r="M7">
        <v>7114.77</v>
      </c>
      <c r="N7">
        <v>7144.77</v>
      </c>
      <c r="O7">
        <v>8540.77</v>
      </c>
      <c r="P7">
        <v>5823.77</v>
      </c>
      <c r="Q7">
        <v>5617.77</v>
      </c>
      <c r="R7">
        <v>8945.77</v>
      </c>
      <c r="S7">
        <v>7692.77</v>
      </c>
      <c r="T7">
        <v>7880.77</v>
      </c>
      <c r="U7">
        <v>7647.77</v>
      </c>
      <c r="V7">
        <v>8411.77</v>
      </c>
      <c r="W7">
        <v>7599.77</v>
      </c>
      <c r="X7">
        <v>6416.77</v>
      </c>
      <c r="Y7">
        <v>5733.77</v>
      </c>
      <c r="Z7">
        <v>8435.77</v>
      </c>
      <c r="AA7">
        <v>7055.77</v>
      </c>
      <c r="AB7">
        <v>6745.77</v>
      </c>
      <c r="AC7">
        <v>7445.77</v>
      </c>
      <c r="AD7">
        <v>8069.77</v>
      </c>
      <c r="AE7">
        <v>6508.77</v>
      </c>
      <c r="AF7">
        <v>7718.77</v>
      </c>
      <c r="AG7">
        <v>6380.9840000000004</v>
      </c>
      <c r="AH7">
        <v>6972.9840000000004</v>
      </c>
      <c r="AI7">
        <v>7069.9840000000004</v>
      </c>
      <c r="AJ7">
        <v>4517.9840000000004</v>
      </c>
      <c r="AK7">
        <v>6474.9840000000004</v>
      </c>
      <c r="AL7">
        <v>7858.9840000000004</v>
      </c>
      <c r="AM7">
        <v>7101.9840000000004</v>
      </c>
      <c r="AN7">
        <v>6664.9840000000004</v>
      </c>
      <c r="AO7">
        <v>6576.9840000000004</v>
      </c>
      <c r="AP7">
        <v>6759.9840000000004</v>
      </c>
      <c r="AQ7">
        <v>6727.9840000000004</v>
      </c>
      <c r="AR7">
        <v>5793.9840000000004</v>
      </c>
      <c r="AS7">
        <v>4665.9840000000004</v>
      </c>
      <c r="AT7">
        <v>6768.9840000000004</v>
      </c>
      <c r="AU7">
        <v>7390.9840000000004</v>
      </c>
      <c r="AV7">
        <v>7582.9840000000004</v>
      </c>
      <c r="AW7">
        <v>6487.9840000000004</v>
      </c>
      <c r="AX7">
        <v>7073.9840000000004</v>
      </c>
      <c r="AY7">
        <v>6378.9840000000004</v>
      </c>
      <c r="AZ7">
        <v>6358.9840000000004</v>
      </c>
      <c r="BA7">
        <v>5548.9840000000004</v>
      </c>
      <c r="BB7">
        <v>5945.9840000000004</v>
      </c>
      <c r="BC7">
        <v>6816.9840000000004</v>
      </c>
      <c r="BD7">
        <v>7470.9840000000004</v>
      </c>
      <c r="BE7">
        <v>7692.9840000000004</v>
      </c>
      <c r="BF7">
        <v>8349.9840000000004</v>
      </c>
      <c r="BG7">
        <v>6760.9840000000004</v>
      </c>
      <c r="BH7">
        <v>7302.9840000000004</v>
      </c>
      <c r="BI7">
        <v>7247.9840000000004</v>
      </c>
      <c r="BJ7">
        <v>6812</v>
      </c>
      <c r="BK7">
        <v>6568</v>
      </c>
      <c r="BL7">
        <v>2660</v>
      </c>
      <c r="BM7">
        <v>5859</v>
      </c>
      <c r="BN7">
        <v>6884</v>
      </c>
      <c r="BO7">
        <v>4914</v>
      </c>
      <c r="BP7">
        <v>5236</v>
      </c>
      <c r="BQ7">
        <v>5734</v>
      </c>
      <c r="BR7">
        <v>5512</v>
      </c>
      <c r="BS7">
        <v>5006</v>
      </c>
      <c r="BT7">
        <v>6043</v>
      </c>
      <c r="BU7">
        <v>4872</v>
      </c>
      <c r="BV7">
        <v>5436</v>
      </c>
      <c r="BW7">
        <v>6827</v>
      </c>
      <c r="BX7">
        <v>6483</v>
      </c>
      <c r="BY7">
        <v>6462</v>
      </c>
      <c r="BZ7">
        <v>7332</v>
      </c>
      <c r="CA7">
        <v>6701</v>
      </c>
      <c r="CB7">
        <v>6252</v>
      </c>
      <c r="CC7">
        <v>7000</v>
      </c>
      <c r="CD7">
        <v>6877</v>
      </c>
      <c r="CE7">
        <v>6485</v>
      </c>
      <c r="CF7">
        <v>7707</v>
      </c>
      <c r="CG7">
        <v>7011</v>
      </c>
      <c r="CH7">
        <v>7268</v>
      </c>
      <c r="CI7">
        <v>7572</v>
      </c>
      <c r="CJ7">
        <v>6294</v>
      </c>
      <c r="CK7">
        <v>5923</v>
      </c>
      <c r="CL7">
        <v>6346</v>
      </c>
      <c r="CM7">
        <v>7668</v>
      </c>
      <c r="CN7">
        <v>7027</v>
      </c>
      <c r="CO7">
        <v>7277</v>
      </c>
      <c r="CP7">
        <v>6695</v>
      </c>
      <c r="CQ7">
        <v>7943</v>
      </c>
      <c r="CR7">
        <v>7499</v>
      </c>
      <c r="CS7">
        <v>7827</v>
      </c>
      <c r="CT7">
        <v>7888</v>
      </c>
      <c r="CU7">
        <v>7520</v>
      </c>
      <c r="CV7">
        <v>7931</v>
      </c>
      <c r="CW7">
        <v>7893</v>
      </c>
      <c r="CX7">
        <v>7961</v>
      </c>
      <c r="CY7">
        <v>7799</v>
      </c>
      <c r="CZ7">
        <v>8173</v>
      </c>
      <c r="DA7">
        <v>8404</v>
      </c>
      <c r="DB7">
        <v>8168</v>
      </c>
      <c r="DC7">
        <v>7345</v>
      </c>
      <c r="DD7">
        <v>7145</v>
      </c>
      <c r="DE7">
        <v>7461</v>
      </c>
      <c r="DF7">
        <v>6334</v>
      </c>
      <c r="DG7">
        <v>7619</v>
      </c>
      <c r="DH7">
        <v>7093</v>
      </c>
      <c r="DI7">
        <v>5499</v>
      </c>
      <c r="DJ7">
        <v>7108</v>
      </c>
      <c r="DK7">
        <v>6435</v>
      </c>
      <c r="DL7">
        <v>7818</v>
      </c>
      <c r="DM7">
        <v>8190</v>
      </c>
      <c r="DN7">
        <v>6939</v>
      </c>
      <c r="DO7">
        <v>6584</v>
      </c>
      <c r="DP7">
        <v>7916</v>
      </c>
      <c r="DQ7">
        <v>7051</v>
      </c>
      <c r="DR7">
        <v>7098</v>
      </c>
      <c r="DS7">
        <v>7034</v>
      </c>
      <c r="DT7">
        <v>6538</v>
      </c>
      <c r="DU7">
        <v>5956</v>
      </c>
      <c r="DV7">
        <v>5585</v>
      </c>
      <c r="DW7">
        <v>6947</v>
      </c>
      <c r="DX7">
        <v>6816</v>
      </c>
      <c r="DY7">
        <v>6325</v>
      </c>
      <c r="DZ7">
        <v>4894</v>
      </c>
      <c r="EA7">
        <v>5932</v>
      </c>
      <c r="EB7">
        <v>7439</v>
      </c>
      <c r="EC7">
        <v>6854</v>
      </c>
      <c r="ED7">
        <v>7226</v>
      </c>
      <c r="EE7">
        <v>5813</v>
      </c>
      <c r="EF7">
        <v>8171</v>
      </c>
      <c r="EG7">
        <v>7133</v>
      </c>
      <c r="EH7">
        <v>7236</v>
      </c>
      <c r="EI7">
        <v>5420</v>
      </c>
      <c r="EJ7">
        <v>5901</v>
      </c>
    </row>
    <row r="8" spans="2:368" x14ac:dyDescent="0.2">
      <c r="B8">
        <v>12557.668699999685</v>
      </c>
      <c r="C8">
        <v>12938.038699999688</v>
      </c>
      <c r="D8">
        <v>11461.488699999689</v>
      </c>
      <c r="E8">
        <v>11528.978699999687</v>
      </c>
      <c r="F8">
        <v>10504.428699999688</v>
      </c>
      <c r="G8">
        <v>11362.934699999689</v>
      </c>
      <c r="H8">
        <v>13241.104699999687</v>
      </c>
      <c r="I8">
        <v>13733.139699999687</v>
      </c>
      <c r="J8">
        <v>15495.689699999686</v>
      </c>
      <c r="K8">
        <v>13949.759699999686</v>
      </c>
      <c r="L8">
        <v>13601.349699999686</v>
      </c>
      <c r="M8">
        <v>12660.099699999686</v>
      </c>
      <c r="N8">
        <v>13185.684699999685</v>
      </c>
      <c r="O8">
        <v>12662.534699999687</v>
      </c>
      <c r="P8">
        <v>13458.624699999687</v>
      </c>
      <c r="Q8">
        <v>15929.402699999686</v>
      </c>
      <c r="R8">
        <v>13446.430699999684</v>
      </c>
      <c r="S8">
        <v>13292.888699999683</v>
      </c>
      <c r="T8">
        <v>11946.603699999683</v>
      </c>
      <c r="U8">
        <v>12275.893699999684</v>
      </c>
      <c r="V8">
        <v>10160.590699999684</v>
      </c>
      <c r="W8">
        <v>10438.205699999682</v>
      </c>
      <c r="X8">
        <v>9987.1396999996832</v>
      </c>
      <c r="Y8">
        <v>11938.028699999682</v>
      </c>
      <c r="Z8">
        <v>9774.628699999681</v>
      </c>
      <c r="AA8">
        <v>11055.564699999679</v>
      </c>
      <c r="AB8">
        <v>10957.869699999679</v>
      </c>
      <c r="AC8">
        <v>11024.669699999678</v>
      </c>
      <c r="AD8">
        <v>9431.3716999996795</v>
      </c>
      <c r="AE8">
        <v>11086.813699999679</v>
      </c>
      <c r="AF8">
        <v>9962.1636999996772</v>
      </c>
      <c r="AG8">
        <v>11637.343699999677</v>
      </c>
      <c r="AH8">
        <v>11001.473699999679</v>
      </c>
      <c r="AI8">
        <v>11093.527699999679</v>
      </c>
      <c r="AJ8">
        <v>12650.521699999677</v>
      </c>
      <c r="AK8">
        <v>13616.985699999677</v>
      </c>
      <c r="AL8">
        <v>12096.171699999675</v>
      </c>
      <c r="AM8">
        <v>12652.687699999675</v>
      </c>
      <c r="AN8">
        <v>12516.579699999675</v>
      </c>
      <c r="AO8">
        <v>13221.279699999675</v>
      </c>
      <c r="AP8">
        <v>12881.871699999676</v>
      </c>
      <c r="AQ8">
        <v>13650.264899999675</v>
      </c>
      <c r="AR8">
        <v>14377.132899999673</v>
      </c>
      <c r="AS8">
        <v>16573.058899999673</v>
      </c>
      <c r="AT8">
        <v>16027.214899999672</v>
      </c>
      <c r="AU8">
        <v>16071.289899999672</v>
      </c>
      <c r="AV8">
        <v>16326.278699999672</v>
      </c>
      <c r="AW8">
        <v>15547.354699999672</v>
      </c>
      <c r="AX8">
        <v>14924.34989999967</v>
      </c>
      <c r="AY8">
        <v>16103.785899999672</v>
      </c>
      <c r="AZ8">
        <v>15611.790899999673</v>
      </c>
      <c r="BA8">
        <v>17760.911899999672</v>
      </c>
      <c r="BB8">
        <v>19892.927899999671</v>
      </c>
      <c r="BC8">
        <v>19223.863899999673</v>
      </c>
      <c r="BD8">
        <v>17996.000899999672</v>
      </c>
      <c r="BE8">
        <v>18094.245899999671</v>
      </c>
      <c r="BF8">
        <v>17135.51189999967</v>
      </c>
      <c r="BG8">
        <v>16365.04359999967</v>
      </c>
      <c r="BH8">
        <v>15235.77659999967</v>
      </c>
      <c r="BI8">
        <v>15646.472199999669</v>
      </c>
      <c r="BJ8">
        <v>13074.610199999668</v>
      </c>
      <c r="BK8">
        <v>8265.279199999668</v>
      </c>
      <c r="BL8">
        <v>10379.093199999668</v>
      </c>
      <c r="BM8">
        <v>9383.0351999996674</v>
      </c>
      <c r="BN8">
        <v>7187.6211999996667</v>
      </c>
      <c r="BO8">
        <v>7377.1481999996668</v>
      </c>
      <c r="BP8">
        <v>7397.9581999996662</v>
      </c>
      <c r="BQ8">
        <v>6575.7061999996658</v>
      </c>
      <c r="BR8">
        <v>5986.8681999996661</v>
      </c>
      <c r="BS8">
        <v>6249.0391999996664</v>
      </c>
      <c r="BT8">
        <v>5238.7311999996655</v>
      </c>
      <c r="BU8">
        <v>5453.3541999996669</v>
      </c>
      <c r="BV8">
        <v>6290.3541999996669</v>
      </c>
      <c r="BW8">
        <v>5691.8821999996653</v>
      </c>
      <c r="BX8">
        <v>8607.2131999996654</v>
      </c>
      <c r="BY8">
        <v>7830.4951999996665</v>
      </c>
      <c r="BZ8">
        <v>8664.4291999996676</v>
      </c>
      <c r="CA8">
        <v>9977.0021999996679</v>
      </c>
      <c r="CB8">
        <v>10213.08419999967</v>
      </c>
      <c r="CC8">
        <v>11252.289199999672</v>
      </c>
      <c r="CD8">
        <v>10940.701199999672</v>
      </c>
      <c r="CE8">
        <v>12372.242199999673</v>
      </c>
      <c r="CF8">
        <v>11147.240199999673</v>
      </c>
      <c r="CG8">
        <v>10295.345199999672</v>
      </c>
      <c r="CH8">
        <v>11387.537199999671</v>
      </c>
      <c r="CI8">
        <v>11167.313199999669</v>
      </c>
      <c r="CJ8">
        <v>11083.509199999669</v>
      </c>
      <c r="CK8">
        <v>11137.737199999669</v>
      </c>
      <c r="CL8">
        <v>12741.689199999666</v>
      </c>
      <c r="CM8">
        <v>9796.7391999996653</v>
      </c>
      <c r="CN8">
        <v>11472.664199999665</v>
      </c>
      <c r="CO8">
        <v>11165.912199999664</v>
      </c>
      <c r="CP8">
        <v>13534.989199999665</v>
      </c>
      <c r="CQ8">
        <v>12874.949199999664</v>
      </c>
      <c r="CR8">
        <v>14570.225199999666</v>
      </c>
      <c r="CS8">
        <v>14093.097199999665</v>
      </c>
      <c r="CT8">
        <v>15190.370199999667</v>
      </c>
      <c r="CU8">
        <v>14634.343199999668</v>
      </c>
      <c r="CV8">
        <v>15701.508199999669</v>
      </c>
      <c r="CW8">
        <v>14680.828199999669</v>
      </c>
      <c r="CX8">
        <v>15427.793199999669</v>
      </c>
      <c r="CY8">
        <v>16320.71119999967</v>
      </c>
      <c r="CZ8">
        <v>15263.831199999669</v>
      </c>
      <c r="DA8">
        <v>15106.526199999669</v>
      </c>
      <c r="DB8">
        <v>13914.110199999668</v>
      </c>
      <c r="DC8">
        <v>13536.311199999669</v>
      </c>
      <c r="DD8">
        <v>15314.511199999666</v>
      </c>
      <c r="DE8">
        <v>16649.227199999666</v>
      </c>
      <c r="DF8">
        <v>17375.541199999665</v>
      </c>
      <c r="DG8">
        <v>16932.556199999664</v>
      </c>
      <c r="DH8">
        <v>14726.268199999664</v>
      </c>
      <c r="DI8">
        <v>18049.158199999663</v>
      </c>
      <c r="DJ8">
        <v>20175.581199999666</v>
      </c>
      <c r="DK8">
        <v>20970.551199999667</v>
      </c>
      <c r="DL8">
        <v>22152.938199999669</v>
      </c>
      <c r="DM8">
        <v>21278.353999999668</v>
      </c>
      <c r="DN8">
        <v>21501.382499999669</v>
      </c>
      <c r="DO8">
        <v>22298.447999999669</v>
      </c>
      <c r="DP8">
        <v>22945.122399999669</v>
      </c>
      <c r="DQ8">
        <v>22867.082399999668</v>
      </c>
      <c r="DR8">
        <v>24645.39599999967</v>
      </c>
      <c r="DS8">
        <v>23511.845199999669</v>
      </c>
      <c r="DT8">
        <v>20101.133999999667</v>
      </c>
      <c r="DU8">
        <v>20062.804399999666</v>
      </c>
      <c r="DV8">
        <v>19162.127199999668</v>
      </c>
      <c r="DW8">
        <v>18350.211599999668</v>
      </c>
      <c r="DX8">
        <v>15793.773199999667</v>
      </c>
      <c r="DY8">
        <v>14153.492199999666</v>
      </c>
      <c r="DZ8">
        <v>15533.077199999665</v>
      </c>
      <c r="EA8">
        <v>15627.189199999666</v>
      </c>
      <c r="EB8">
        <v>14788.659199999665</v>
      </c>
      <c r="EC8">
        <v>13534.779199999664</v>
      </c>
      <c r="ED8">
        <v>13554.308799999664</v>
      </c>
      <c r="EE8">
        <v>13491.806799999662</v>
      </c>
      <c r="EF8">
        <v>14029.596799999661</v>
      </c>
      <c r="EG8">
        <v>13706.476799999662</v>
      </c>
      <c r="EH8">
        <v>15107.335799999662</v>
      </c>
      <c r="EI8">
        <v>16417.355799999663</v>
      </c>
      <c r="EJ8">
        <v>18788.675799999663</v>
      </c>
      <c r="EK8">
        <v>20898.480999999665</v>
      </c>
      <c r="EL8">
        <v>18799.596199999665</v>
      </c>
      <c r="EM8">
        <v>17947.804199999664</v>
      </c>
      <c r="EN8">
        <v>17683.150199999665</v>
      </c>
      <c r="EO8">
        <v>17564.006199999665</v>
      </c>
      <c r="EP8">
        <v>21071.115199999665</v>
      </c>
      <c r="EQ8">
        <v>22007.799199999667</v>
      </c>
      <c r="ER8">
        <v>20544.866299999667</v>
      </c>
      <c r="ES8">
        <v>19850.686299999667</v>
      </c>
      <c r="ET8">
        <v>18682.286299999669</v>
      </c>
      <c r="EU8">
        <v>16401.306299999669</v>
      </c>
      <c r="EV8">
        <v>17030.566299999671</v>
      </c>
      <c r="EW8">
        <v>15876.25829999967</v>
      </c>
      <c r="EX8">
        <v>14736.504299999668</v>
      </c>
      <c r="EY8">
        <v>16579.959899999667</v>
      </c>
      <c r="EZ8">
        <v>16841.652899999666</v>
      </c>
      <c r="FA8">
        <v>17832.537899999668</v>
      </c>
      <c r="FB8">
        <v>17324.621899999667</v>
      </c>
      <c r="FC8">
        <v>17935.785899999668</v>
      </c>
      <c r="FD8">
        <v>18668.717899999669</v>
      </c>
      <c r="FE8">
        <v>17546.156899999667</v>
      </c>
      <c r="FF8">
        <v>17781.656899999667</v>
      </c>
      <c r="FG8">
        <v>18775.232899999668</v>
      </c>
      <c r="FH8">
        <v>17554.260899999666</v>
      </c>
      <c r="FI8">
        <v>19619.935499999665</v>
      </c>
      <c r="FJ8">
        <v>20804.175499999663</v>
      </c>
      <c r="FK8">
        <v>18838.958499999666</v>
      </c>
      <c r="FL8">
        <v>18611.140499999667</v>
      </c>
      <c r="FM8">
        <v>18087.396499999668</v>
      </c>
      <c r="FN8">
        <v>19162.748499999667</v>
      </c>
      <c r="FO8">
        <v>17186.304499999671</v>
      </c>
      <c r="FP8">
        <v>17750.654499999673</v>
      </c>
      <c r="FQ8">
        <v>18233.867299999671</v>
      </c>
      <c r="FR8">
        <v>20528.519899999672</v>
      </c>
      <c r="FS8">
        <v>21508.560899999673</v>
      </c>
      <c r="FT8">
        <v>24683.184899999673</v>
      </c>
      <c r="FU8">
        <v>24351.714899999672</v>
      </c>
      <c r="FV8">
        <v>25131.870899999674</v>
      </c>
      <c r="FW8">
        <v>24108.436499999676</v>
      </c>
      <c r="FX8">
        <v>23622.720499999676</v>
      </c>
      <c r="FY8">
        <v>23113.890499999674</v>
      </c>
      <c r="FZ8">
        <v>23599.865499999672</v>
      </c>
      <c r="GA8">
        <v>20970.617499999673</v>
      </c>
      <c r="GB8">
        <v>21535.609499999671</v>
      </c>
      <c r="GC8">
        <v>22077.448699999673</v>
      </c>
      <c r="GD8">
        <v>22519.043699999675</v>
      </c>
      <c r="GE8">
        <v>21656.123699999673</v>
      </c>
      <c r="GF8">
        <v>21800.933699999674</v>
      </c>
      <c r="GG8">
        <v>19496.430499999675</v>
      </c>
      <c r="GH8">
        <v>19850.947299999672</v>
      </c>
      <c r="GI8">
        <v>20116.648499999672</v>
      </c>
      <c r="GJ8">
        <v>20402.968499999668</v>
      </c>
      <c r="GK8">
        <v>18637.87769999967</v>
      </c>
      <c r="GL8">
        <v>19041.993699999668</v>
      </c>
      <c r="GM8">
        <v>18402.003699999666</v>
      </c>
      <c r="GN8">
        <v>18840.123699999669</v>
      </c>
      <c r="GO8">
        <v>16211.17889999967</v>
      </c>
      <c r="GP8">
        <v>16591.362899999673</v>
      </c>
      <c r="GQ8">
        <v>17122.884899999674</v>
      </c>
      <c r="GR8">
        <v>14958.584899999674</v>
      </c>
      <c r="GS8">
        <v>14274.725899999674</v>
      </c>
      <c r="GT8">
        <v>15035.933899999673</v>
      </c>
      <c r="GU8">
        <v>15934.147799999671</v>
      </c>
      <c r="GV8">
        <v>16880.379799999671</v>
      </c>
      <c r="GW8">
        <v>15948.77559999967</v>
      </c>
      <c r="GX8">
        <v>17101.199599999669</v>
      </c>
      <c r="GY8">
        <v>17294.067599999667</v>
      </c>
      <c r="GZ8">
        <v>17698.472599999666</v>
      </c>
      <c r="HA8">
        <v>16513.276599999663</v>
      </c>
      <c r="HB8">
        <v>16278.63059999966</v>
      </c>
      <c r="HC8">
        <v>16076.898599999662</v>
      </c>
      <c r="HD8">
        <v>17865.619099999662</v>
      </c>
      <c r="HE8">
        <v>17544.871099999662</v>
      </c>
      <c r="HF8">
        <v>18719.623099999662</v>
      </c>
      <c r="HG8">
        <v>17422.237249999664</v>
      </c>
      <c r="HH8">
        <v>17599.199399999663</v>
      </c>
      <c r="HI8">
        <v>18422.083399999661</v>
      </c>
      <c r="HJ8">
        <v>18278.900499999661</v>
      </c>
      <c r="HK8">
        <v>19871.427699999662</v>
      </c>
      <c r="HL8">
        <v>19171.72369999966</v>
      </c>
      <c r="HM8">
        <v>19397.743179999659</v>
      </c>
      <c r="HN8">
        <v>19839.455079999661</v>
      </c>
      <c r="HO8">
        <v>18562.339179999661</v>
      </c>
      <c r="HP8">
        <v>16848.831979999661</v>
      </c>
      <c r="HQ8">
        <v>18107.484139999659</v>
      </c>
      <c r="HR8">
        <v>19132.554019999658</v>
      </c>
      <c r="HS8">
        <v>18873.81341999966</v>
      </c>
      <c r="HT8">
        <v>19121.099819999661</v>
      </c>
      <c r="HU8">
        <v>19587.076619999661</v>
      </c>
      <c r="HV8">
        <v>23599.67531999966</v>
      </c>
      <c r="HW8">
        <v>26017.43351999966</v>
      </c>
      <c r="HX8">
        <v>25495.604219999659</v>
      </c>
      <c r="HY8">
        <v>24696.570419999658</v>
      </c>
      <c r="HZ8">
        <v>25007.160419999658</v>
      </c>
      <c r="IA8">
        <v>23490.570419999658</v>
      </c>
      <c r="IB8">
        <v>20730.844719999659</v>
      </c>
      <c r="IC8">
        <v>18465.404719999657</v>
      </c>
      <c r="ID8">
        <v>18490.273919999654</v>
      </c>
      <c r="IE8">
        <v>18083.797119999654</v>
      </c>
      <c r="IF8">
        <v>18722.438119999657</v>
      </c>
      <c r="IG8">
        <v>18541.883619999655</v>
      </c>
      <c r="IH8">
        <v>17219.627619999657</v>
      </c>
      <c r="II8">
        <v>16118.890259999658</v>
      </c>
      <c r="IJ8">
        <v>14341.694159999657</v>
      </c>
      <c r="IK8">
        <v>14667.763359999659</v>
      </c>
      <c r="IL8">
        <v>14551.244359999659</v>
      </c>
      <c r="IM8">
        <v>14797.532359999659</v>
      </c>
      <c r="IN8">
        <v>14821.278239999661</v>
      </c>
      <c r="IO8">
        <v>16995.216919999657</v>
      </c>
      <c r="IP8">
        <v>16807.006414399657</v>
      </c>
      <c r="IQ8">
        <v>16379.692908799658</v>
      </c>
      <c r="IR8">
        <v>17256.245016799658</v>
      </c>
      <c r="IS8">
        <v>16306.359396799658</v>
      </c>
      <c r="IT8">
        <v>14842.584681199658</v>
      </c>
      <c r="IU8">
        <v>14152.584483599661</v>
      </c>
      <c r="IV8">
        <v>12062.550793599663</v>
      </c>
      <c r="IW8">
        <v>13473.031709599663</v>
      </c>
      <c r="IX8">
        <v>12788.189380399663</v>
      </c>
      <c r="IY8">
        <v>14103.451941999661</v>
      </c>
      <c r="IZ8">
        <v>15540.703757999661</v>
      </c>
      <c r="JA8">
        <v>12955.657145199662</v>
      </c>
      <c r="JB8">
        <v>14144.213915199663</v>
      </c>
      <c r="JC8">
        <v>12970.841845199666</v>
      </c>
      <c r="JD8">
        <v>12624.793245199664</v>
      </c>
      <c r="JE8">
        <v>10531.853245199663</v>
      </c>
      <c r="JF8">
        <v>9088.4430051996605</v>
      </c>
      <c r="JG8">
        <v>9490.9106051996587</v>
      </c>
      <c r="JH8">
        <v>10560.58300519966</v>
      </c>
      <c r="JI8">
        <v>9853.35424519966</v>
      </c>
      <c r="JJ8">
        <v>9671.3224051996604</v>
      </c>
      <c r="JK8">
        <v>11558.481445199661</v>
      </c>
      <c r="JL8">
        <v>11952.618205199658</v>
      </c>
      <c r="JM8">
        <v>9169.9023051996592</v>
      </c>
      <c r="JN8">
        <v>14649.746305199656</v>
      </c>
      <c r="JO8">
        <v>18704.171355199654</v>
      </c>
      <c r="JP8">
        <v>21042.507355199654</v>
      </c>
      <c r="JQ8">
        <v>21603.983795199652</v>
      </c>
      <c r="JR8">
        <v>19918.697675199655</v>
      </c>
      <c r="JS8">
        <v>17700.602675199654</v>
      </c>
      <c r="JT8">
        <v>16771.197650199654</v>
      </c>
      <c r="JU8">
        <v>14164.822350199653</v>
      </c>
      <c r="JV8">
        <v>13227.461950199653</v>
      </c>
      <c r="JW8">
        <v>11635.861630199652</v>
      </c>
      <c r="JX8">
        <v>11656.213150199652</v>
      </c>
      <c r="JY8">
        <v>10263.19075019965</v>
      </c>
      <c r="JZ8">
        <v>16637.58663019965</v>
      </c>
      <c r="KA8">
        <v>17282.209150199651</v>
      </c>
      <c r="KB8">
        <v>17300.29935019965</v>
      </c>
      <c r="KC8">
        <v>15318.644710199649</v>
      </c>
      <c r="KD8">
        <v>14641.421270199648</v>
      </c>
      <c r="KE8">
        <v>12697.116070199645</v>
      </c>
      <c r="KF8">
        <v>13215.195910199645</v>
      </c>
      <c r="KG8">
        <v>12400.978390199643</v>
      </c>
      <c r="KH8">
        <v>12014.391590199642</v>
      </c>
      <c r="KI8">
        <v>11007.80391019964</v>
      </c>
      <c r="KJ8">
        <v>11780.578310199639</v>
      </c>
      <c r="KK8">
        <v>16278.510470199635</v>
      </c>
      <c r="KL8">
        <v>16182.002110199637</v>
      </c>
      <c r="KM8">
        <v>15229.248190199636</v>
      </c>
      <c r="KN8">
        <v>15476.889910199634</v>
      </c>
      <c r="KO8">
        <v>13014.853530199633</v>
      </c>
      <c r="KP8">
        <v>12208.033530199629</v>
      </c>
      <c r="KQ8">
        <v>9497.2383301996306</v>
      </c>
      <c r="KR8">
        <v>11607.945130199629</v>
      </c>
      <c r="KS8">
        <v>14034.700090199629</v>
      </c>
      <c r="KT8">
        <v>16988.914482199627</v>
      </c>
      <c r="KU8">
        <v>18263.454002199625</v>
      </c>
      <c r="KV8">
        <v>24425.474162199625</v>
      </c>
      <c r="KW8">
        <v>25524.895442199624</v>
      </c>
      <c r="KX8">
        <v>32473.849842199626</v>
      </c>
      <c r="KY8">
        <v>34234.703922199624</v>
      </c>
      <c r="KZ8">
        <v>31670.100722199619</v>
      </c>
      <c r="LA8">
        <v>28689.343442199613</v>
      </c>
      <c r="LB8">
        <v>27882.860602199613</v>
      </c>
      <c r="LC8">
        <v>27220.730202199611</v>
      </c>
      <c r="LD8">
        <v>22608.377202199612</v>
      </c>
      <c r="LE8">
        <v>18700.385202199614</v>
      </c>
      <c r="LF8">
        <v>15208.325202199614</v>
      </c>
      <c r="LG8">
        <v>10492.025202199613</v>
      </c>
      <c r="LH8">
        <v>8511.6052021996129</v>
      </c>
      <c r="LI8">
        <v>6184.3052021996127</v>
      </c>
      <c r="LJ8">
        <v>4733.0652021996129</v>
      </c>
      <c r="LK8">
        <v>3874.5852021996129</v>
      </c>
      <c r="LL8">
        <v>2778.8552021996129</v>
      </c>
      <c r="LM8">
        <v>1719.4652021996128</v>
      </c>
      <c r="LN8">
        <v>41.95620219961279</v>
      </c>
      <c r="LO8">
        <v>20.066202199612789</v>
      </c>
      <c r="LP8">
        <v>20.066202199612789</v>
      </c>
      <c r="LQ8">
        <v>20.066202199612789</v>
      </c>
      <c r="LR8">
        <v>20.066202199612789</v>
      </c>
      <c r="LS8">
        <v>20.066202199612789</v>
      </c>
      <c r="LT8">
        <v>10.07120219961279</v>
      </c>
      <c r="LU8">
        <v>7.6202199612790622E-2</v>
      </c>
      <c r="LV8">
        <v>7.6202199612790622E-2</v>
      </c>
      <c r="LW8">
        <v>7.6202199612790622E-2</v>
      </c>
      <c r="LX8">
        <v>7.6202199612790622E-2</v>
      </c>
      <c r="LY8">
        <v>7.6202199612790622E-2</v>
      </c>
      <c r="LZ8">
        <v>7.6202199612790622E-2</v>
      </c>
      <c r="MA8">
        <v>7.6202199612790622E-2</v>
      </c>
      <c r="MB8">
        <v>7.6202199612790622E-2</v>
      </c>
      <c r="MC8">
        <v>7.6202199612790622E-2</v>
      </c>
      <c r="MD8">
        <v>1228.7762021996127</v>
      </c>
      <c r="ME8">
        <v>6583.7962021996136</v>
      </c>
      <c r="MF8">
        <v>9491.7172021996139</v>
      </c>
      <c r="MG8">
        <v>8829.3892021996144</v>
      </c>
      <c r="MH8">
        <v>10662.711202199614</v>
      </c>
      <c r="MI8">
        <v>9153.4222021996138</v>
      </c>
      <c r="MJ8">
        <v>9323.7042021996131</v>
      </c>
      <c r="MK8">
        <v>8755.1802021996136</v>
      </c>
      <c r="ML8">
        <v>7671.8922021996132</v>
      </c>
      <c r="MM8">
        <v>7441.5322021996126</v>
      </c>
      <c r="MN8">
        <v>6866.5162021996121</v>
      </c>
      <c r="MO8">
        <v>7328.6952021996112</v>
      </c>
      <c r="MP8">
        <v>7061.274202199611</v>
      </c>
      <c r="MQ8">
        <v>7918.1287021996104</v>
      </c>
      <c r="MR8">
        <v>8070.9897021996103</v>
      </c>
      <c r="MS8">
        <v>8816.0337021996111</v>
      </c>
      <c r="MT8">
        <v>8826.729702199611</v>
      </c>
      <c r="MU8">
        <v>8074.1872021996105</v>
      </c>
      <c r="MV8">
        <v>7726.5542021996098</v>
      </c>
      <c r="MW8">
        <v>6991.1552021996094</v>
      </c>
      <c r="MX8">
        <v>6280.4512021996106</v>
      </c>
      <c r="MY8">
        <v>5843.1037021996108</v>
      </c>
      <c r="MZ8">
        <v>5695.9237021996105</v>
      </c>
      <c r="NA8">
        <v>6618.1175021996105</v>
      </c>
      <c r="NB8">
        <v>6106.2535021996091</v>
      </c>
      <c r="NC8">
        <v>5592.5047461996082</v>
      </c>
    </row>
    <row r="11" spans="2:368" ht="18.75" x14ac:dyDescent="0.2">
      <c r="B11" s="112">
        <v>0.12</v>
      </c>
      <c r="C11" s="112">
        <v>0.12</v>
      </c>
      <c r="D11" s="112">
        <v>0.12</v>
      </c>
      <c r="E11" s="112">
        <v>0.12</v>
      </c>
      <c r="F11" s="112">
        <v>0.12</v>
      </c>
      <c r="G11" s="112">
        <v>0.12</v>
      </c>
      <c r="H11" s="112">
        <v>0.12</v>
      </c>
      <c r="I11" s="112">
        <v>0.12</v>
      </c>
      <c r="J11" s="112">
        <v>0.12</v>
      </c>
      <c r="K11" s="112">
        <v>0.12</v>
      </c>
      <c r="L11" s="112">
        <v>0.12</v>
      </c>
      <c r="M11" s="112">
        <v>0.12</v>
      </c>
      <c r="N11" s="112">
        <v>0.12</v>
      </c>
      <c r="O11" s="112">
        <v>0.12</v>
      </c>
      <c r="P11" s="112">
        <v>0.12</v>
      </c>
      <c r="Q11" s="112">
        <v>0.12</v>
      </c>
      <c r="R11" s="112">
        <v>0.12</v>
      </c>
      <c r="S11" s="112">
        <v>0.12</v>
      </c>
      <c r="T11" s="112">
        <v>0.12</v>
      </c>
      <c r="U11" s="112">
        <v>0.12</v>
      </c>
      <c r="V11" s="112">
        <v>0.12</v>
      </c>
      <c r="W11" s="112">
        <v>0.12</v>
      </c>
      <c r="X11" s="112">
        <v>0.12</v>
      </c>
      <c r="Y11" s="112">
        <v>0.12</v>
      </c>
      <c r="Z11" s="112">
        <v>0.12</v>
      </c>
      <c r="AA11" s="112">
        <v>0.12</v>
      </c>
      <c r="AB11" s="112">
        <v>0.12</v>
      </c>
      <c r="AC11" s="112">
        <v>0.12</v>
      </c>
      <c r="AD11" s="112">
        <v>0.12</v>
      </c>
      <c r="AE11" s="112">
        <v>0.12</v>
      </c>
      <c r="AF11" s="112">
        <v>0.12</v>
      </c>
      <c r="AG11" s="112">
        <v>0.12</v>
      </c>
      <c r="AH11" s="112">
        <v>0.12</v>
      </c>
      <c r="AI11" s="112">
        <v>0.12</v>
      </c>
      <c r="AJ11" s="112">
        <v>0.12</v>
      </c>
      <c r="AK11" s="112">
        <v>0.12</v>
      </c>
      <c r="AL11" s="112">
        <v>8.8400000000000006E-2</v>
      </c>
      <c r="AM11" s="112">
        <v>8.8400000000000006E-2</v>
      </c>
      <c r="AN11" s="112">
        <v>8.8400000000000006E-2</v>
      </c>
      <c r="AO11" s="112">
        <v>8.8400000000000006E-2</v>
      </c>
      <c r="AP11" s="112">
        <v>8.8400000000000006E-2</v>
      </c>
      <c r="AQ11" s="112">
        <v>8.8400000000000006E-2</v>
      </c>
      <c r="AR11" s="112">
        <v>8.8400000000000006E-2</v>
      </c>
      <c r="AS11" s="112">
        <v>8.8400000000000006E-2</v>
      </c>
      <c r="AT11" s="112">
        <v>8.8400000000000006E-2</v>
      </c>
      <c r="AU11" s="112">
        <v>8.8400000000000006E-2</v>
      </c>
      <c r="AV11" s="112">
        <v>8.8400000000000006E-2</v>
      </c>
      <c r="AW11" s="112">
        <v>8.8400000000000006E-2</v>
      </c>
      <c r="AX11" s="112">
        <v>8.8400000000000006E-2</v>
      </c>
      <c r="AY11" s="112">
        <v>8.8400000000000006E-2</v>
      </c>
      <c r="AZ11" s="112">
        <v>8.8400000000000006E-2</v>
      </c>
      <c r="BA11" s="112">
        <v>8.8400000000000006E-2</v>
      </c>
      <c r="BB11" s="112">
        <v>8.8400000000000006E-2</v>
      </c>
      <c r="BC11" s="112">
        <v>8.8400000000000006E-2</v>
      </c>
      <c r="BD11" s="112">
        <v>8.8400000000000006E-2</v>
      </c>
      <c r="BE11" s="112">
        <v>8.8400000000000006E-2</v>
      </c>
      <c r="BF11" s="112">
        <v>8.8400000000000006E-2</v>
      </c>
      <c r="BG11" s="112">
        <v>0.12</v>
      </c>
      <c r="BH11" s="112">
        <v>0.12</v>
      </c>
      <c r="BI11" s="112">
        <v>0.12</v>
      </c>
      <c r="BJ11" s="112">
        <v>0.12</v>
      </c>
      <c r="BK11" s="112">
        <v>0.12</v>
      </c>
      <c r="BL11" s="112">
        <v>0.12</v>
      </c>
      <c r="BM11" s="112">
        <v>0.12</v>
      </c>
      <c r="BN11" s="112">
        <v>0.12</v>
      </c>
      <c r="BO11" s="112">
        <v>0.12</v>
      </c>
      <c r="BP11" s="112">
        <v>0.12</v>
      </c>
      <c r="BQ11" s="112">
        <v>0.12</v>
      </c>
      <c r="BR11" s="112">
        <v>0.12</v>
      </c>
      <c r="BS11" s="112">
        <v>0.12</v>
      </c>
      <c r="BT11" s="112">
        <v>0.12</v>
      </c>
      <c r="BU11" s="112">
        <v>0.12</v>
      </c>
      <c r="BV11" s="112">
        <v>0.12</v>
      </c>
      <c r="BW11" s="112">
        <v>0.12</v>
      </c>
      <c r="BX11" s="112">
        <v>0.12</v>
      </c>
      <c r="BY11" s="112">
        <v>0.12</v>
      </c>
      <c r="BZ11" s="112">
        <v>0.12</v>
      </c>
      <c r="CA11" s="112">
        <v>0.12</v>
      </c>
      <c r="CB11" s="112">
        <v>0.12</v>
      </c>
      <c r="CC11" s="112">
        <v>0.12</v>
      </c>
      <c r="CD11" s="112">
        <v>0.12</v>
      </c>
      <c r="CE11" s="112">
        <v>0.12</v>
      </c>
      <c r="CF11" s="112">
        <v>0.12</v>
      </c>
      <c r="CG11" s="112">
        <v>0.12</v>
      </c>
      <c r="CH11" s="112">
        <v>0.12</v>
      </c>
      <c r="CI11" s="112">
        <v>0.12</v>
      </c>
      <c r="CJ11" s="112">
        <v>0.12</v>
      </c>
      <c r="CK11" s="112">
        <v>0.12</v>
      </c>
      <c r="CL11" s="112">
        <v>0.12</v>
      </c>
      <c r="CM11" s="112">
        <v>0.12</v>
      </c>
      <c r="CN11" s="112">
        <v>0.12</v>
      </c>
      <c r="CO11" s="112">
        <v>0.12</v>
      </c>
      <c r="CP11" s="112">
        <v>0.12</v>
      </c>
      <c r="CQ11" s="112">
        <v>0.12</v>
      </c>
      <c r="CR11" s="112">
        <v>0.12</v>
      </c>
      <c r="CS11" s="112">
        <v>0.12</v>
      </c>
      <c r="CT11" s="112">
        <v>0.12</v>
      </c>
      <c r="CU11" s="112">
        <v>0.12</v>
      </c>
      <c r="CV11" s="112">
        <v>0.12</v>
      </c>
      <c r="CW11" s="112">
        <v>0.12</v>
      </c>
      <c r="CX11" s="112">
        <v>0.12</v>
      </c>
      <c r="CY11" s="112">
        <v>0.12</v>
      </c>
      <c r="CZ11" s="112">
        <v>0.12</v>
      </c>
      <c r="DA11" s="112">
        <v>0.12</v>
      </c>
      <c r="DB11" s="112">
        <v>0.12</v>
      </c>
      <c r="DC11" s="112">
        <v>0.12</v>
      </c>
      <c r="DD11" s="112">
        <v>0.12</v>
      </c>
      <c r="DE11" s="112">
        <v>0.12</v>
      </c>
      <c r="DF11" s="112">
        <v>0.12</v>
      </c>
      <c r="DG11" s="112">
        <v>0.12</v>
      </c>
      <c r="DH11" s="112">
        <v>0.12</v>
      </c>
      <c r="DI11" s="112">
        <v>0.12</v>
      </c>
      <c r="DJ11" s="112">
        <v>0.12</v>
      </c>
      <c r="DK11" s="112">
        <v>0.12</v>
      </c>
      <c r="DL11" s="112">
        <v>0.12</v>
      </c>
      <c r="DM11" s="112">
        <v>0.12</v>
      </c>
      <c r="DN11" s="112">
        <v>0.12</v>
      </c>
      <c r="DO11" s="112">
        <v>0.12</v>
      </c>
      <c r="DP11" s="112">
        <v>0.12</v>
      </c>
      <c r="DQ11" s="112">
        <v>0.12</v>
      </c>
      <c r="DR11" s="112">
        <v>0.12</v>
      </c>
      <c r="DS11" s="112">
        <v>0.12</v>
      </c>
      <c r="DT11" s="112">
        <v>0.12</v>
      </c>
      <c r="DU11" s="112">
        <v>0.12</v>
      </c>
      <c r="DV11" s="112">
        <v>0.12</v>
      </c>
      <c r="DW11" s="112">
        <v>0.12</v>
      </c>
      <c r="DX11" s="112">
        <v>0.12</v>
      </c>
      <c r="DY11" s="112">
        <v>0.12</v>
      </c>
      <c r="DZ11" s="112">
        <v>0.12</v>
      </c>
      <c r="EA11" s="112">
        <v>0.12</v>
      </c>
      <c r="EB11" s="112">
        <v>0.12</v>
      </c>
      <c r="EC11" s="112">
        <v>0.12</v>
      </c>
      <c r="ED11" s="112">
        <v>0.12</v>
      </c>
      <c r="EE11" s="112">
        <v>0.12</v>
      </c>
      <c r="EF11" s="112">
        <v>0.12</v>
      </c>
      <c r="EG11" s="112">
        <v>0.12</v>
      </c>
      <c r="EH11" s="112">
        <v>0.12</v>
      </c>
      <c r="EI11" s="112">
        <v>0.12</v>
      </c>
      <c r="EJ11" s="112">
        <v>0.12</v>
      </c>
      <c r="EK11" s="112">
        <v>0.12</v>
      </c>
      <c r="EL11" s="112">
        <v>0.12</v>
      </c>
      <c r="EM11" s="112">
        <v>0.12</v>
      </c>
      <c r="EN11" s="112">
        <v>0.12</v>
      </c>
      <c r="EO11" s="112">
        <v>0.12</v>
      </c>
      <c r="EP11" s="112">
        <v>0.12</v>
      </c>
      <c r="EQ11" s="112">
        <v>0.12</v>
      </c>
      <c r="ER11" s="112">
        <v>0.12</v>
      </c>
      <c r="ES11" s="112">
        <v>0.12</v>
      </c>
      <c r="ET11" s="112">
        <v>0.12</v>
      </c>
      <c r="EU11" s="112">
        <v>0.12</v>
      </c>
      <c r="EV11" s="112">
        <v>0.12</v>
      </c>
      <c r="EW11" s="112">
        <v>0.12</v>
      </c>
      <c r="EX11" s="112">
        <v>0.12</v>
      </c>
      <c r="EY11" s="112">
        <v>0.12</v>
      </c>
      <c r="EZ11" s="112">
        <v>0.12</v>
      </c>
      <c r="FA11" s="112">
        <v>0.12</v>
      </c>
      <c r="FB11" s="112">
        <v>0.12</v>
      </c>
      <c r="FC11" s="112">
        <v>0.12</v>
      </c>
      <c r="FD11" s="112">
        <v>0.12</v>
      </c>
      <c r="FE11" s="112">
        <v>0.12</v>
      </c>
      <c r="FF11" s="112">
        <v>0.12</v>
      </c>
      <c r="FG11" s="112">
        <v>0.12</v>
      </c>
      <c r="FH11" s="112">
        <v>0.12</v>
      </c>
      <c r="FI11" s="112">
        <v>0.12</v>
      </c>
      <c r="FJ11" s="112">
        <v>0.12</v>
      </c>
      <c r="FK11" s="112">
        <v>0.12</v>
      </c>
      <c r="FL11" s="112">
        <v>0.12</v>
      </c>
      <c r="FM11" s="112">
        <v>0.12</v>
      </c>
      <c r="FN11" s="112">
        <v>0.12</v>
      </c>
      <c r="FO11" s="112">
        <v>0.12</v>
      </c>
      <c r="FP11" s="112">
        <v>0.12</v>
      </c>
      <c r="FQ11" s="112">
        <v>0.12</v>
      </c>
      <c r="FR11" s="112">
        <v>0.12</v>
      </c>
      <c r="FS11" s="112">
        <v>0.12</v>
      </c>
      <c r="FT11" s="112">
        <v>0.12</v>
      </c>
      <c r="FU11" s="112">
        <v>0.12</v>
      </c>
      <c r="FV11" s="112">
        <v>0.12</v>
      </c>
      <c r="FW11" s="112">
        <v>0.12</v>
      </c>
      <c r="FX11" s="112">
        <v>0.12</v>
      </c>
      <c r="FY11" s="112">
        <v>0.12</v>
      </c>
      <c r="FZ11" s="112">
        <v>0.12</v>
      </c>
      <c r="GA11" s="112">
        <v>0.12</v>
      </c>
      <c r="GB11" s="112">
        <v>0.12</v>
      </c>
      <c r="GC11" s="112">
        <v>0.12</v>
      </c>
      <c r="GD11" s="112">
        <v>0.12</v>
      </c>
      <c r="GE11" s="112">
        <v>0.12</v>
      </c>
      <c r="GF11" s="112">
        <v>0.12</v>
      </c>
      <c r="GG11" s="112">
        <v>0.12</v>
      </c>
      <c r="GH11" s="112">
        <v>0.12</v>
      </c>
      <c r="GI11" s="112">
        <v>0.12</v>
      </c>
      <c r="GJ11" s="112">
        <v>0.12</v>
      </c>
      <c r="GK11" s="112">
        <v>0.12</v>
      </c>
      <c r="GL11" s="112">
        <v>0.12</v>
      </c>
      <c r="GM11" s="112">
        <v>0.12</v>
      </c>
      <c r="GN11" s="112">
        <v>0.12</v>
      </c>
      <c r="GO11" s="112">
        <v>0.12</v>
      </c>
      <c r="GP11" s="113">
        <v>0.14000000000000001</v>
      </c>
      <c r="GQ11" s="113">
        <v>0.14000000000000001</v>
      </c>
      <c r="GR11" s="113">
        <v>0.14000000000000001</v>
      </c>
      <c r="GS11" s="113">
        <v>0.14000000000000001</v>
      </c>
      <c r="GT11" s="113">
        <v>0.14000000000000001</v>
      </c>
      <c r="GU11" s="113">
        <v>0.14000000000000001</v>
      </c>
      <c r="GV11" s="113">
        <v>0.12</v>
      </c>
      <c r="GW11" s="113">
        <v>0.12</v>
      </c>
      <c r="GX11" s="113">
        <v>0.12</v>
      </c>
      <c r="GY11" s="113">
        <v>0.12</v>
      </c>
      <c r="GZ11" s="113">
        <v>0.12</v>
      </c>
      <c r="HA11" s="113">
        <v>0.12</v>
      </c>
      <c r="HB11" s="113">
        <v>0.12</v>
      </c>
      <c r="HC11" s="113">
        <v>0.14000000000000001</v>
      </c>
      <c r="HD11" s="113">
        <v>0.14000000000000001</v>
      </c>
      <c r="HE11" s="113">
        <v>0.14000000000000001</v>
      </c>
      <c r="HF11" s="113">
        <v>0.14000000000000001</v>
      </c>
      <c r="HG11" s="113">
        <v>0.14000000000000001</v>
      </c>
      <c r="HH11" s="113">
        <v>0.14000000000000001</v>
      </c>
      <c r="HI11" s="113">
        <v>0.14000000000000001</v>
      </c>
      <c r="HJ11" s="113">
        <v>0.14000000000000001</v>
      </c>
      <c r="HK11" s="113">
        <v>0.14000000000000001</v>
      </c>
      <c r="HL11" s="113">
        <v>0.14000000000000001</v>
      </c>
      <c r="HM11" s="113">
        <v>0.14000000000000001</v>
      </c>
      <c r="HN11" s="113">
        <v>0.14000000000000001</v>
      </c>
      <c r="HO11" s="113">
        <v>0.14000000000000001</v>
      </c>
      <c r="HP11" s="113">
        <v>0.14000000000000001</v>
      </c>
      <c r="HQ11" s="113">
        <v>0.14000000000000001</v>
      </c>
      <c r="HR11" s="113">
        <v>0.14000000000000001</v>
      </c>
      <c r="HS11" s="113">
        <v>0.14000000000000001</v>
      </c>
      <c r="HT11" s="113">
        <v>0.14000000000000001</v>
      </c>
      <c r="HU11" s="113">
        <v>0.14000000000000001</v>
      </c>
      <c r="HV11" s="113">
        <v>0.14000000000000001</v>
      </c>
      <c r="HW11" s="113">
        <v>0.14000000000000001</v>
      </c>
      <c r="HX11" s="113">
        <v>0.14000000000000001</v>
      </c>
      <c r="HY11" s="113">
        <v>0.14000000000000001</v>
      </c>
      <c r="HZ11" s="113">
        <v>0.14000000000000001</v>
      </c>
      <c r="IA11" s="113">
        <v>0.14000000000000001</v>
      </c>
      <c r="IB11" s="113">
        <v>0.14000000000000001</v>
      </c>
      <c r="IC11" s="113">
        <v>0.14000000000000001</v>
      </c>
      <c r="ID11" s="113">
        <v>0.14000000000000001</v>
      </c>
      <c r="IE11" s="113">
        <v>0.14000000000000001</v>
      </c>
      <c r="IF11" s="113">
        <v>0.14000000000000001</v>
      </c>
      <c r="IG11" s="113">
        <v>0.14000000000000001</v>
      </c>
      <c r="IH11" s="113">
        <v>0.14000000000000001</v>
      </c>
      <c r="II11" s="113">
        <v>0.14000000000000001</v>
      </c>
      <c r="IJ11" s="113">
        <v>0.14000000000000001</v>
      </c>
      <c r="IK11" s="113">
        <v>0.14000000000000001</v>
      </c>
      <c r="IL11" s="113">
        <v>0.14000000000000001</v>
      </c>
      <c r="IM11" s="113">
        <v>0.14000000000000001</v>
      </c>
      <c r="IN11" s="113">
        <v>0.14000000000000001</v>
      </c>
      <c r="IO11" s="113">
        <v>0.14000000000000001</v>
      </c>
      <c r="IP11" s="113">
        <v>0.14000000000000001</v>
      </c>
      <c r="IQ11" s="113">
        <v>0.14000000000000001</v>
      </c>
      <c r="IR11" s="113">
        <v>0.14000000000000001</v>
      </c>
      <c r="IS11" s="113">
        <v>0.14000000000000001</v>
      </c>
      <c r="IT11" s="113">
        <v>0.14000000000000001</v>
      </c>
      <c r="IU11" s="113">
        <v>0.14000000000000001</v>
      </c>
      <c r="IV11" s="113">
        <v>0.14000000000000001</v>
      </c>
      <c r="IW11" s="113">
        <v>0.14000000000000001</v>
      </c>
      <c r="IX11" s="113">
        <v>0.14000000000000001</v>
      </c>
      <c r="IY11" s="113">
        <v>0.14000000000000001</v>
      </c>
      <c r="IZ11" s="113">
        <v>0.14000000000000001</v>
      </c>
      <c r="JA11" s="113">
        <v>0.14000000000000001</v>
      </c>
      <c r="JB11" s="113">
        <v>0.14000000000000001</v>
      </c>
      <c r="JC11" s="113">
        <v>0.14000000000000001</v>
      </c>
      <c r="JD11" s="113">
        <v>0.14000000000000001</v>
      </c>
      <c r="JE11" s="113">
        <v>0.14000000000000001</v>
      </c>
      <c r="JF11" s="113">
        <v>0.14000000000000001</v>
      </c>
      <c r="JG11" s="113">
        <v>0.14000000000000001</v>
      </c>
      <c r="JH11" s="114">
        <v>0.13800000000000001</v>
      </c>
      <c r="JI11" s="114">
        <v>0.13800000000000001</v>
      </c>
      <c r="JJ11" s="114">
        <v>0.13800000000000001</v>
      </c>
      <c r="JK11" s="114">
        <v>0.13800000000000001</v>
      </c>
      <c r="JL11" s="114">
        <v>0.13800000000000001</v>
      </c>
      <c r="JM11" s="114">
        <v>0.13800000000000001</v>
      </c>
      <c r="JN11" s="114">
        <v>0.13800000000000001</v>
      </c>
      <c r="JO11" s="114">
        <v>0.13800000000000001</v>
      </c>
      <c r="JP11" s="114">
        <v>0.13800000000000001</v>
      </c>
      <c r="JQ11" s="114">
        <v>0.13800000000000001</v>
      </c>
      <c r="JR11" s="114">
        <v>0.13800000000000001</v>
      </c>
      <c r="JS11" s="114">
        <v>0.13800000000000001</v>
      </c>
      <c r="JT11" s="114">
        <v>0.13800000000000001</v>
      </c>
      <c r="JU11" s="114">
        <v>0.13800000000000001</v>
      </c>
      <c r="JV11" s="115">
        <v>0.1275</v>
      </c>
      <c r="JW11" s="115">
        <v>0.1275</v>
      </c>
      <c r="JX11" s="115">
        <v>0.1275</v>
      </c>
      <c r="JY11" s="115">
        <v>0.1275</v>
      </c>
      <c r="JZ11" s="115">
        <v>0.1275</v>
      </c>
      <c r="KA11" s="115">
        <v>0.1275</v>
      </c>
      <c r="KB11" s="115">
        <v>0.1275</v>
      </c>
      <c r="KC11" s="115">
        <v>0.1275</v>
      </c>
      <c r="KD11" s="115">
        <v>0.1275</v>
      </c>
      <c r="KE11" s="115">
        <v>0.1275</v>
      </c>
      <c r="KF11" s="115">
        <v>0.1275</v>
      </c>
      <c r="KG11" s="115">
        <v>0.1275</v>
      </c>
      <c r="KH11" s="115">
        <v>0.1275</v>
      </c>
      <c r="KI11" s="115">
        <v>0.1275</v>
      </c>
      <c r="KJ11" s="115">
        <v>0.1275</v>
      </c>
      <c r="KK11" s="115">
        <v>0.1275</v>
      </c>
      <c r="KL11" s="115">
        <v>0.1275</v>
      </c>
      <c r="KM11" s="115">
        <v>0.1275</v>
      </c>
      <c r="KN11" s="115">
        <v>0.1275</v>
      </c>
      <c r="KO11" s="115">
        <v>0.1275</v>
      </c>
      <c r="KP11" s="115">
        <v>0.1275</v>
      </c>
      <c r="KQ11" s="32">
        <v>0.15</v>
      </c>
      <c r="KR11" s="34">
        <v>0.14510000000000001</v>
      </c>
      <c r="KS11" s="34">
        <v>0.12</v>
      </c>
      <c r="KT11" s="34">
        <v>0.1</v>
      </c>
      <c r="KU11" s="34">
        <v>0.105</v>
      </c>
      <c r="KV11" s="34">
        <v>0.09</v>
      </c>
      <c r="KW11" s="34">
        <v>0.09</v>
      </c>
      <c r="KX11" s="34">
        <v>0.09</v>
      </c>
      <c r="KY11" s="34">
        <v>0.11</v>
      </c>
      <c r="KZ11" s="34">
        <v>9.5000000000000001E-2</v>
      </c>
      <c r="LA11" s="34">
        <v>9.5000000000000001E-2</v>
      </c>
      <c r="LB11" s="34">
        <v>9.0800000000000006E-2</v>
      </c>
      <c r="LC11" s="34">
        <v>9.5299999999999996E-2</v>
      </c>
      <c r="LD11" s="34">
        <v>0.1</v>
      </c>
      <c r="LE11" s="34">
        <v>0.1</v>
      </c>
      <c r="LF11" s="34">
        <v>0.1</v>
      </c>
      <c r="LG11" s="34">
        <v>7.8E-2</v>
      </c>
      <c r="LH11" s="34">
        <v>0.09</v>
      </c>
      <c r="LI11" s="34">
        <v>0.1</v>
      </c>
      <c r="LJ11" s="34">
        <v>0.14599999999999999</v>
      </c>
      <c r="LK11" s="34">
        <v>0.14000000000000001</v>
      </c>
      <c r="LL11" s="34">
        <v>0.13</v>
      </c>
      <c r="LM11" s="34">
        <v>0.14000000000000001</v>
      </c>
      <c r="LN11" s="34">
        <v>0.14000000000000001</v>
      </c>
      <c r="LO11" s="34">
        <v>0.12</v>
      </c>
      <c r="LP11" s="34">
        <v>0.125</v>
      </c>
      <c r="LQ11" s="34">
        <v>0.13500000000000001</v>
      </c>
      <c r="LR11" s="34">
        <v>0.12</v>
      </c>
      <c r="LS11" s="34">
        <v>0.14499999999999999</v>
      </c>
      <c r="LT11" s="34">
        <v>0.14299999999999999</v>
      </c>
      <c r="LU11" s="34">
        <v>0.17</v>
      </c>
      <c r="LV11" s="378">
        <f>AVERAGE(B11:LU11)</f>
        <v>0.12266295180722891</v>
      </c>
    </row>
    <row r="12" spans="2:368" x14ac:dyDescent="0.2">
      <c r="B12" s="27">
        <v>42006</v>
      </c>
      <c r="C12" s="27">
        <v>42007</v>
      </c>
      <c r="D12" s="27">
        <v>42008</v>
      </c>
      <c r="E12" s="27">
        <v>42009</v>
      </c>
      <c r="F12" s="27">
        <v>42010</v>
      </c>
      <c r="G12" s="27">
        <v>42011</v>
      </c>
      <c r="H12" s="27">
        <v>42012</v>
      </c>
      <c r="I12" s="27">
        <v>42013</v>
      </c>
      <c r="J12" s="27">
        <v>42014</v>
      </c>
      <c r="K12" s="27">
        <v>42015</v>
      </c>
      <c r="L12" s="27">
        <v>42016</v>
      </c>
      <c r="M12" s="27">
        <v>42017</v>
      </c>
      <c r="N12" s="27">
        <v>42018</v>
      </c>
      <c r="O12" s="27">
        <v>42019</v>
      </c>
      <c r="P12" s="27">
        <v>42020</v>
      </c>
      <c r="Q12" s="27">
        <v>42021</v>
      </c>
      <c r="R12" s="27">
        <v>42022</v>
      </c>
      <c r="S12" s="27">
        <v>42023</v>
      </c>
      <c r="T12" s="27">
        <v>42024</v>
      </c>
      <c r="U12" s="27">
        <v>42025</v>
      </c>
      <c r="V12" s="27">
        <v>42026</v>
      </c>
      <c r="W12" s="27">
        <v>42027</v>
      </c>
      <c r="X12" s="27">
        <v>42028</v>
      </c>
      <c r="Y12" s="27">
        <v>42029</v>
      </c>
      <c r="Z12" s="27">
        <v>42030</v>
      </c>
      <c r="AA12" s="27">
        <v>42031</v>
      </c>
      <c r="AB12" s="27">
        <v>42032</v>
      </c>
      <c r="AC12" s="27">
        <v>42033</v>
      </c>
      <c r="AD12" s="27">
        <v>42034</v>
      </c>
      <c r="AE12" s="27">
        <v>42035</v>
      </c>
      <c r="AF12" s="27">
        <v>42036</v>
      </c>
      <c r="AG12" s="27">
        <v>42037</v>
      </c>
      <c r="AH12" s="27">
        <v>42038</v>
      </c>
      <c r="AI12" s="27">
        <v>42039</v>
      </c>
      <c r="AJ12" s="27">
        <v>42040</v>
      </c>
      <c r="AK12" s="27">
        <v>42041</v>
      </c>
      <c r="AL12" s="27">
        <v>42074</v>
      </c>
      <c r="AM12" s="27">
        <v>42075</v>
      </c>
      <c r="AN12" s="27">
        <v>42076</v>
      </c>
      <c r="AO12" s="27">
        <v>42077</v>
      </c>
      <c r="AP12" s="27">
        <v>42078</v>
      </c>
      <c r="AQ12" s="27">
        <v>42079</v>
      </c>
      <c r="AR12" s="27">
        <v>42080</v>
      </c>
      <c r="AS12" s="27">
        <v>42081</v>
      </c>
      <c r="AT12" s="27">
        <v>42082</v>
      </c>
      <c r="AU12" s="27">
        <v>42083</v>
      </c>
      <c r="AV12" s="27">
        <v>42084</v>
      </c>
      <c r="AW12" s="27">
        <v>42085</v>
      </c>
      <c r="AX12" s="27">
        <v>42086</v>
      </c>
      <c r="AY12" s="27">
        <v>42087</v>
      </c>
      <c r="AZ12" s="27">
        <v>42088</v>
      </c>
      <c r="BA12" s="27">
        <v>42089</v>
      </c>
      <c r="BB12" s="27">
        <v>42090</v>
      </c>
      <c r="BC12" s="27">
        <v>42091</v>
      </c>
      <c r="BD12" s="27">
        <v>42092</v>
      </c>
      <c r="BE12" s="27">
        <v>42093</v>
      </c>
      <c r="BF12" s="27">
        <v>42094</v>
      </c>
      <c r="BG12" s="27">
        <v>42095</v>
      </c>
      <c r="BH12" s="27">
        <v>42096</v>
      </c>
      <c r="BI12" s="27">
        <v>42097</v>
      </c>
      <c r="BJ12" s="27">
        <v>42098</v>
      </c>
      <c r="BK12" s="27">
        <v>42099</v>
      </c>
      <c r="BL12" s="27">
        <v>42100</v>
      </c>
      <c r="BM12" s="27">
        <v>42101</v>
      </c>
      <c r="BN12" s="27">
        <v>42102</v>
      </c>
      <c r="BO12" s="27">
        <v>42103</v>
      </c>
      <c r="BP12" s="27">
        <v>42104</v>
      </c>
      <c r="BQ12" s="27">
        <v>42105</v>
      </c>
      <c r="BR12" s="27">
        <v>42106</v>
      </c>
      <c r="BS12" s="27">
        <v>42107</v>
      </c>
      <c r="BT12" s="27">
        <v>42108</v>
      </c>
      <c r="BU12" s="27">
        <v>42109</v>
      </c>
      <c r="BV12" s="27">
        <v>42110</v>
      </c>
      <c r="BW12" s="27">
        <v>42111</v>
      </c>
      <c r="BX12" s="27">
        <v>42112</v>
      </c>
      <c r="BY12" s="27">
        <v>42113</v>
      </c>
      <c r="BZ12" s="27">
        <v>42114</v>
      </c>
      <c r="CA12" s="27">
        <v>42115</v>
      </c>
      <c r="CB12" s="27">
        <v>42116</v>
      </c>
      <c r="CC12" s="27">
        <v>42117</v>
      </c>
      <c r="CD12" s="27">
        <v>42118</v>
      </c>
      <c r="CE12" s="27">
        <v>42119</v>
      </c>
      <c r="CF12" s="27">
        <v>42120</v>
      </c>
      <c r="CG12" s="27">
        <v>42121</v>
      </c>
      <c r="CH12" s="27">
        <v>42122</v>
      </c>
      <c r="CI12" s="27">
        <v>42123</v>
      </c>
      <c r="CJ12" s="27">
        <v>42124</v>
      </c>
      <c r="CK12" s="27">
        <v>42125</v>
      </c>
      <c r="CL12" s="27">
        <v>42126</v>
      </c>
      <c r="CM12" s="27">
        <v>42127</v>
      </c>
      <c r="CN12" s="27">
        <v>42128</v>
      </c>
      <c r="CO12" s="27">
        <v>42129</v>
      </c>
      <c r="CP12" s="27">
        <v>42130</v>
      </c>
      <c r="CQ12" s="27">
        <v>42131</v>
      </c>
      <c r="CR12" s="27">
        <v>42132</v>
      </c>
      <c r="CS12" s="27">
        <v>42133</v>
      </c>
      <c r="CT12" s="27">
        <v>42134</v>
      </c>
      <c r="CU12" s="27">
        <v>42135</v>
      </c>
      <c r="CV12" s="27">
        <v>42136</v>
      </c>
      <c r="CW12" s="27">
        <v>42137</v>
      </c>
      <c r="CX12" s="27">
        <v>42138</v>
      </c>
      <c r="CY12" s="27">
        <v>42139</v>
      </c>
      <c r="CZ12" s="27">
        <v>42140</v>
      </c>
      <c r="DA12" s="27">
        <v>42141</v>
      </c>
      <c r="DB12" s="27">
        <v>42142</v>
      </c>
      <c r="DC12" s="27">
        <v>42143</v>
      </c>
      <c r="DD12" s="27">
        <v>42144</v>
      </c>
      <c r="DE12" s="27">
        <v>42145</v>
      </c>
      <c r="DF12" s="27">
        <v>42146</v>
      </c>
      <c r="DG12" s="27">
        <v>42147</v>
      </c>
      <c r="DH12" s="27">
        <v>42148</v>
      </c>
      <c r="DI12" s="27">
        <v>42149</v>
      </c>
      <c r="DJ12" s="27">
        <v>42150</v>
      </c>
      <c r="DK12" s="27">
        <v>42151</v>
      </c>
      <c r="DL12" s="27">
        <v>42152</v>
      </c>
      <c r="DM12" s="27">
        <v>42153</v>
      </c>
      <c r="DN12" s="27">
        <v>42154</v>
      </c>
      <c r="DO12" s="27">
        <v>42155</v>
      </c>
      <c r="DP12" s="27">
        <v>42156</v>
      </c>
      <c r="DQ12" s="27">
        <v>42157</v>
      </c>
      <c r="DR12" s="27">
        <v>42158</v>
      </c>
      <c r="DS12" s="27">
        <v>42159</v>
      </c>
      <c r="DT12" s="27">
        <v>42160</v>
      </c>
      <c r="DU12" s="27">
        <v>42161</v>
      </c>
      <c r="DV12" s="27">
        <v>42162</v>
      </c>
      <c r="DW12" s="27">
        <v>42163</v>
      </c>
      <c r="DX12" s="27">
        <v>42164</v>
      </c>
      <c r="DY12" s="27">
        <v>42165</v>
      </c>
      <c r="DZ12" s="27">
        <v>42166</v>
      </c>
      <c r="EA12" s="27">
        <v>42167</v>
      </c>
      <c r="EB12" s="27">
        <v>42168</v>
      </c>
      <c r="EC12" s="27">
        <v>42169</v>
      </c>
      <c r="ED12" s="27">
        <v>42170</v>
      </c>
      <c r="EE12" s="27">
        <v>42171</v>
      </c>
      <c r="EF12" s="27">
        <v>42172</v>
      </c>
      <c r="EG12" s="27">
        <v>42173</v>
      </c>
      <c r="EH12" s="27">
        <v>42174</v>
      </c>
      <c r="EI12" s="27">
        <v>42175</v>
      </c>
      <c r="EJ12" s="27">
        <v>42176</v>
      </c>
      <c r="EK12" s="27">
        <v>42177</v>
      </c>
      <c r="EL12" s="27">
        <v>42178</v>
      </c>
      <c r="EM12" s="27">
        <v>42179</v>
      </c>
      <c r="EN12" s="27">
        <v>42180</v>
      </c>
      <c r="EO12" s="27">
        <v>42181</v>
      </c>
      <c r="EP12" s="27">
        <v>42182</v>
      </c>
      <c r="EQ12" s="27">
        <v>42183</v>
      </c>
      <c r="ER12" s="27">
        <v>42184</v>
      </c>
      <c r="ES12" s="27">
        <v>42185</v>
      </c>
      <c r="ET12" s="28">
        <v>42186</v>
      </c>
      <c r="EU12" s="28">
        <v>42187</v>
      </c>
      <c r="EV12" s="28">
        <v>42188</v>
      </c>
      <c r="EW12" s="28">
        <v>42189</v>
      </c>
      <c r="EX12" s="28">
        <v>42190</v>
      </c>
      <c r="EY12" s="29">
        <v>42191</v>
      </c>
      <c r="EZ12" s="29">
        <v>42192</v>
      </c>
      <c r="FA12" s="29">
        <v>42193</v>
      </c>
      <c r="FB12" s="29">
        <v>42194</v>
      </c>
      <c r="FC12" s="29">
        <v>42195</v>
      </c>
      <c r="FD12" s="29">
        <v>42196</v>
      </c>
      <c r="FE12" s="29">
        <v>42197</v>
      </c>
      <c r="FF12" s="29">
        <v>42198</v>
      </c>
      <c r="FG12" s="29">
        <v>42199</v>
      </c>
      <c r="FH12" s="29">
        <v>42200</v>
      </c>
      <c r="FI12" s="29">
        <v>42201</v>
      </c>
      <c r="FJ12" s="29">
        <v>42202</v>
      </c>
      <c r="FK12" s="29">
        <v>42203</v>
      </c>
      <c r="FL12" s="29">
        <v>42204</v>
      </c>
      <c r="FM12" s="29">
        <v>42205</v>
      </c>
      <c r="FN12" s="29">
        <v>42206</v>
      </c>
      <c r="FO12" s="29">
        <v>42207</v>
      </c>
      <c r="FP12" s="29">
        <v>42208</v>
      </c>
      <c r="FQ12" s="29">
        <v>42209</v>
      </c>
      <c r="FR12" s="29">
        <v>42210</v>
      </c>
      <c r="FS12" s="29">
        <v>42211</v>
      </c>
      <c r="FT12" s="29">
        <v>42212</v>
      </c>
      <c r="FU12" s="29">
        <v>42213</v>
      </c>
      <c r="FV12" s="29">
        <v>42214</v>
      </c>
      <c r="FW12" s="29">
        <v>42215</v>
      </c>
      <c r="FX12" s="29">
        <v>42216</v>
      </c>
      <c r="FY12" s="28">
        <v>42217</v>
      </c>
      <c r="FZ12" s="28">
        <v>42218</v>
      </c>
      <c r="GA12" s="28">
        <v>42219</v>
      </c>
      <c r="GB12" s="28">
        <v>42220</v>
      </c>
      <c r="GC12" s="28">
        <v>42221</v>
      </c>
      <c r="GD12" s="28">
        <v>42222</v>
      </c>
      <c r="GE12" s="28">
        <v>42223</v>
      </c>
      <c r="GF12" s="29">
        <v>42224</v>
      </c>
      <c r="GG12" s="29">
        <v>42225</v>
      </c>
      <c r="GH12" s="29">
        <v>42226</v>
      </c>
      <c r="GI12" s="29">
        <v>42227</v>
      </c>
      <c r="GJ12" s="29">
        <v>42228</v>
      </c>
      <c r="GK12" s="29">
        <v>42229</v>
      </c>
      <c r="GL12" s="29">
        <v>42230</v>
      </c>
      <c r="GM12" s="29">
        <v>42231</v>
      </c>
      <c r="GN12" s="29">
        <v>42232</v>
      </c>
      <c r="GO12" s="30">
        <v>42233</v>
      </c>
      <c r="GP12" s="30">
        <v>42234</v>
      </c>
      <c r="GQ12" s="30">
        <v>42235</v>
      </c>
      <c r="GR12" s="30">
        <v>42236</v>
      </c>
      <c r="GS12" s="30">
        <v>42237</v>
      </c>
      <c r="GT12" s="30">
        <v>42238</v>
      </c>
      <c r="GU12" s="30">
        <v>42239</v>
      </c>
      <c r="GV12" s="30">
        <v>42240</v>
      </c>
      <c r="GW12" s="30">
        <v>42241</v>
      </c>
      <c r="GX12" s="30">
        <v>42242</v>
      </c>
      <c r="GY12" s="30">
        <v>42243</v>
      </c>
      <c r="GZ12" s="30">
        <v>42244</v>
      </c>
      <c r="HA12" s="30">
        <v>42245</v>
      </c>
      <c r="HB12" s="30">
        <v>42246</v>
      </c>
      <c r="HC12" s="30">
        <v>42247</v>
      </c>
      <c r="HD12" s="30">
        <v>42248</v>
      </c>
      <c r="HE12" s="30">
        <v>42249</v>
      </c>
      <c r="HF12" s="30">
        <v>42250</v>
      </c>
      <c r="HG12" s="30">
        <v>42251</v>
      </c>
      <c r="HH12" s="30">
        <v>42252</v>
      </c>
      <c r="HI12" s="30">
        <v>42253</v>
      </c>
      <c r="HJ12" s="30">
        <v>42254</v>
      </c>
      <c r="HK12" s="30">
        <v>42255</v>
      </c>
      <c r="HL12" s="30">
        <v>42256</v>
      </c>
      <c r="HM12" s="30">
        <v>42257</v>
      </c>
      <c r="HN12" s="30">
        <v>42258</v>
      </c>
      <c r="HO12" s="30">
        <v>42259</v>
      </c>
      <c r="HP12" s="30">
        <v>42260</v>
      </c>
      <c r="HQ12" s="30">
        <v>42261</v>
      </c>
      <c r="HR12" s="30">
        <v>42262</v>
      </c>
      <c r="HS12" s="30">
        <v>42263</v>
      </c>
      <c r="HT12" s="29">
        <v>42264</v>
      </c>
      <c r="HU12" s="29">
        <v>42265</v>
      </c>
      <c r="HV12" s="29">
        <v>42266</v>
      </c>
      <c r="HW12" s="29">
        <v>42267</v>
      </c>
      <c r="HX12" s="29">
        <v>42268</v>
      </c>
      <c r="HY12" s="29">
        <v>42269</v>
      </c>
      <c r="HZ12" s="29">
        <v>42270</v>
      </c>
      <c r="IA12" s="29">
        <v>42271</v>
      </c>
      <c r="IB12" s="29">
        <v>42272</v>
      </c>
      <c r="IC12" s="29">
        <v>42273</v>
      </c>
      <c r="ID12" s="29">
        <v>42274</v>
      </c>
      <c r="IE12" s="29">
        <v>42275</v>
      </c>
      <c r="IF12" s="29">
        <v>42276</v>
      </c>
      <c r="IG12" s="29">
        <v>42277</v>
      </c>
      <c r="IH12" s="29">
        <v>42278</v>
      </c>
      <c r="II12" s="29">
        <v>42279</v>
      </c>
      <c r="IJ12" s="29">
        <v>42280</v>
      </c>
      <c r="IK12" s="29">
        <v>42281</v>
      </c>
      <c r="IL12" s="29">
        <v>42282</v>
      </c>
      <c r="IM12" s="29">
        <v>42283</v>
      </c>
      <c r="IN12" s="29">
        <v>42284</v>
      </c>
      <c r="IO12" s="29">
        <v>42285</v>
      </c>
      <c r="IP12" s="29">
        <v>42286</v>
      </c>
      <c r="IQ12" s="29">
        <v>42287</v>
      </c>
      <c r="IR12" s="29">
        <v>42288</v>
      </c>
      <c r="IS12" s="29">
        <v>42289</v>
      </c>
      <c r="IT12" s="29">
        <v>42290</v>
      </c>
      <c r="IU12" s="29">
        <v>42291</v>
      </c>
      <c r="IV12" s="29">
        <v>42292</v>
      </c>
      <c r="IW12" s="29">
        <v>42293</v>
      </c>
      <c r="IX12" s="29">
        <v>42294</v>
      </c>
      <c r="IY12" s="29">
        <v>42295</v>
      </c>
      <c r="IZ12" s="29">
        <v>42296</v>
      </c>
      <c r="JA12" s="29">
        <v>42297</v>
      </c>
      <c r="JB12" s="29">
        <v>42298</v>
      </c>
      <c r="JC12" s="29">
        <v>42299</v>
      </c>
      <c r="JD12" s="29">
        <v>42300</v>
      </c>
      <c r="JE12" s="29">
        <v>42301</v>
      </c>
      <c r="JF12" s="28">
        <v>42302</v>
      </c>
      <c r="JG12" s="28">
        <v>42303</v>
      </c>
      <c r="JH12" s="28">
        <v>42304</v>
      </c>
      <c r="JI12" s="28">
        <v>42305</v>
      </c>
      <c r="JJ12" s="28">
        <v>42306</v>
      </c>
      <c r="JK12" s="28">
        <v>42307</v>
      </c>
      <c r="JL12" s="28">
        <v>42308</v>
      </c>
      <c r="JM12" s="28">
        <v>42309</v>
      </c>
      <c r="JN12" s="28">
        <v>42310</v>
      </c>
      <c r="JO12" s="28">
        <v>42311</v>
      </c>
      <c r="JP12" s="28">
        <v>42312</v>
      </c>
      <c r="JQ12" s="28">
        <v>42313</v>
      </c>
      <c r="JR12" s="28">
        <v>42314</v>
      </c>
      <c r="JS12" s="28">
        <v>42315</v>
      </c>
      <c r="JT12" s="28">
        <v>42316</v>
      </c>
      <c r="JU12" s="28">
        <v>42317</v>
      </c>
      <c r="JV12" s="28">
        <v>42318</v>
      </c>
      <c r="JW12" s="28">
        <v>42319</v>
      </c>
      <c r="JX12" s="28">
        <v>42320</v>
      </c>
      <c r="JY12" s="28">
        <v>42321</v>
      </c>
      <c r="JZ12" s="28">
        <v>42322</v>
      </c>
      <c r="KA12" s="28">
        <v>42323</v>
      </c>
      <c r="KB12" s="28">
        <v>42324</v>
      </c>
      <c r="KC12" s="29">
        <v>42325</v>
      </c>
      <c r="KD12" s="29">
        <v>42326</v>
      </c>
      <c r="KE12" s="29">
        <v>42327</v>
      </c>
      <c r="KF12" s="29">
        <v>42328</v>
      </c>
      <c r="KG12" s="29">
        <v>42329</v>
      </c>
      <c r="KH12" s="29">
        <v>42330</v>
      </c>
      <c r="KI12" s="29">
        <v>42331</v>
      </c>
      <c r="KJ12" s="28">
        <v>42332</v>
      </c>
      <c r="KK12" s="28">
        <v>42333</v>
      </c>
      <c r="KL12" s="29">
        <v>42334</v>
      </c>
      <c r="KM12" s="29">
        <v>42335</v>
      </c>
      <c r="KN12" s="30">
        <v>42336</v>
      </c>
      <c r="KO12" s="30">
        <v>42337</v>
      </c>
      <c r="KP12" s="30">
        <v>42338</v>
      </c>
      <c r="KQ12" s="30">
        <v>42339</v>
      </c>
      <c r="KR12" s="30">
        <v>42340</v>
      </c>
      <c r="KS12" s="28">
        <v>42341</v>
      </c>
      <c r="KT12" s="28">
        <v>42342</v>
      </c>
      <c r="KU12" s="28">
        <v>42343</v>
      </c>
      <c r="KV12" s="28">
        <v>42344</v>
      </c>
      <c r="KW12" s="28">
        <v>42345</v>
      </c>
      <c r="KX12" s="36">
        <v>42346</v>
      </c>
      <c r="KY12" s="36">
        <v>42347</v>
      </c>
      <c r="KZ12" s="36">
        <v>42348</v>
      </c>
      <c r="LA12" s="36">
        <v>42349</v>
      </c>
      <c r="LB12" s="36">
        <v>42350</v>
      </c>
      <c r="LC12" s="36">
        <v>42351</v>
      </c>
      <c r="LD12" s="36">
        <v>42352</v>
      </c>
      <c r="LE12" s="36">
        <v>42353</v>
      </c>
      <c r="LF12" s="37">
        <v>42354</v>
      </c>
      <c r="LG12" s="37">
        <v>42355</v>
      </c>
      <c r="LH12" s="36">
        <v>42356</v>
      </c>
      <c r="LI12" s="36">
        <v>42357</v>
      </c>
      <c r="LJ12" s="36">
        <v>42358</v>
      </c>
      <c r="LK12" s="36">
        <v>42359</v>
      </c>
      <c r="LL12" s="36">
        <v>42360</v>
      </c>
      <c r="LM12" s="36">
        <v>42361</v>
      </c>
      <c r="LN12" s="36">
        <v>42362</v>
      </c>
      <c r="LO12" s="36">
        <v>42363</v>
      </c>
      <c r="LP12" s="36">
        <v>42364</v>
      </c>
      <c r="LQ12" s="36">
        <v>42365</v>
      </c>
      <c r="LR12" s="36">
        <v>42366</v>
      </c>
      <c r="LS12" s="36">
        <v>42367</v>
      </c>
      <c r="LT12" s="36">
        <v>42368</v>
      </c>
      <c r="LU12" s="36">
        <v>42369</v>
      </c>
    </row>
    <row r="13" spans="2:368" x14ac:dyDescent="0.2">
      <c r="B13">
        <v>1709.7920000000001</v>
      </c>
      <c r="C13">
        <v>3260.32</v>
      </c>
      <c r="D13">
        <v>2194.3040000000001</v>
      </c>
      <c r="E13">
        <v>1758.2880000000002</v>
      </c>
      <c r="F13">
        <v>3301.76</v>
      </c>
      <c r="G13">
        <v>1723.68</v>
      </c>
      <c r="H13">
        <v>2492.0000000000005</v>
      </c>
      <c r="I13">
        <v>1584.8000000000002</v>
      </c>
      <c r="J13">
        <v>1489.6000000000001</v>
      </c>
      <c r="K13">
        <v>1233.1200000000001</v>
      </c>
      <c r="L13">
        <v>2478.5600000000004</v>
      </c>
      <c r="M13">
        <v>1855.8400000000001</v>
      </c>
      <c r="N13">
        <v>2437.1200000000003</v>
      </c>
      <c r="O13">
        <v>3620.9600000000005</v>
      </c>
      <c r="P13">
        <v>1066.24</v>
      </c>
      <c r="Q13">
        <v>1994.7200000000003</v>
      </c>
      <c r="R13">
        <v>2306.0800000000004</v>
      </c>
      <c r="S13">
        <v>2713.76</v>
      </c>
      <c r="T13">
        <v>1308.1600000000001</v>
      </c>
      <c r="U13">
        <v>3399.2000000000003</v>
      </c>
      <c r="V13">
        <v>2582.7200000000003</v>
      </c>
      <c r="W13">
        <v>2354.2400000000002</v>
      </c>
      <c r="X13">
        <v>776.16000000000008</v>
      </c>
      <c r="Y13">
        <v>907.2</v>
      </c>
      <c r="Z13">
        <v>637.28000000000009</v>
      </c>
      <c r="AA13">
        <v>1821.1200000000001</v>
      </c>
      <c r="AB13">
        <v>2720.4800000000005</v>
      </c>
      <c r="AC13">
        <v>2887.36</v>
      </c>
      <c r="AD13">
        <v>2610.7200000000003</v>
      </c>
      <c r="AE13">
        <v>3170.7200000000003</v>
      </c>
      <c r="AF13">
        <v>3392.4800000000005</v>
      </c>
      <c r="AG13">
        <v>3523.5200000000004</v>
      </c>
      <c r="AH13">
        <v>3308.4800000000005</v>
      </c>
      <c r="AI13">
        <v>2471.84</v>
      </c>
      <c r="AJ13">
        <v>858.81600000000003</v>
      </c>
      <c r="AK13">
        <v>616.67200000000014</v>
      </c>
      <c r="AL13">
        <v>692.22239999999999</v>
      </c>
      <c r="AM13">
        <v>3055.1388000000002</v>
      </c>
      <c r="AN13">
        <v>2994.1884</v>
      </c>
      <c r="AO13">
        <v>2711.2044000000001</v>
      </c>
      <c r="AP13">
        <v>2912.5583999999999</v>
      </c>
      <c r="AQ13">
        <v>2670.9336000000003</v>
      </c>
      <c r="AR13">
        <v>3491.5871999999999</v>
      </c>
      <c r="AS13">
        <v>2778.6851999999999</v>
      </c>
      <c r="AT13">
        <v>3835.5216</v>
      </c>
      <c r="AU13">
        <v>2583.8616000000002</v>
      </c>
      <c r="AV13">
        <v>2042.88</v>
      </c>
      <c r="AW13">
        <v>2741.76</v>
      </c>
      <c r="AX13">
        <v>2832.4800000000005</v>
      </c>
      <c r="AY13">
        <v>3627.6800000000003</v>
      </c>
      <c r="AZ13">
        <v>2652.1600000000003</v>
      </c>
      <c r="BA13">
        <v>3538.0800000000004</v>
      </c>
      <c r="BB13">
        <v>3407.0400000000004</v>
      </c>
      <c r="BC13">
        <v>3662.4000000000005</v>
      </c>
      <c r="BD13">
        <v>2401.2800000000002</v>
      </c>
      <c r="BE13">
        <v>4154.0800000000008</v>
      </c>
      <c r="BF13">
        <v>3808.0000000000005</v>
      </c>
      <c r="BG13">
        <v>3683.6800000000003</v>
      </c>
      <c r="BH13">
        <v>3475.36</v>
      </c>
      <c r="BI13">
        <v>2250.0800000000004</v>
      </c>
      <c r="BJ13">
        <v>1890.5600000000002</v>
      </c>
      <c r="BK13">
        <v>3171.84</v>
      </c>
      <c r="BL13">
        <v>2256.8000000000002</v>
      </c>
      <c r="BM13">
        <v>3448.4800000000005</v>
      </c>
      <c r="BN13">
        <v>3475.36</v>
      </c>
      <c r="BO13">
        <v>2167.2000000000003</v>
      </c>
      <c r="BP13">
        <v>3566.0800000000004</v>
      </c>
      <c r="BQ13">
        <v>3268.1600000000003</v>
      </c>
      <c r="BR13">
        <v>2513.2800000000002</v>
      </c>
      <c r="BS13">
        <v>2430.4</v>
      </c>
      <c r="BT13">
        <v>5102.72</v>
      </c>
      <c r="BU13">
        <v>2685.76</v>
      </c>
      <c r="BV13">
        <v>1516.4800000000002</v>
      </c>
      <c r="BW13">
        <v>5122.88</v>
      </c>
      <c r="BX13">
        <v>3371.2000000000003</v>
      </c>
      <c r="BY13">
        <v>2983.6800000000003</v>
      </c>
      <c r="BZ13">
        <v>3004.9600000000005</v>
      </c>
      <c r="CA13">
        <v>1377.6000000000001</v>
      </c>
      <c r="CB13">
        <v>4306.4000000000005</v>
      </c>
      <c r="CC13">
        <v>3025.1200000000003</v>
      </c>
      <c r="CD13">
        <v>2811.2000000000003</v>
      </c>
      <c r="CE13">
        <v>2499.84</v>
      </c>
      <c r="CF13">
        <v>2513.2800000000002</v>
      </c>
      <c r="CG13">
        <v>2700.32</v>
      </c>
      <c r="CH13">
        <v>1718.0800000000002</v>
      </c>
      <c r="CI13">
        <v>1205.1200000000001</v>
      </c>
      <c r="CJ13">
        <v>900.48000000000013</v>
      </c>
      <c r="CK13">
        <v>1703.5200000000002</v>
      </c>
      <c r="CL13">
        <v>2685.76</v>
      </c>
      <c r="CM13">
        <v>2983.6800000000003</v>
      </c>
      <c r="CN13">
        <v>2879.5200000000004</v>
      </c>
      <c r="CO13">
        <v>2859.36</v>
      </c>
      <c r="CP13">
        <v>3073.28</v>
      </c>
      <c r="CQ13">
        <v>3524.6400000000003</v>
      </c>
      <c r="CR13">
        <v>2644.32</v>
      </c>
      <c r="CS13">
        <v>2922.0800000000004</v>
      </c>
      <c r="CT13">
        <v>4763.3600000000006</v>
      </c>
      <c r="CU13">
        <v>2554.7200000000003</v>
      </c>
      <c r="CV13">
        <v>4126.0800000000008</v>
      </c>
      <c r="CW13">
        <v>4036.4800000000005</v>
      </c>
      <c r="CX13">
        <v>2652.1600000000003</v>
      </c>
      <c r="CY13">
        <v>3461.9200000000005</v>
      </c>
      <c r="CZ13">
        <v>3261.4400000000005</v>
      </c>
      <c r="DA13">
        <v>2132.48</v>
      </c>
      <c r="DB13">
        <v>3029.6000000000004</v>
      </c>
      <c r="DC13">
        <v>3808.0000000000005</v>
      </c>
      <c r="DD13">
        <v>2492.0000000000005</v>
      </c>
      <c r="DE13">
        <v>2811.2000000000003</v>
      </c>
      <c r="DF13">
        <v>2513.2800000000002</v>
      </c>
      <c r="DG13">
        <v>1239.8400000000001</v>
      </c>
      <c r="DH13">
        <v>1135.68</v>
      </c>
      <c r="DI13">
        <v>3446.2400000000002</v>
      </c>
      <c r="DJ13">
        <v>4901.1200000000008</v>
      </c>
      <c r="DK13">
        <v>3571.6800000000003</v>
      </c>
      <c r="DL13">
        <v>2145.92</v>
      </c>
      <c r="DM13">
        <v>4290.72</v>
      </c>
      <c r="DN13">
        <v>4000.6400000000003</v>
      </c>
      <c r="DO13">
        <v>3987.2000000000003</v>
      </c>
      <c r="DP13">
        <v>4770.0800000000008</v>
      </c>
      <c r="DQ13">
        <v>2935.5200000000004</v>
      </c>
      <c r="DR13">
        <v>5877.76</v>
      </c>
      <c r="DS13">
        <v>8078.56</v>
      </c>
      <c r="DT13">
        <v>5967.3600000000006</v>
      </c>
      <c r="DU13">
        <v>6839.8400000000011</v>
      </c>
      <c r="DV13">
        <v>5121.76</v>
      </c>
      <c r="DW13">
        <v>7760.4800000000005</v>
      </c>
      <c r="DX13">
        <v>4873.1200000000008</v>
      </c>
      <c r="DY13">
        <v>4562.88</v>
      </c>
      <c r="DZ13">
        <v>7445.7600000000011</v>
      </c>
      <c r="EA13">
        <v>7350.56</v>
      </c>
      <c r="EB13">
        <v>7075.0400000000009</v>
      </c>
      <c r="EC13">
        <v>7143.3600000000006</v>
      </c>
      <c r="ED13">
        <v>5815.0400000000009</v>
      </c>
      <c r="EE13">
        <v>5731.0400000000009</v>
      </c>
      <c r="EF13">
        <v>5061.2800000000007</v>
      </c>
      <c r="EG13">
        <v>5684.0000000000009</v>
      </c>
      <c r="EH13">
        <v>6000.9600000000009</v>
      </c>
      <c r="EI13">
        <v>5815.0400000000009</v>
      </c>
      <c r="EJ13">
        <v>4818.2400000000007</v>
      </c>
      <c r="EK13">
        <v>4056.6400000000003</v>
      </c>
      <c r="EL13">
        <v>6056.9600000000009</v>
      </c>
      <c r="EM13">
        <v>6874.56</v>
      </c>
      <c r="EN13">
        <v>7420.0000000000009</v>
      </c>
      <c r="EO13">
        <v>9185.1200000000008</v>
      </c>
      <c r="EP13">
        <v>7184.8000000000011</v>
      </c>
      <c r="EQ13">
        <v>7420.0000000000009</v>
      </c>
      <c r="ER13">
        <v>8611.68</v>
      </c>
      <c r="ES13">
        <v>7075.0400000000009</v>
      </c>
      <c r="ET13">
        <v>8538.880000000001</v>
      </c>
      <c r="EU13">
        <v>6560.9600000000009</v>
      </c>
      <c r="EV13">
        <v>8664.3200000000015</v>
      </c>
      <c r="EW13">
        <v>5610.0800000000008</v>
      </c>
      <c r="EX13">
        <v>7350.56</v>
      </c>
      <c r="EY13">
        <v>5303.2000000000007</v>
      </c>
      <c r="EZ13">
        <v>4608.8</v>
      </c>
      <c r="FA13">
        <v>4233.6000000000004</v>
      </c>
      <c r="FB13">
        <v>3814.7200000000003</v>
      </c>
      <c r="FC13">
        <v>4540.4800000000005</v>
      </c>
      <c r="FD13">
        <v>3142.7200000000003</v>
      </c>
      <c r="FE13">
        <v>4419.5200000000004</v>
      </c>
      <c r="FF13">
        <v>2942.2400000000002</v>
      </c>
      <c r="FG13">
        <v>4632.3200000000006</v>
      </c>
      <c r="FH13">
        <v>4595.3600000000006</v>
      </c>
      <c r="FI13">
        <v>3230.0800000000004</v>
      </c>
      <c r="FJ13">
        <v>4832.8</v>
      </c>
      <c r="FK13">
        <v>4794.72</v>
      </c>
      <c r="FL13">
        <v>3198.7200000000003</v>
      </c>
      <c r="FM13">
        <v>4551.68</v>
      </c>
      <c r="FN13">
        <v>3925.6000000000004</v>
      </c>
      <c r="FO13">
        <v>2767.5200000000004</v>
      </c>
      <c r="FP13">
        <v>4926.88</v>
      </c>
      <c r="FQ13">
        <v>4720.8</v>
      </c>
      <c r="FR13">
        <v>4733.1200000000008</v>
      </c>
      <c r="FS13">
        <v>5040.0000000000009</v>
      </c>
      <c r="FT13">
        <v>4895.5200000000004</v>
      </c>
      <c r="FU13">
        <v>5051.2000000000007</v>
      </c>
      <c r="FV13">
        <v>5044.4800000000005</v>
      </c>
      <c r="FW13">
        <v>6104.0000000000009</v>
      </c>
      <c r="FX13">
        <v>5910.2400000000007</v>
      </c>
      <c r="FY13">
        <v>8247.68</v>
      </c>
      <c r="FZ13">
        <v>6832.0000000000009</v>
      </c>
      <c r="GA13">
        <v>6646.0800000000008</v>
      </c>
      <c r="GB13">
        <v>7642.880000000001</v>
      </c>
      <c r="GC13">
        <v>6133.1200000000008</v>
      </c>
      <c r="GD13">
        <v>6535.2000000000007</v>
      </c>
      <c r="GE13">
        <v>8006.880000000001</v>
      </c>
      <c r="GF13">
        <v>5577.6</v>
      </c>
      <c r="GG13">
        <v>5447.68</v>
      </c>
      <c r="GH13">
        <v>5756.8</v>
      </c>
      <c r="GI13">
        <v>5990.880000000001</v>
      </c>
      <c r="GJ13">
        <v>5663.84</v>
      </c>
      <c r="GK13">
        <v>5676.1600000000008</v>
      </c>
      <c r="GL13">
        <v>5479.0400000000009</v>
      </c>
      <c r="GM13">
        <v>5699.68</v>
      </c>
      <c r="GN13">
        <v>5447.68</v>
      </c>
      <c r="GO13">
        <v>4495.0199999999995</v>
      </c>
      <c r="GP13">
        <v>4381.0199999999995</v>
      </c>
      <c r="GQ13">
        <v>4053.8399999999997</v>
      </c>
      <c r="GR13">
        <v>4318.32</v>
      </c>
      <c r="GS13">
        <v>3777.9599999999996</v>
      </c>
      <c r="GT13">
        <v>4268.16</v>
      </c>
      <c r="GU13">
        <v>4300.08</v>
      </c>
      <c r="GV13">
        <v>4230.2400000000007</v>
      </c>
      <c r="GW13">
        <v>4323.2000000000007</v>
      </c>
      <c r="GX13">
        <v>4273.92</v>
      </c>
      <c r="GY13">
        <v>4242.5600000000004</v>
      </c>
      <c r="GZ13">
        <v>4570.72</v>
      </c>
      <c r="HA13">
        <v>4520.3200000000006</v>
      </c>
      <c r="HB13">
        <v>4440.8</v>
      </c>
      <c r="HC13">
        <v>4834.74</v>
      </c>
      <c r="HD13">
        <v>4802.82</v>
      </c>
      <c r="HE13">
        <v>4582.7999999999993</v>
      </c>
      <c r="HF13">
        <v>4858.6799999999994</v>
      </c>
      <c r="HG13">
        <v>4921.3799999999992</v>
      </c>
      <c r="HH13">
        <v>4865.5199999999995</v>
      </c>
      <c r="HI13">
        <v>4966.9799999999996</v>
      </c>
      <c r="HJ13">
        <v>4884.8999999999996</v>
      </c>
      <c r="HK13">
        <v>4909.9799999999996</v>
      </c>
      <c r="HL13">
        <v>4507.5599999999995</v>
      </c>
      <c r="HM13">
        <v>4431.1799999999994</v>
      </c>
      <c r="HN13">
        <v>4457.3999999999996</v>
      </c>
      <c r="HO13">
        <v>4438.0199999999995</v>
      </c>
      <c r="HP13">
        <v>4301.2199999999993</v>
      </c>
      <c r="HQ13">
        <v>4362.78</v>
      </c>
      <c r="HR13">
        <v>4488.1799999999994</v>
      </c>
      <c r="HS13">
        <v>4350.24</v>
      </c>
      <c r="HT13">
        <v>4872.3599999999997</v>
      </c>
      <c r="HU13">
        <v>5432.0999999999995</v>
      </c>
      <c r="HV13">
        <v>5444.6399999999994</v>
      </c>
      <c r="HW13">
        <v>5595.12</v>
      </c>
      <c r="HX13">
        <v>5280.48</v>
      </c>
      <c r="HY13">
        <v>5324.94</v>
      </c>
      <c r="HZ13">
        <v>5305.5599999999995</v>
      </c>
      <c r="IA13">
        <v>5255.4</v>
      </c>
      <c r="IB13">
        <v>5167.62</v>
      </c>
      <c r="IC13">
        <v>5123.16</v>
      </c>
      <c r="ID13">
        <v>5117.4599999999991</v>
      </c>
      <c r="IE13">
        <v>5180.16</v>
      </c>
      <c r="IF13">
        <v>5199.54</v>
      </c>
      <c r="IG13">
        <v>4507.5599999999995</v>
      </c>
      <c r="IH13">
        <v>5500.4999999999991</v>
      </c>
      <c r="II13">
        <v>5784.36</v>
      </c>
      <c r="IJ13">
        <v>5104.9199999999992</v>
      </c>
      <c r="IK13">
        <v>4953.2999999999993</v>
      </c>
      <c r="IL13">
        <v>5212.08</v>
      </c>
      <c r="IM13">
        <v>5262.24</v>
      </c>
      <c r="IN13">
        <v>5085.54</v>
      </c>
      <c r="IO13">
        <v>5877.8399999999992</v>
      </c>
      <c r="IP13">
        <v>5230.32</v>
      </c>
      <c r="IQ13">
        <v>5330.6399999999994</v>
      </c>
      <c r="IR13">
        <v>5589.4199999999992</v>
      </c>
      <c r="IS13">
        <v>5343.1799999999994</v>
      </c>
      <c r="IT13">
        <v>5314.6799999999994</v>
      </c>
      <c r="IU13">
        <v>5262.24</v>
      </c>
      <c r="IV13">
        <v>5104.9199999999992</v>
      </c>
      <c r="IW13">
        <v>5010.2999999999993</v>
      </c>
      <c r="IX13">
        <v>5167.62</v>
      </c>
      <c r="IY13">
        <v>5104.9199999999992</v>
      </c>
      <c r="IZ13">
        <v>5249.7</v>
      </c>
      <c r="JA13">
        <v>5627.04</v>
      </c>
      <c r="JB13">
        <v>6079.62</v>
      </c>
      <c r="JC13">
        <v>5972.4599999999991</v>
      </c>
      <c r="JD13">
        <v>6236.94</v>
      </c>
      <c r="JE13">
        <v>6299.6399999999994</v>
      </c>
      <c r="JF13">
        <v>6287.0999999999995</v>
      </c>
      <c r="JG13">
        <v>6331.5599999999995</v>
      </c>
      <c r="JH13">
        <v>7859.0279999999993</v>
      </c>
      <c r="JI13">
        <v>7696.293999999999</v>
      </c>
      <c r="JJ13">
        <v>6093.99</v>
      </c>
      <c r="JK13">
        <v>7626.8759999999993</v>
      </c>
      <c r="JL13">
        <v>6099.6799999999994</v>
      </c>
      <c r="JM13">
        <v>7940.963999999999</v>
      </c>
      <c r="JN13">
        <v>6370.5239999999994</v>
      </c>
      <c r="JO13">
        <v>7626.8759999999993</v>
      </c>
      <c r="JP13">
        <v>7884.0639999999994</v>
      </c>
      <c r="JQ13">
        <v>6131.5439999999999</v>
      </c>
      <c r="JR13">
        <v>7237.6799999999994</v>
      </c>
      <c r="JS13">
        <v>6006.3639999999996</v>
      </c>
      <c r="JT13">
        <v>7200.1259999999993</v>
      </c>
      <c r="JU13">
        <v>7507.3859999999995</v>
      </c>
      <c r="JV13">
        <v>6230.5649999999996</v>
      </c>
      <c r="JW13">
        <v>8048.0949999999993</v>
      </c>
      <c r="JX13">
        <v>6585.7275</v>
      </c>
      <c r="JY13">
        <v>8016.5249999999996</v>
      </c>
      <c r="JZ13">
        <v>6230.5649999999996</v>
      </c>
      <c r="KA13">
        <v>7717.7374999999993</v>
      </c>
      <c r="KB13">
        <v>7252.08</v>
      </c>
      <c r="KC13">
        <v>5931.7775000000001</v>
      </c>
      <c r="KD13">
        <v>6616.17</v>
      </c>
      <c r="KE13">
        <v>6559.7950000000001</v>
      </c>
      <c r="KF13">
        <v>6610.5324999999993</v>
      </c>
      <c r="KG13">
        <v>6467.34</v>
      </c>
      <c r="KH13">
        <v>6504.5474999999997</v>
      </c>
      <c r="KI13">
        <v>6442.5349999999999</v>
      </c>
      <c r="KJ13">
        <v>6740.1949999999997</v>
      </c>
      <c r="KK13">
        <v>7966.915</v>
      </c>
      <c r="KL13">
        <v>6000.5549999999994</v>
      </c>
      <c r="KM13">
        <v>7096.4849999999997</v>
      </c>
      <c r="KN13">
        <v>5079.3874999999998</v>
      </c>
      <c r="KO13">
        <v>4849.3774999999996</v>
      </c>
      <c r="KP13">
        <v>4352.1499999999996</v>
      </c>
      <c r="KQ13">
        <v>4140</v>
      </c>
      <c r="KR13">
        <v>4299.8505000000005</v>
      </c>
      <c r="KS13">
        <v>5565.2800000000007</v>
      </c>
      <c r="KT13">
        <v>7742.9000000000005</v>
      </c>
      <c r="KU13">
        <v>6374.7449999999999</v>
      </c>
      <c r="KV13">
        <v>7737.9100000000008</v>
      </c>
      <c r="KW13">
        <v>6287.1200000000008</v>
      </c>
      <c r="KX13">
        <v>7491.5700000000006</v>
      </c>
      <c r="KY13">
        <v>5104.8900000000003</v>
      </c>
      <c r="KZ13">
        <v>5864.82</v>
      </c>
      <c r="LA13">
        <v>6686.07</v>
      </c>
      <c r="LB13">
        <v>6846.9516000000003</v>
      </c>
      <c r="LC13">
        <v>6621.0884999999998</v>
      </c>
      <c r="LD13">
        <v>5174.4000000000005</v>
      </c>
      <c r="LE13">
        <v>6856.3</v>
      </c>
      <c r="LF13">
        <v>5155.7000000000007</v>
      </c>
      <c r="LG13">
        <v>4374.5240000000003</v>
      </c>
      <c r="LH13">
        <v>3677.6600000000003</v>
      </c>
      <c r="LI13">
        <v>6279.9000000000005</v>
      </c>
      <c r="LJ13">
        <v>6174.6479999999992</v>
      </c>
      <c r="LK13">
        <v>7439.6400000000012</v>
      </c>
      <c r="LL13">
        <v>5365.24</v>
      </c>
      <c r="LM13">
        <v>7332.4800000000005</v>
      </c>
      <c r="LN13">
        <v>6010.0800000000008</v>
      </c>
      <c r="LO13">
        <v>7351.68</v>
      </c>
      <c r="LP13">
        <v>6266.25</v>
      </c>
      <c r="LQ13">
        <v>7681.68</v>
      </c>
      <c r="LR13">
        <v>6115.2000000000007</v>
      </c>
      <c r="LS13">
        <v>7661.1949999999997</v>
      </c>
      <c r="LT13">
        <v>6177.915</v>
      </c>
      <c r="LU13">
        <v>4792.32</v>
      </c>
      <c r="LV13">
        <f>SUM(B13:LU13)</f>
        <v>1545843.1546999996</v>
      </c>
    </row>
    <row r="14" spans="2:368" x14ac:dyDescent="0.2">
      <c r="B14">
        <v>1526.6</v>
      </c>
      <c r="C14">
        <v>2911</v>
      </c>
      <c r="D14">
        <v>1959.2</v>
      </c>
      <c r="E14">
        <v>1569.9</v>
      </c>
      <c r="F14">
        <v>2948</v>
      </c>
      <c r="G14">
        <v>1539</v>
      </c>
      <c r="H14">
        <v>2225</v>
      </c>
      <c r="I14">
        <v>1415</v>
      </c>
      <c r="J14">
        <v>1330</v>
      </c>
      <c r="K14">
        <v>1101</v>
      </c>
      <c r="L14">
        <v>2213</v>
      </c>
      <c r="M14">
        <v>1657</v>
      </c>
      <c r="N14">
        <v>2176</v>
      </c>
      <c r="O14">
        <v>3233</v>
      </c>
      <c r="P14">
        <v>952</v>
      </c>
      <c r="Q14">
        <v>1781</v>
      </c>
      <c r="R14">
        <v>2059</v>
      </c>
      <c r="S14">
        <v>2423</v>
      </c>
      <c r="T14">
        <v>1168</v>
      </c>
      <c r="U14">
        <v>3035</v>
      </c>
      <c r="V14">
        <v>2306</v>
      </c>
      <c r="W14">
        <v>2102</v>
      </c>
      <c r="X14">
        <v>693</v>
      </c>
      <c r="Y14">
        <v>810</v>
      </c>
      <c r="Z14">
        <v>569</v>
      </c>
      <c r="AA14">
        <v>1626</v>
      </c>
      <c r="AB14">
        <v>2429</v>
      </c>
      <c r="AC14">
        <v>2578</v>
      </c>
      <c r="AD14">
        <v>2331</v>
      </c>
      <c r="AE14">
        <v>2831</v>
      </c>
      <c r="AF14">
        <v>3029</v>
      </c>
      <c r="AG14">
        <v>3146</v>
      </c>
      <c r="AH14">
        <v>2954</v>
      </c>
      <c r="AI14">
        <v>2207</v>
      </c>
      <c r="AJ14">
        <v>766.8</v>
      </c>
      <c r="AK14">
        <v>550.6</v>
      </c>
      <c r="AL14">
        <v>636</v>
      </c>
      <c r="AM14">
        <v>2807</v>
      </c>
      <c r="AN14">
        <v>2751</v>
      </c>
      <c r="AO14">
        <v>2491</v>
      </c>
      <c r="AP14">
        <v>2676</v>
      </c>
      <c r="AQ14">
        <v>2454</v>
      </c>
      <c r="AR14">
        <v>3208</v>
      </c>
      <c r="AS14">
        <v>2553</v>
      </c>
      <c r="AT14">
        <v>3524</v>
      </c>
      <c r="AU14">
        <v>2374</v>
      </c>
      <c r="AV14">
        <v>1824</v>
      </c>
      <c r="AW14">
        <v>2448</v>
      </c>
      <c r="AX14">
        <v>2529</v>
      </c>
      <c r="AY14">
        <v>3239</v>
      </c>
      <c r="AZ14">
        <v>2368</v>
      </c>
      <c r="BA14">
        <v>3159</v>
      </c>
      <c r="BB14">
        <v>3042</v>
      </c>
      <c r="BC14">
        <v>3270</v>
      </c>
      <c r="BD14">
        <v>2144</v>
      </c>
      <c r="BE14">
        <v>3709</v>
      </c>
      <c r="BF14">
        <v>3400</v>
      </c>
      <c r="BG14">
        <v>3289</v>
      </c>
      <c r="BH14">
        <v>3103</v>
      </c>
      <c r="BI14">
        <v>2009</v>
      </c>
      <c r="BJ14">
        <v>1688</v>
      </c>
      <c r="BK14">
        <v>2832</v>
      </c>
      <c r="BL14">
        <v>2015</v>
      </c>
      <c r="BM14">
        <v>3079</v>
      </c>
      <c r="BN14">
        <v>3103</v>
      </c>
      <c r="BO14">
        <v>1935</v>
      </c>
      <c r="BP14">
        <v>3184</v>
      </c>
      <c r="BQ14">
        <v>2918</v>
      </c>
      <c r="BR14">
        <v>2244</v>
      </c>
      <c r="BS14">
        <v>2170</v>
      </c>
      <c r="BT14">
        <v>4556</v>
      </c>
      <c r="BU14">
        <v>2398</v>
      </c>
      <c r="BV14">
        <v>1354</v>
      </c>
      <c r="BW14">
        <v>4574</v>
      </c>
      <c r="BX14">
        <v>3010</v>
      </c>
      <c r="BY14">
        <v>2664</v>
      </c>
      <c r="BZ14">
        <v>2683</v>
      </c>
      <c r="CA14">
        <v>1230</v>
      </c>
      <c r="CB14">
        <v>3845</v>
      </c>
      <c r="CC14">
        <v>2701</v>
      </c>
      <c r="CD14">
        <v>2510</v>
      </c>
      <c r="CE14">
        <v>2232</v>
      </c>
      <c r="CF14">
        <v>2244</v>
      </c>
      <c r="CG14">
        <v>2411</v>
      </c>
      <c r="CH14">
        <v>1534</v>
      </c>
      <c r="CI14">
        <v>1076</v>
      </c>
      <c r="CJ14">
        <v>804</v>
      </c>
      <c r="CK14">
        <v>1521</v>
      </c>
      <c r="CL14">
        <v>2398</v>
      </c>
      <c r="CM14">
        <v>2664</v>
      </c>
      <c r="CN14">
        <v>2571</v>
      </c>
      <c r="CO14">
        <v>2553</v>
      </c>
      <c r="CP14">
        <v>2744</v>
      </c>
      <c r="CQ14">
        <v>3147</v>
      </c>
      <c r="CR14">
        <v>2361</v>
      </c>
      <c r="CS14">
        <v>2609</v>
      </c>
      <c r="CT14">
        <v>4253</v>
      </c>
      <c r="CU14">
        <v>2281</v>
      </c>
      <c r="CV14">
        <v>3684</v>
      </c>
      <c r="CW14">
        <v>3604</v>
      </c>
      <c r="CX14">
        <v>2368</v>
      </c>
      <c r="CY14">
        <v>3091</v>
      </c>
      <c r="CZ14">
        <v>2912</v>
      </c>
      <c r="DA14">
        <v>1904</v>
      </c>
      <c r="DB14">
        <v>2705</v>
      </c>
      <c r="DC14">
        <v>3400</v>
      </c>
      <c r="DD14">
        <v>2225</v>
      </c>
      <c r="DE14">
        <v>2510</v>
      </c>
      <c r="DF14">
        <v>2244</v>
      </c>
      <c r="DG14">
        <v>1107</v>
      </c>
      <c r="DH14">
        <v>1014</v>
      </c>
      <c r="DI14">
        <v>3077</v>
      </c>
      <c r="DJ14">
        <v>4376</v>
      </c>
      <c r="DK14">
        <v>3189</v>
      </c>
      <c r="DL14">
        <v>1916</v>
      </c>
      <c r="DM14">
        <v>3831</v>
      </c>
      <c r="DN14">
        <v>3572</v>
      </c>
      <c r="DO14">
        <v>3560</v>
      </c>
      <c r="DP14">
        <v>4259</v>
      </c>
      <c r="DQ14">
        <v>2621</v>
      </c>
      <c r="DR14">
        <v>5248</v>
      </c>
      <c r="DS14">
        <v>7213</v>
      </c>
      <c r="DT14">
        <v>5328</v>
      </c>
      <c r="DU14">
        <v>6107</v>
      </c>
      <c r="DV14">
        <v>4573</v>
      </c>
      <c r="DW14">
        <v>6929</v>
      </c>
      <c r="DX14">
        <v>4351</v>
      </c>
      <c r="DY14">
        <v>4074</v>
      </c>
      <c r="DZ14">
        <v>6648</v>
      </c>
      <c r="EA14">
        <v>6563</v>
      </c>
      <c r="EB14">
        <v>6317</v>
      </c>
      <c r="EC14">
        <v>6378</v>
      </c>
      <c r="ED14">
        <v>5192</v>
      </c>
      <c r="EE14">
        <v>5117</v>
      </c>
      <c r="EF14">
        <v>4519</v>
      </c>
      <c r="EG14">
        <v>5075</v>
      </c>
      <c r="EH14">
        <v>5358</v>
      </c>
      <c r="EI14">
        <v>5192</v>
      </c>
      <c r="EJ14">
        <v>4302</v>
      </c>
      <c r="EK14">
        <v>3622</v>
      </c>
      <c r="EL14">
        <v>5408</v>
      </c>
      <c r="EM14">
        <v>6138</v>
      </c>
      <c r="EN14">
        <v>6625</v>
      </c>
      <c r="EO14">
        <v>8201</v>
      </c>
      <c r="EP14">
        <v>6415</v>
      </c>
      <c r="EQ14">
        <v>6625</v>
      </c>
      <c r="ER14">
        <v>7689</v>
      </c>
      <c r="ES14">
        <v>6317</v>
      </c>
      <c r="ET14">
        <v>7624</v>
      </c>
      <c r="EU14">
        <v>5858</v>
      </c>
      <c r="EV14">
        <v>7736</v>
      </c>
      <c r="EW14">
        <v>5009</v>
      </c>
      <c r="EX14">
        <v>6563</v>
      </c>
      <c r="EY14">
        <v>4735</v>
      </c>
      <c r="EZ14">
        <v>4115</v>
      </c>
      <c r="FA14">
        <v>3780</v>
      </c>
      <c r="FB14">
        <v>3406</v>
      </c>
      <c r="FC14">
        <v>4054</v>
      </c>
      <c r="FD14">
        <v>2806</v>
      </c>
      <c r="FE14">
        <v>3946</v>
      </c>
      <c r="FF14">
        <v>2627</v>
      </c>
      <c r="FG14">
        <v>4136</v>
      </c>
      <c r="FH14">
        <v>4103</v>
      </c>
      <c r="FI14">
        <v>2884</v>
      </c>
      <c r="FJ14">
        <v>4315</v>
      </c>
      <c r="FK14">
        <v>4281</v>
      </c>
      <c r="FL14">
        <v>2856</v>
      </c>
      <c r="FM14">
        <v>4064</v>
      </c>
      <c r="FN14">
        <v>3505</v>
      </c>
      <c r="FO14">
        <v>2471</v>
      </c>
      <c r="FP14">
        <v>4399</v>
      </c>
      <c r="FQ14">
        <v>4215</v>
      </c>
      <c r="FR14">
        <v>4226</v>
      </c>
      <c r="FS14">
        <v>4500</v>
      </c>
      <c r="FT14">
        <v>4371</v>
      </c>
      <c r="FU14">
        <v>4510</v>
      </c>
      <c r="FV14">
        <v>4504</v>
      </c>
      <c r="FW14">
        <v>5450</v>
      </c>
      <c r="FX14">
        <v>5277</v>
      </c>
      <c r="FY14">
        <v>7364</v>
      </c>
      <c r="FZ14">
        <v>6100</v>
      </c>
      <c r="GA14">
        <v>5934</v>
      </c>
      <c r="GB14">
        <v>6824</v>
      </c>
      <c r="GC14">
        <v>5476</v>
      </c>
      <c r="GD14">
        <v>5835</v>
      </c>
      <c r="GE14">
        <v>7149</v>
      </c>
      <c r="GF14">
        <v>4980</v>
      </c>
      <c r="GG14">
        <v>4864</v>
      </c>
      <c r="GH14">
        <v>5140</v>
      </c>
      <c r="GI14">
        <v>5349</v>
      </c>
      <c r="GJ14">
        <v>5057</v>
      </c>
      <c r="GK14">
        <v>5068</v>
      </c>
      <c r="GL14">
        <v>4892</v>
      </c>
      <c r="GM14">
        <v>5089</v>
      </c>
      <c r="GN14">
        <v>4864</v>
      </c>
      <c r="GO14">
        <v>3943</v>
      </c>
      <c r="GP14">
        <v>3843</v>
      </c>
      <c r="GQ14">
        <v>3556</v>
      </c>
      <c r="GR14">
        <v>3788</v>
      </c>
      <c r="GS14">
        <v>3314</v>
      </c>
      <c r="GT14">
        <v>3744</v>
      </c>
      <c r="GU14">
        <v>3772</v>
      </c>
      <c r="GV14">
        <v>3777</v>
      </c>
      <c r="GW14">
        <v>3860</v>
      </c>
      <c r="GX14">
        <v>3816</v>
      </c>
      <c r="GY14">
        <v>3788</v>
      </c>
      <c r="GZ14">
        <v>4081</v>
      </c>
      <c r="HA14">
        <v>4036</v>
      </c>
      <c r="HB14">
        <v>3965</v>
      </c>
      <c r="HC14">
        <v>4241</v>
      </c>
      <c r="HD14">
        <v>4213</v>
      </c>
      <c r="HE14">
        <v>4020</v>
      </c>
      <c r="HF14">
        <v>4262</v>
      </c>
      <c r="HG14">
        <v>4317</v>
      </c>
      <c r="HH14">
        <v>4268</v>
      </c>
      <c r="HI14">
        <v>4357</v>
      </c>
      <c r="HJ14">
        <v>4285</v>
      </c>
      <c r="HK14">
        <v>4307</v>
      </c>
      <c r="HL14">
        <v>3954</v>
      </c>
      <c r="HM14">
        <v>3887</v>
      </c>
      <c r="HN14">
        <v>3910</v>
      </c>
      <c r="HO14">
        <v>3893</v>
      </c>
      <c r="HP14">
        <v>3773</v>
      </c>
      <c r="HQ14">
        <v>3827</v>
      </c>
      <c r="HR14">
        <v>3937</v>
      </c>
      <c r="HS14">
        <v>3816</v>
      </c>
      <c r="HT14">
        <v>4274</v>
      </c>
      <c r="HU14">
        <v>4765</v>
      </c>
      <c r="HV14">
        <v>4776</v>
      </c>
      <c r="HW14">
        <v>4908</v>
      </c>
      <c r="HX14">
        <v>4632</v>
      </c>
      <c r="HY14">
        <v>4671</v>
      </c>
      <c r="HZ14">
        <v>4654</v>
      </c>
      <c r="IA14">
        <v>4610</v>
      </c>
      <c r="IB14">
        <v>4533</v>
      </c>
      <c r="IC14">
        <v>4494</v>
      </c>
      <c r="ID14">
        <v>4489</v>
      </c>
      <c r="IE14">
        <v>4544</v>
      </c>
      <c r="IF14">
        <v>4561</v>
      </c>
      <c r="IG14">
        <v>3954</v>
      </c>
      <c r="IH14">
        <v>4825</v>
      </c>
      <c r="II14">
        <v>5074</v>
      </c>
      <c r="IJ14">
        <v>4478</v>
      </c>
      <c r="IK14">
        <v>4345</v>
      </c>
      <c r="IL14">
        <v>4572</v>
      </c>
      <c r="IM14">
        <v>4616</v>
      </c>
      <c r="IN14">
        <v>4461</v>
      </c>
      <c r="IO14">
        <v>5156</v>
      </c>
      <c r="IP14">
        <v>4588</v>
      </c>
      <c r="IQ14">
        <v>4676</v>
      </c>
      <c r="IR14">
        <v>4903</v>
      </c>
      <c r="IS14">
        <v>4687</v>
      </c>
      <c r="IT14">
        <v>4662</v>
      </c>
      <c r="IU14">
        <v>4616</v>
      </c>
      <c r="IV14">
        <v>4478</v>
      </c>
      <c r="IW14">
        <v>4395</v>
      </c>
      <c r="IX14">
        <v>4533</v>
      </c>
      <c r="IY14">
        <v>4478</v>
      </c>
      <c r="IZ14">
        <v>4605</v>
      </c>
      <c r="JA14">
        <v>4936</v>
      </c>
      <c r="JB14">
        <v>5333</v>
      </c>
      <c r="JC14">
        <v>5239</v>
      </c>
      <c r="JD14">
        <v>5471</v>
      </c>
      <c r="JE14">
        <v>5526</v>
      </c>
      <c r="JF14">
        <v>5515</v>
      </c>
      <c r="JG14">
        <v>5554</v>
      </c>
      <c r="JH14">
        <v>6906</v>
      </c>
      <c r="JI14">
        <v>6763</v>
      </c>
      <c r="JJ14">
        <v>5355</v>
      </c>
      <c r="JK14">
        <v>6702</v>
      </c>
      <c r="JL14">
        <v>5360</v>
      </c>
      <c r="JM14">
        <v>6978</v>
      </c>
      <c r="JN14">
        <v>5598</v>
      </c>
      <c r="JO14">
        <v>6702</v>
      </c>
      <c r="JP14">
        <v>6928</v>
      </c>
      <c r="JQ14">
        <v>5388</v>
      </c>
      <c r="JR14">
        <v>6360</v>
      </c>
      <c r="JS14">
        <v>5278</v>
      </c>
      <c r="JT14">
        <v>6327</v>
      </c>
      <c r="JU14">
        <v>6597</v>
      </c>
      <c r="JV14">
        <v>5526</v>
      </c>
      <c r="JW14">
        <v>7138</v>
      </c>
      <c r="JX14">
        <v>5841</v>
      </c>
      <c r="JY14">
        <v>7110</v>
      </c>
      <c r="JZ14">
        <v>5526</v>
      </c>
      <c r="KA14">
        <v>6845</v>
      </c>
      <c r="KB14">
        <v>6432</v>
      </c>
      <c r="KC14">
        <v>5261</v>
      </c>
      <c r="KD14">
        <v>5868</v>
      </c>
      <c r="KE14">
        <v>5818</v>
      </c>
      <c r="KF14">
        <v>5863</v>
      </c>
      <c r="KG14">
        <v>5736</v>
      </c>
      <c r="KH14">
        <v>5769</v>
      </c>
      <c r="KI14">
        <v>5714</v>
      </c>
      <c r="KJ14">
        <v>5978</v>
      </c>
      <c r="KK14">
        <v>7066</v>
      </c>
      <c r="KL14">
        <v>5322</v>
      </c>
      <c r="KM14">
        <v>6294</v>
      </c>
      <c r="KN14">
        <v>4505</v>
      </c>
      <c r="KO14">
        <v>4301</v>
      </c>
      <c r="KP14">
        <v>3860</v>
      </c>
      <c r="KQ14">
        <v>3600</v>
      </c>
      <c r="KR14">
        <v>3755</v>
      </c>
      <c r="KS14">
        <v>4969</v>
      </c>
      <c r="KT14">
        <v>7039</v>
      </c>
      <c r="KU14">
        <v>5769</v>
      </c>
      <c r="KV14">
        <v>7099</v>
      </c>
      <c r="KW14">
        <v>5768</v>
      </c>
      <c r="KX14">
        <v>6873</v>
      </c>
      <c r="KY14">
        <v>4599</v>
      </c>
      <c r="KZ14">
        <v>5356</v>
      </c>
      <c r="LA14">
        <v>6106</v>
      </c>
      <c r="LB14">
        <v>6277</v>
      </c>
      <c r="LC14">
        <v>6045</v>
      </c>
      <c r="LD14">
        <v>4704</v>
      </c>
      <c r="LE14">
        <v>6233</v>
      </c>
      <c r="LF14">
        <v>4687</v>
      </c>
      <c r="LG14">
        <v>4058</v>
      </c>
      <c r="LH14">
        <v>3374</v>
      </c>
      <c r="LI14">
        <v>5709</v>
      </c>
      <c r="LJ14">
        <v>5388</v>
      </c>
      <c r="LK14">
        <v>6526</v>
      </c>
      <c r="LL14">
        <v>4748</v>
      </c>
      <c r="LM14">
        <v>6432</v>
      </c>
      <c r="LN14">
        <v>5272</v>
      </c>
      <c r="LO14">
        <v>6564</v>
      </c>
      <c r="LP14">
        <v>5570</v>
      </c>
      <c r="LQ14">
        <v>6768</v>
      </c>
      <c r="LR14">
        <v>5460</v>
      </c>
      <c r="LS14">
        <v>6691</v>
      </c>
      <c r="LT14">
        <v>5405</v>
      </c>
      <c r="LU14">
        <v>4096</v>
      </c>
      <c r="LV14">
        <f>SUM(B14:LU14)</f>
        <v>1374349.1</v>
      </c>
      <c r="MR14" s="378">
        <v>0.12266295180722891</v>
      </c>
      <c r="MS14" s="542">
        <v>0.17154467759562811</v>
      </c>
    </row>
    <row r="15" spans="2:368" x14ac:dyDescent="0.2">
      <c r="B15">
        <v>0</v>
      </c>
      <c r="C15">
        <v>0</v>
      </c>
      <c r="D15">
        <v>0</v>
      </c>
      <c r="E15">
        <v>0</v>
      </c>
      <c r="F15">
        <v>0</v>
      </c>
      <c r="G15">
        <v>0</v>
      </c>
      <c r="H15">
        <v>0</v>
      </c>
      <c r="I15">
        <v>1685.11</v>
      </c>
      <c r="J15">
        <v>1685.11</v>
      </c>
      <c r="K15">
        <v>1685.11</v>
      </c>
      <c r="L15">
        <v>1685.11</v>
      </c>
      <c r="M15">
        <v>1685.11</v>
      </c>
      <c r="N15">
        <v>1685.11</v>
      </c>
      <c r="O15">
        <v>1685.11</v>
      </c>
      <c r="P15">
        <v>1685.11</v>
      </c>
      <c r="Q15">
        <v>1685.11</v>
      </c>
      <c r="R15">
        <v>1685.11</v>
      </c>
      <c r="S15">
        <v>1685.11</v>
      </c>
      <c r="T15">
        <v>1685.11</v>
      </c>
      <c r="U15">
        <v>1685.11</v>
      </c>
      <c r="V15">
        <v>1685.11</v>
      </c>
      <c r="W15">
        <v>1685.11</v>
      </c>
      <c r="X15">
        <v>1685.11</v>
      </c>
      <c r="Y15">
        <v>1685.11</v>
      </c>
      <c r="Z15">
        <v>1685.11</v>
      </c>
      <c r="AA15">
        <v>1685.11</v>
      </c>
      <c r="AB15">
        <v>1685.11</v>
      </c>
      <c r="AC15">
        <v>1685.11</v>
      </c>
      <c r="AD15">
        <v>1685.11</v>
      </c>
      <c r="AE15">
        <v>1685.11</v>
      </c>
      <c r="AF15">
        <v>1685.11</v>
      </c>
      <c r="AG15">
        <v>1685.11</v>
      </c>
      <c r="AH15">
        <v>1685.11</v>
      </c>
      <c r="AI15">
        <v>1685.11</v>
      </c>
      <c r="AJ15">
        <v>1685.11</v>
      </c>
      <c r="AK15">
        <v>1685.11</v>
      </c>
      <c r="AL15">
        <v>1685.11</v>
      </c>
      <c r="AM15">
        <v>1685.11</v>
      </c>
      <c r="AN15">
        <v>1685.11</v>
      </c>
      <c r="AO15">
        <v>1685.11</v>
      </c>
      <c r="AP15">
        <v>1685.11</v>
      </c>
      <c r="AQ15">
        <v>1685.11</v>
      </c>
      <c r="AR15">
        <v>2113</v>
      </c>
      <c r="AS15">
        <v>1704</v>
      </c>
      <c r="AT15">
        <v>2034</v>
      </c>
      <c r="AU15">
        <v>1232</v>
      </c>
      <c r="AV15">
        <v>2365</v>
      </c>
      <c r="AW15">
        <v>2683</v>
      </c>
      <c r="AX15">
        <v>1298</v>
      </c>
      <c r="AY15">
        <v>1186</v>
      </c>
      <c r="AZ15">
        <v>1983</v>
      </c>
      <c r="BA15">
        <v>1531</v>
      </c>
      <c r="BB15">
        <v>1949</v>
      </c>
      <c r="BC15">
        <v>2124</v>
      </c>
      <c r="BD15">
        <v>2605</v>
      </c>
      <c r="BE15">
        <v>1864</v>
      </c>
      <c r="BF15">
        <v>3976</v>
      </c>
      <c r="BG15">
        <v>2356</v>
      </c>
      <c r="BH15">
        <v>1690</v>
      </c>
      <c r="BI15">
        <v>2243</v>
      </c>
      <c r="BJ15">
        <v>3828</v>
      </c>
      <c r="BK15">
        <v>3654</v>
      </c>
      <c r="BL15">
        <v>3032</v>
      </c>
      <c r="BM15">
        <v>2714</v>
      </c>
      <c r="BN15">
        <v>2816</v>
      </c>
      <c r="BO15">
        <v>2660</v>
      </c>
      <c r="BP15">
        <v>2059</v>
      </c>
      <c r="BQ15">
        <v>2949</v>
      </c>
      <c r="BR15">
        <v>2503</v>
      </c>
      <c r="BS15">
        <v>3207</v>
      </c>
      <c r="BT15">
        <v>2910</v>
      </c>
      <c r="BU15">
        <v>2470</v>
      </c>
      <c r="BV15">
        <v>3750</v>
      </c>
      <c r="BW15">
        <v>2500</v>
      </c>
      <c r="BX15">
        <v>3200</v>
      </c>
      <c r="BY15">
        <v>2210</v>
      </c>
      <c r="BZ15">
        <v>2950</v>
      </c>
      <c r="CA15">
        <v>2910</v>
      </c>
      <c r="CB15">
        <v>2600</v>
      </c>
      <c r="CC15">
        <v>2170</v>
      </c>
      <c r="CD15">
        <v>2700</v>
      </c>
      <c r="CE15">
        <v>3350</v>
      </c>
      <c r="CF15">
        <v>1790</v>
      </c>
      <c r="CG15">
        <v>3210</v>
      </c>
      <c r="CH15">
        <v>1210</v>
      </c>
      <c r="CI15">
        <v>0</v>
      </c>
      <c r="CJ15">
        <v>2606</v>
      </c>
      <c r="CK15">
        <v>580</v>
      </c>
      <c r="CL15">
        <v>910</v>
      </c>
      <c r="CM15">
        <v>2590</v>
      </c>
      <c r="CN15">
        <v>1070</v>
      </c>
      <c r="CO15">
        <v>2820</v>
      </c>
      <c r="CP15">
        <v>2380</v>
      </c>
      <c r="CQ15">
        <v>4020</v>
      </c>
      <c r="CR15">
        <v>4880</v>
      </c>
      <c r="CS15">
        <v>3160</v>
      </c>
      <c r="CT15">
        <v>3810</v>
      </c>
      <c r="CU15">
        <v>3120</v>
      </c>
      <c r="CV15">
        <v>3660</v>
      </c>
      <c r="CW15">
        <v>3570</v>
      </c>
      <c r="CX15">
        <v>2970</v>
      </c>
      <c r="CY15">
        <v>3350</v>
      </c>
      <c r="CZ15">
        <v>2060</v>
      </c>
      <c r="DA15">
        <v>2810</v>
      </c>
      <c r="DB15">
        <v>2680</v>
      </c>
      <c r="DC15">
        <v>3030</v>
      </c>
      <c r="DD15">
        <v>2670</v>
      </c>
      <c r="DE15">
        <v>1940</v>
      </c>
      <c r="DF15">
        <v>3820</v>
      </c>
      <c r="DG15">
        <v>2220</v>
      </c>
      <c r="DH15">
        <v>1500</v>
      </c>
      <c r="DI15">
        <v>1860</v>
      </c>
      <c r="DJ15">
        <v>3050</v>
      </c>
      <c r="DK15">
        <v>3830</v>
      </c>
      <c r="DL15">
        <v>1660</v>
      </c>
      <c r="DM15">
        <v>3100</v>
      </c>
      <c r="DN15">
        <v>4360</v>
      </c>
      <c r="DO15">
        <v>1480</v>
      </c>
      <c r="DP15">
        <v>2003</v>
      </c>
      <c r="DQ15">
        <v>4427</v>
      </c>
      <c r="DR15">
        <v>6145</v>
      </c>
      <c r="DS15">
        <v>5091</v>
      </c>
      <c r="DT15">
        <v>5552</v>
      </c>
      <c r="DU15">
        <v>7012</v>
      </c>
      <c r="DV15">
        <v>7010</v>
      </c>
      <c r="DW15">
        <v>3080</v>
      </c>
      <c r="DX15">
        <v>8035</v>
      </c>
      <c r="DY15">
        <v>9612</v>
      </c>
      <c r="DZ15">
        <v>4588</v>
      </c>
      <c r="EA15">
        <v>8793</v>
      </c>
      <c r="EB15">
        <v>9133</v>
      </c>
      <c r="EC15">
        <v>6909</v>
      </c>
      <c r="ED15">
        <v>8133</v>
      </c>
      <c r="EE15">
        <v>7550</v>
      </c>
      <c r="EF15">
        <v>8321</v>
      </c>
      <c r="EG15">
        <v>7568</v>
      </c>
      <c r="EH15">
        <v>5643</v>
      </c>
      <c r="EI15">
        <v>7751</v>
      </c>
      <c r="EJ15">
        <v>9099</v>
      </c>
      <c r="EK15">
        <v>6642</v>
      </c>
      <c r="EL15">
        <v>6248</v>
      </c>
      <c r="EM15">
        <v>5797</v>
      </c>
      <c r="EN15">
        <v>4900</v>
      </c>
      <c r="EO15">
        <v>7268</v>
      </c>
      <c r="EP15">
        <v>6056</v>
      </c>
      <c r="EQ15">
        <v>6407</v>
      </c>
      <c r="ER15">
        <v>4218</v>
      </c>
      <c r="ES15">
        <v>8940</v>
      </c>
      <c r="ET15">
        <v>5362</v>
      </c>
      <c r="EU15">
        <v>7912</v>
      </c>
      <c r="EV15">
        <v>5786</v>
      </c>
      <c r="EW15">
        <v>5748</v>
      </c>
      <c r="EX15">
        <v>5599</v>
      </c>
      <c r="EY15">
        <v>9332</v>
      </c>
      <c r="EZ15">
        <v>8037</v>
      </c>
      <c r="FA15">
        <v>6898</v>
      </c>
      <c r="FB15">
        <v>7203</v>
      </c>
      <c r="FC15">
        <v>4953</v>
      </c>
      <c r="FD15">
        <v>4254</v>
      </c>
      <c r="FE15">
        <v>7570</v>
      </c>
      <c r="FF15">
        <v>8466</v>
      </c>
      <c r="FG15">
        <v>7684</v>
      </c>
      <c r="FH15">
        <v>5835</v>
      </c>
      <c r="FI15">
        <v>4786</v>
      </c>
      <c r="FJ15">
        <v>4059</v>
      </c>
      <c r="FK15">
        <v>2097</v>
      </c>
      <c r="FL15">
        <v>6187</v>
      </c>
      <c r="FM15">
        <v>4854</v>
      </c>
      <c r="FN15">
        <v>5381</v>
      </c>
      <c r="FO15">
        <v>4272</v>
      </c>
      <c r="FP15">
        <v>4174</v>
      </c>
      <c r="FQ15">
        <v>5271</v>
      </c>
      <c r="FR15">
        <v>4806</v>
      </c>
      <c r="FS15">
        <v>3874</v>
      </c>
      <c r="FT15">
        <v>3024</v>
      </c>
      <c r="FU15">
        <v>4748</v>
      </c>
      <c r="FV15">
        <v>4292</v>
      </c>
      <c r="FW15">
        <v>6844</v>
      </c>
      <c r="FX15">
        <v>6026</v>
      </c>
      <c r="FY15">
        <v>5930</v>
      </c>
      <c r="FZ15">
        <v>7466</v>
      </c>
      <c r="GA15">
        <v>4236</v>
      </c>
      <c r="GB15">
        <v>3217</v>
      </c>
      <c r="GC15">
        <v>4967</v>
      </c>
      <c r="GD15">
        <v>6973</v>
      </c>
      <c r="GE15">
        <v>8969</v>
      </c>
      <c r="GF15">
        <v>8608</v>
      </c>
      <c r="GG15">
        <v>3534</v>
      </c>
      <c r="GH15">
        <v>8875</v>
      </c>
      <c r="GI15">
        <v>6607</v>
      </c>
      <c r="GJ15">
        <v>6450</v>
      </c>
      <c r="GK15">
        <v>5470</v>
      </c>
      <c r="GL15">
        <v>6596</v>
      </c>
      <c r="GM15">
        <v>4990</v>
      </c>
      <c r="GN15">
        <v>7019</v>
      </c>
      <c r="GO15">
        <v>6989</v>
      </c>
      <c r="GP15">
        <v>4763</v>
      </c>
      <c r="GQ15">
        <v>4584</v>
      </c>
      <c r="GR15">
        <v>4692</v>
      </c>
      <c r="GS15">
        <v>3741</v>
      </c>
      <c r="GT15">
        <v>6429</v>
      </c>
      <c r="GU15">
        <v>5033</v>
      </c>
      <c r="GV15">
        <v>3563</v>
      </c>
      <c r="GW15">
        <v>4947</v>
      </c>
      <c r="GX15">
        <v>4422</v>
      </c>
      <c r="GY15">
        <v>8090</v>
      </c>
      <c r="GZ15">
        <v>6435</v>
      </c>
      <c r="HA15">
        <v>7172</v>
      </c>
      <c r="HB15">
        <v>5640</v>
      </c>
      <c r="HC15">
        <v>5963</v>
      </c>
      <c r="HD15">
        <v>3241</v>
      </c>
      <c r="HE15">
        <v>6015</v>
      </c>
      <c r="HF15">
        <v>4370</v>
      </c>
      <c r="HG15">
        <v>5415</v>
      </c>
      <c r="HH15">
        <v>4831</v>
      </c>
      <c r="HI15">
        <v>4704</v>
      </c>
      <c r="HJ15">
        <v>5198</v>
      </c>
      <c r="HK15">
        <v>5030</v>
      </c>
      <c r="HL15">
        <v>5630</v>
      </c>
      <c r="HM15">
        <v>5907</v>
      </c>
      <c r="HN15">
        <v>6318</v>
      </c>
      <c r="HO15">
        <v>5890</v>
      </c>
      <c r="HP15">
        <v>5865</v>
      </c>
      <c r="HQ15">
        <v>3521</v>
      </c>
      <c r="HR15">
        <v>5672</v>
      </c>
      <c r="HS15">
        <v>5067</v>
      </c>
      <c r="HT15">
        <v>5027</v>
      </c>
      <c r="HU15">
        <v>5165</v>
      </c>
      <c r="HV15">
        <v>5113</v>
      </c>
      <c r="HW15">
        <v>4679</v>
      </c>
      <c r="HX15">
        <v>6730</v>
      </c>
      <c r="HY15">
        <v>5947</v>
      </c>
      <c r="HZ15">
        <v>4832</v>
      </c>
      <c r="IA15">
        <v>6661</v>
      </c>
      <c r="IB15">
        <v>3465</v>
      </c>
      <c r="IC15">
        <v>4515</v>
      </c>
      <c r="ID15">
        <v>1701</v>
      </c>
      <c r="IE15">
        <v>4487</v>
      </c>
      <c r="IF15">
        <v>4931</v>
      </c>
      <c r="IG15">
        <v>4291</v>
      </c>
      <c r="IH15">
        <v>5180</v>
      </c>
      <c r="II15">
        <v>5586</v>
      </c>
      <c r="IJ15">
        <v>4376</v>
      </c>
      <c r="IK15">
        <v>5306</v>
      </c>
      <c r="IL15">
        <v>6396</v>
      </c>
      <c r="IM15">
        <v>5332</v>
      </c>
      <c r="IN15">
        <v>5706</v>
      </c>
      <c r="IO15">
        <v>7889</v>
      </c>
      <c r="IP15">
        <v>6802</v>
      </c>
      <c r="IQ15">
        <v>7930</v>
      </c>
      <c r="IR15">
        <v>5712</v>
      </c>
      <c r="IS15">
        <v>6175</v>
      </c>
      <c r="IT15">
        <v>5998</v>
      </c>
      <c r="IU15">
        <v>4007</v>
      </c>
      <c r="IV15">
        <v>5361</v>
      </c>
      <c r="IW15">
        <v>8051</v>
      </c>
      <c r="IX15">
        <v>6762</v>
      </c>
      <c r="IY15">
        <v>8536</v>
      </c>
      <c r="IZ15">
        <v>7135</v>
      </c>
      <c r="JA15">
        <v>8111</v>
      </c>
      <c r="JB15">
        <v>8130</v>
      </c>
      <c r="JC15">
        <v>6217</v>
      </c>
      <c r="JD15">
        <v>6906</v>
      </c>
      <c r="JE15">
        <v>6929</v>
      </c>
      <c r="JF15">
        <v>5985</v>
      </c>
      <c r="JG15">
        <v>2224</v>
      </c>
      <c r="JH15">
        <v>4273</v>
      </c>
      <c r="JI15">
        <v>5388</v>
      </c>
      <c r="JJ15">
        <v>8380</v>
      </c>
      <c r="JK15">
        <v>7230</v>
      </c>
      <c r="JL15">
        <v>7600</v>
      </c>
      <c r="JM15">
        <v>8222</v>
      </c>
      <c r="JN15">
        <v>7959</v>
      </c>
      <c r="JO15">
        <v>6569</v>
      </c>
      <c r="JP15">
        <v>3847</v>
      </c>
      <c r="JQ15">
        <v>7385</v>
      </c>
      <c r="JR15">
        <v>5907</v>
      </c>
      <c r="JS15">
        <v>5978</v>
      </c>
      <c r="JT15">
        <v>6017</v>
      </c>
      <c r="JU15">
        <v>7525</v>
      </c>
      <c r="JV15">
        <v>7123</v>
      </c>
      <c r="JW15">
        <v>7747</v>
      </c>
      <c r="JX15">
        <v>6891</v>
      </c>
      <c r="JY15">
        <v>8170</v>
      </c>
      <c r="JZ15">
        <v>8800</v>
      </c>
      <c r="KA15">
        <v>7709</v>
      </c>
      <c r="KB15">
        <v>8095</v>
      </c>
      <c r="KC15">
        <v>5903</v>
      </c>
      <c r="KD15">
        <v>7071</v>
      </c>
      <c r="KE15">
        <v>8112</v>
      </c>
      <c r="KF15">
        <v>8944</v>
      </c>
      <c r="KG15">
        <v>7896</v>
      </c>
      <c r="KH15">
        <v>7658</v>
      </c>
      <c r="KI15">
        <v>8323</v>
      </c>
      <c r="KJ15">
        <v>8590</v>
      </c>
      <c r="KK15">
        <v>8548</v>
      </c>
      <c r="KL15">
        <v>9718</v>
      </c>
      <c r="KM15">
        <v>8945</v>
      </c>
      <c r="KN15">
        <v>7422</v>
      </c>
      <c r="KO15">
        <v>7076</v>
      </c>
      <c r="KP15">
        <v>3587</v>
      </c>
      <c r="KQ15">
        <v>5915</v>
      </c>
      <c r="KR15">
        <v>4288</v>
      </c>
      <c r="KS15">
        <v>3848</v>
      </c>
      <c r="KT15">
        <v>3471</v>
      </c>
      <c r="KU15">
        <v>5298</v>
      </c>
      <c r="KV15">
        <v>4315</v>
      </c>
      <c r="KW15">
        <v>7342</v>
      </c>
      <c r="KX15">
        <v>7401</v>
      </c>
      <c r="KY15">
        <v>8667</v>
      </c>
      <c r="KZ15">
        <v>7370</v>
      </c>
      <c r="LA15">
        <v>5148</v>
      </c>
      <c r="LB15">
        <v>7966</v>
      </c>
      <c r="LC15">
        <v>8106</v>
      </c>
      <c r="LD15">
        <v>4860</v>
      </c>
      <c r="LE15">
        <v>7767</v>
      </c>
      <c r="LF15">
        <v>5394</v>
      </c>
      <c r="LG15">
        <v>1706</v>
      </c>
      <c r="LH15">
        <v>9498</v>
      </c>
      <c r="LI15">
        <v>5094</v>
      </c>
      <c r="LJ15">
        <v>6150</v>
      </c>
      <c r="LK15">
        <v>6697</v>
      </c>
      <c r="LL15">
        <v>5152</v>
      </c>
      <c r="LM15">
        <v>6239</v>
      </c>
      <c r="LN15">
        <v>5603</v>
      </c>
      <c r="LO15">
        <v>5019</v>
      </c>
      <c r="LP15">
        <v>5726</v>
      </c>
      <c r="LQ15">
        <v>5890</v>
      </c>
      <c r="LR15">
        <v>6444</v>
      </c>
      <c r="LS15">
        <v>6956</v>
      </c>
      <c r="LT15">
        <v>7913</v>
      </c>
      <c r="LU15">
        <v>5281</v>
      </c>
      <c r="LV15">
        <f>SUM(B15:LU15)</f>
        <v>1562559.85</v>
      </c>
    </row>
    <row r="16" spans="2:368" x14ac:dyDescent="0.2">
      <c r="B16">
        <v>1709.7920000000001</v>
      </c>
      <c r="C16">
        <v>4970.1120000000001</v>
      </c>
      <c r="D16">
        <v>7164.4160000000002</v>
      </c>
      <c r="E16">
        <v>8922.7039999999997</v>
      </c>
      <c r="F16">
        <v>12224.464</v>
      </c>
      <c r="G16">
        <v>13948.144</v>
      </c>
      <c r="H16">
        <v>16440.144</v>
      </c>
      <c r="I16">
        <v>16430.263200000001</v>
      </c>
      <c r="J16">
        <v>16325.1824</v>
      </c>
      <c r="K16">
        <v>15963.6216</v>
      </c>
      <c r="L16">
        <v>16847.500800000002</v>
      </c>
      <c r="M16">
        <v>17108.660000000003</v>
      </c>
      <c r="N16">
        <v>17951.099200000004</v>
      </c>
      <c r="O16">
        <v>19977.378400000005</v>
      </c>
      <c r="P16">
        <v>19448.937600000008</v>
      </c>
      <c r="Q16">
        <v>19848.976800000011</v>
      </c>
      <c r="R16">
        <v>20560.376000000015</v>
      </c>
      <c r="S16">
        <v>21679.455200000015</v>
      </c>
      <c r="T16">
        <v>21392.934400000016</v>
      </c>
      <c r="U16">
        <v>23197.453600000019</v>
      </c>
      <c r="V16">
        <v>24185.492800000022</v>
      </c>
      <c r="W16">
        <v>24945.052000000025</v>
      </c>
      <c r="X16">
        <v>24126.531200000027</v>
      </c>
      <c r="Y16">
        <v>23439.050400000029</v>
      </c>
      <c r="Z16">
        <v>22481.64960000003</v>
      </c>
      <c r="AA16">
        <v>22708.08880000003</v>
      </c>
      <c r="AB16">
        <v>23833.888000000032</v>
      </c>
      <c r="AC16">
        <v>25126.567200000034</v>
      </c>
      <c r="AD16">
        <v>26142.606400000037</v>
      </c>
      <c r="AE16">
        <v>27718.64560000004</v>
      </c>
      <c r="AF16">
        <v>29516.444800000041</v>
      </c>
      <c r="AG16">
        <v>31445.284000000047</v>
      </c>
      <c r="AH16">
        <v>33159.083200000045</v>
      </c>
      <c r="AI16">
        <v>34036.242400000046</v>
      </c>
      <c r="AJ16">
        <v>33300.377600000043</v>
      </c>
      <c r="AK16">
        <v>32322.368800000044</v>
      </c>
      <c r="AL16">
        <v>31419.910400000048</v>
      </c>
      <c r="AM16">
        <v>32880.368400000043</v>
      </c>
      <c r="AN16">
        <v>34279.87600000004</v>
      </c>
      <c r="AO16">
        <v>35396.399600000041</v>
      </c>
      <c r="AP16">
        <v>36714.27720000004</v>
      </c>
      <c r="AQ16">
        <v>37790.530000000042</v>
      </c>
      <c r="AR16">
        <v>39259.546400000043</v>
      </c>
      <c r="AS16">
        <v>40424.660800000041</v>
      </c>
      <c r="AT16">
        <v>42316.61160000004</v>
      </c>
      <c r="AU16">
        <v>43758.902400000035</v>
      </c>
      <c r="AV16">
        <v>43527.211600000031</v>
      </c>
      <c r="AW16">
        <v>43676.400800000032</v>
      </c>
      <c r="AX16">
        <v>45301.310000000034</v>
      </c>
      <c r="AY16">
        <v>47833.419200000033</v>
      </c>
      <c r="AZ16">
        <v>48593.008400000035</v>
      </c>
      <c r="BA16">
        <v>50690.517600000036</v>
      </c>
      <c r="BB16">
        <v>52238.986800000035</v>
      </c>
      <c r="BC16">
        <v>53867.816000000035</v>
      </c>
      <c r="BD16">
        <v>53754.525200000033</v>
      </c>
      <c r="BE16">
        <v>56135.034400000033</v>
      </c>
      <c r="BF16">
        <v>56057.463600000032</v>
      </c>
      <c r="BG16">
        <v>57475.572800000031</v>
      </c>
      <c r="BH16">
        <v>59351.36200000003</v>
      </c>
      <c r="BI16">
        <v>59448.871200000031</v>
      </c>
      <c r="BJ16">
        <v>57601.860400000027</v>
      </c>
      <c r="BK16">
        <v>57210.129600000029</v>
      </c>
      <c r="BL16">
        <v>56525.358800000031</v>
      </c>
      <c r="BM16">
        <v>57350.268000000033</v>
      </c>
      <c r="BN16">
        <v>58100.057200000032</v>
      </c>
      <c r="BO16">
        <v>57697.686400000028</v>
      </c>
      <c r="BP16">
        <v>59295.195600000028</v>
      </c>
      <c r="BQ16">
        <v>59704.78480000003</v>
      </c>
      <c r="BR16">
        <v>59805.494000000028</v>
      </c>
      <c r="BS16">
        <v>59119.323200000028</v>
      </c>
      <c r="BT16">
        <v>61402.472400000028</v>
      </c>
      <c r="BU16">
        <v>61708.661600000029</v>
      </c>
      <c r="BV16">
        <v>59565.57080000003</v>
      </c>
      <c r="BW16">
        <v>62278.880000000026</v>
      </c>
      <c r="BX16">
        <v>62540.50920000003</v>
      </c>
      <c r="BY16">
        <v>63404.618400000028</v>
      </c>
      <c r="BZ16">
        <v>63550.007600000026</v>
      </c>
      <c r="CA16">
        <v>62108.036800000024</v>
      </c>
      <c r="CB16">
        <v>63904.866000000024</v>
      </c>
      <c r="CC16">
        <v>64850.415200000018</v>
      </c>
      <c r="CD16">
        <v>65052.044400000013</v>
      </c>
      <c r="CE16">
        <v>64292.313600000009</v>
      </c>
      <c r="CF16">
        <v>65106.022800000006</v>
      </c>
      <c r="CG16">
        <v>64686.772000000012</v>
      </c>
      <c r="CH16">
        <v>65285.281200000012</v>
      </c>
      <c r="CI16">
        <v>66580.830400000006</v>
      </c>
      <c r="CJ16">
        <v>64965.739600000001</v>
      </c>
      <c r="CK16">
        <v>66179.688800000004</v>
      </c>
      <c r="CL16">
        <v>68045.877999999997</v>
      </c>
      <c r="CM16">
        <v>68529.987199999989</v>
      </c>
      <c r="CN16">
        <v>70429.936399999991</v>
      </c>
      <c r="CO16">
        <v>70559.725599999991</v>
      </c>
      <c r="CP16">
        <v>71343.434799999988</v>
      </c>
      <c r="CQ16">
        <v>70938.503999999986</v>
      </c>
      <c r="CR16">
        <v>68793.253199999992</v>
      </c>
      <c r="CS16">
        <v>68645.762399999992</v>
      </c>
      <c r="CT16">
        <v>69689.551599999992</v>
      </c>
      <c r="CU16">
        <v>69214.700799999991</v>
      </c>
      <c r="CV16">
        <v>69771.209999999992</v>
      </c>
      <c r="CW16">
        <v>70328.119199999986</v>
      </c>
      <c r="CX16">
        <v>70100.708399999989</v>
      </c>
      <c r="CY16">
        <v>70303.057599999986</v>
      </c>
      <c r="CZ16">
        <v>71594.926799999987</v>
      </c>
      <c r="DA16">
        <v>71007.835999999981</v>
      </c>
      <c r="DB16">
        <v>71447.865199999986</v>
      </c>
      <c r="DC16">
        <v>72316.294399999984</v>
      </c>
      <c r="DD16">
        <v>72228.723599999983</v>
      </c>
      <c r="DE16">
        <v>73190.352799999979</v>
      </c>
      <c r="DF16">
        <v>71974.061999999976</v>
      </c>
      <c r="DG16">
        <v>71084.331199999971</v>
      </c>
      <c r="DH16">
        <v>70810.440399999963</v>
      </c>
      <c r="DI16">
        <v>72487.109599999967</v>
      </c>
      <c r="DJ16">
        <v>74428.658799999961</v>
      </c>
      <c r="DK16">
        <v>74260.767999999967</v>
      </c>
      <c r="DL16">
        <v>74837.117199999964</v>
      </c>
      <c r="DM16">
        <v>76118.266399999964</v>
      </c>
      <c r="DN16">
        <v>75849.335599999962</v>
      </c>
      <c r="DO16">
        <v>78446.964799999958</v>
      </c>
      <c r="DP16">
        <v>81304.473999999958</v>
      </c>
      <c r="DQ16">
        <v>79903.423199999961</v>
      </c>
      <c r="DR16">
        <v>79726.612399999955</v>
      </c>
      <c r="DS16">
        <v>82804.601599999951</v>
      </c>
      <c r="DT16">
        <v>83310.39079999995</v>
      </c>
      <c r="DU16">
        <v>83228.659999999945</v>
      </c>
      <c r="DV16">
        <v>81430.849199999939</v>
      </c>
      <c r="DW16">
        <v>86201.758399999933</v>
      </c>
      <c r="DX16">
        <v>83130.307599999927</v>
      </c>
      <c r="DY16">
        <v>78171.616799999931</v>
      </c>
      <c r="DZ16">
        <v>81119.805999999924</v>
      </c>
      <c r="EA16">
        <v>79767.79519999992</v>
      </c>
      <c r="EB16">
        <v>77800.264399999913</v>
      </c>
      <c r="EC16">
        <v>78125.053599999912</v>
      </c>
      <c r="ED16">
        <v>75897.522799999904</v>
      </c>
      <c r="EE16">
        <v>74168.991999999897</v>
      </c>
      <c r="EF16">
        <v>70999.701199999894</v>
      </c>
      <c r="EG16">
        <v>69206.130399999893</v>
      </c>
      <c r="EH16">
        <v>69654.519599999898</v>
      </c>
      <c r="EI16">
        <v>67808.98879999989</v>
      </c>
      <c r="EJ16">
        <v>63618.657999999894</v>
      </c>
      <c r="EK16">
        <v>61123.727199999892</v>
      </c>
      <c r="EL16">
        <v>61023.116399999897</v>
      </c>
      <c r="EM16">
        <v>62191.105599999893</v>
      </c>
      <c r="EN16">
        <v>64801.534799999892</v>
      </c>
      <c r="EO16">
        <v>66809.083999999886</v>
      </c>
      <c r="EP16">
        <v>68028.313199999888</v>
      </c>
      <c r="EQ16">
        <v>69131.742399999886</v>
      </c>
      <c r="ER16">
        <v>73615.851599999893</v>
      </c>
      <c r="ES16">
        <v>71841.320799999885</v>
      </c>
      <c r="ET16">
        <v>75108.629999999888</v>
      </c>
      <c r="EU16">
        <v>73848.019199999893</v>
      </c>
      <c r="EV16">
        <v>76816.768399999899</v>
      </c>
      <c r="EW16">
        <v>76769.277599999899</v>
      </c>
      <c r="EX16">
        <v>78611.266799999896</v>
      </c>
      <c r="EY16">
        <v>74672.895999999892</v>
      </c>
      <c r="EZ16">
        <v>71335.125199999893</v>
      </c>
      <c r="FA16">
        <v>68761.154399999898</v>
      </c>
      <c r="FB16">
        <v>65463.303599999897</v>
      </c>
      <c r="FC16">
        <v>65141.212799999892</v>
      </c>
      <c r="FD16">
        <v>64120.361999999892</v>
      </c>
      <c r="FE16">
        <v>61060.311199999895</v>
      </c>
      <c r="FF16">
        <v>55626.980399999891</v>
      </c>
      <c r="FG16">
        <v>52665.72959999989</v>
      </c>
      <c r="FH16">
        <v>51516.518799999889</v>
      </c>
      <c r="FI16">
        <v>50051.027999999889</v>
      </c>
      <c r="FJ16">
        <v>50915.257199999891</v>
      </c>
      <c r="FK16">
        <v>53703.406399999891</v>
      </c>
      <c r="FL16">
        <v>50805.555599999891</v>
      </c>
      <c r="FM16">
        <v>50593.66479999989</v>
      </c>
      <c r="FN16">
        <v>49228.693999999887</v>
      </c>
      <c r="FO16">
        <v>47814.643199999889</v>
      </c>
      <c r="FP16">
        <v>48657.952399999886</v>
      </c>
      <c r="FQ16">
        <v>48198.181599999887</v>
      </c>
      <c r="FR16">
        <v>48215.730799999888</v>
      </c>
      <c r="FS16">
        <v>49472.159999999887</v>
      </c>
      <c r="FT16">
        <v>51434.10919999989</v>
      </c>
      <c r="FU16">
        <v>51827.738399999886</v>
      </c>
      <c r="FV16">
        <v>52670.647599999887</v>
      </c>
      <c r="FW16">
        <v>52021.076799999886</v>
      </c>
      <c r="FX16">
        <v>51995.745999999883</v>
      </c>
      <c r="FY16">
        <v>54403.855199999882</v>
      </c>
      <c r="FZ16">
        <v>53860.28439999988</v>
      </c>
      <c r="GA16">
        <v>56360.793599999881</v>
      </c>
      <c r="GB16">
        <v>60877.102799999877</v>
      </c>
      <c r="GC16">
        <v>62133.651999999871</v>
      </c>
      <c r="GD16">
        <v>61786.281199999867</v>
      </c>
      <c r="GE16">
        <v>60914.59039999987</v>
      </c>
      <c r="GF16">
        <v>57974.619599999874</v>
      </c>
      <c r="GG16">
        <v>59978.728799999873</v>
      </c>
      <c r="GH16">
        <v>56950.957999999868</v>
      </c>
      <c r="GI16">
        <v>56425.267199999871</v>
      </c>
      <c r="GJ16">
        <v>55729.536399999866</v>
      </c>
      <c r="GK16">
        <v>56026.125599999868</v>
      </c>
      <c r="GL16">
        <v>54999.594799999868</v>
      </c>
      <c r="GM16">
        <v>55799.703999999867</v>
      </c>
      <c r="GN16">
        <v>54318.813199999866</v>
      </c>
      <c r="GO16">
        <v>51915.262399999861</v>
      </c>
      <c r="GP16">
        <v>51623.711599999857</v>
      </c>
      <c r="GQ16">
        <v>51183.980799999852</v>
      </c>
      <c r="GR16">
        <v>50900.72999999985</v>
      </c>
      <c r="GS16">
        <v>51028.119199999848</v>
      </c>
      <c r="GT16">
        <v>48957.708399999843</v>
      </c>
      <c r="GU16">
        <v>48315.217599999844</v>
      </c>
      <c r="GV16">
        <v>49072.88679999984</v>
      </c>
      <c r="GW16">
        <v>48539.515999999843</v>
      </c>
      <c r="GX16">
        <v>48481.86519999984</v>
      </c>
      <c r="GY16">
        <v>44724.854399999836</v>
      </c>
      <c r="GZ16">
        <v>42951.003599999836</v>
      </c>
      <c r="HA16">
        <v>40389.752799999835</v>
      </c>
      <c r="HB16">
        <v>39280.981999999836</v>
      </c>
      <c r="HC16">
        <v>38243.151199999833</v>
      </c>
      <c r="HD16">
        <v>39895.400399999831</v>
      </c>
      <c r="HE16">
        <v>38553.629599999826</v>
      </c>
      <c r="HF16">
        <v>39132.738799999825</v>
      </c>
      <c r="HG16">
        <v>38729.547999999821</v>
      </c>
      <c r="HH16">
        <v>38854.497199999816</v>
      </c>
      <c r="HI16">
        <v>39207.906399999818</v>
      </c>
      <c r="HJ16">
        <v>38985.235599999818</v>
      </c>
      <c r="HK16">
        <v>38955.64479999982</v>
      </c>
      <c r="HL16">
        <v>37923.633999999816</v>
      </c>
      <c r="HM16">
        <v>36538.243199999815</v>
      </c>
      <c r="HN16">
        <v>34768.072399999815</v>
      </c>
      <c r="HO16">
        <v>33406.521599999811</v>
      </c>
      <c r="HP16">
        <v>31933.170799999811</v>
      </c>
      <c r="HQ16">
        <v>32865.379999999808</v>
      </c>
      <c r="HR16">
        <v>31771.989199999807</v>
      </c>
      <c r="HS16">
        <v>31145.658399999804</v>
      </c>
      <c r="HT16">
        <v>31081.447599999803</v>
      </c>
      <c r="HU16">
        <v>31438.9767999998</v>
      </c>
      <c r="HV16">
        <v>31861.045999999798</v>
      </c>
      <c r="HW16">
        <v>32867.5951999998</v>
      </c>
      <c r="HX16">
        <v>31508.504399999802</v>
      </c>
      <c r="HY16">
        <v>30976.873599999803</v>
      </c>
      <c r="HZ16">
        <v>31540.862799999799</v>
      </c>
      <c r="IA16">
        <v>30225.691999999799</v>
      </c>
      <c r="IB16">
        <v>32018.7411999998</v>
      </c>
      <c r="IC16">
        <v>32717.330399999802</v>
      </c>
      <c r="ID16">
        <v>36224.2195999998</v>
      </c>
      <c r="IE16">
        <v>37007.808799999795</v>
      </c>
      <c r="IF16">
        <v>37366.777999999795</v>
      </c>
      <c r="IG16">
        <v>37673.767199999791</v>
      </c>
      <c r="IH16">
        <v>38084.69639999979</v>
      </c>
      <c r="II16">
        <v>38373.485599999789</v>
      </c>
      <c r="IJ16">
        <v>39192.834799999786</v>
      </c>
      <c r="IK16">
        <v>38930.56399999978</v>
      </c>
      <c r="IL16">
        <v>37837.073199999781</v>
      </c>
      <c r="IM16">
        <v>37857.742399999777</v>
      </c>
      <c r="IN16">
        <v>37327.711599999777</v>
      </c>
      <c r="IO16">
        <v>35406.980799999772</v>
      </c>
      <c r="IP16">
        <v>33925.72999999977</v>
      </c>
      <c r="IQ16">
        <v>31416.799199999768</v>
      </c>
      <c r="IR16">
        <v>31384.648399999765</v>
      </c>
      <c r="IS16">
        <v>30643.257599999764</v>
      </c>
      <c r="IT16">
        <v>30050.366799999763</v>
      </c>
      <c r="IU16">
        <v>31396.03599999976</v>
      </c>
      <c r="IV16">
        <v>31230.385199999757</v>
      </c>
      <c r="IW16">
        <v>28280.114399999758</v>
      </c>
      <c r="IX16">
        <v>26776.16359999976</v>
      </c>
      <c r="IY16">
        <v>23435.512799999757</v>
      </c>
      <c r="IZ16">
        <v>21640.641999999756</v>
      </c>
      <c r="JA16">
        <v>19247.111199999756</v>
      </c>
      <c r="JB16">
        <v>17287.160399999753</v>
      </c>
      <c r="JC16">
        <v>17133.049599999751</v>
      </c>
      <c r="JD16">
        <v>16554.418799999748</v>
      </c>
      <c r="JE16">
        <v>16015.487999999747</v>
      </c>
      <c r="JF16">
        <v>16408.017199999744</v>
      </c>
      <c r="JG16">
        <v>20606.006399999744</v>
      </c>
      <c r="JH16">
        <v>24282.463599999741</v>
      </c>
      <c r="JI16">
        <v>26681.186799999738</v>
      </c>
      <c r="JJ16">
        <v>24485.605999999738</v>
      </c>
      <c r="JK16">
        <v>24972.911199999737</v>
      </c>
      <c r="JL16">
        <v>23563.020399999736</v>
      </c>
      <c r="JM16">
        <v>23372.413599999734</v>
      </c>
      <c r="JN16">
        <v>21874.366799999734</v>
      </c>
      <c r="JO16">
        <v>23022.671999999733</v>
      </c>
      <c r="JP16">
        <v>27150.16519999973</v>
      </c>
      <c r="JQ16">
        <v>25987.138399999727</v>
      </c>
      <c r="JR16">
        <v>27408.247599999726</v>
      </c>
      <c r="JS16">
        <v>27527.040799999726</v>
      </c>
      <c r="JT16">
        <v>28800.595999999721</v>
      </c>
      <c r="JU16">
        <v>28873.411199999719</v>
      </c>
      <c r="JV16">
        <v>28071.40539999972</v>
      </c>
      <c r="JW16">
        <v>28462.929599999719</v>
      </c>
      <c r="JX16">
        <v>28248.086299999719</v>
      </c>
      <c r="JY16">
        <v>28185.040499999719</v>
      </c>
      <c r="JZ16">
        <v>25706.03469999972</v>
      </c>
      <c r="KA16">
        <v>25805.201399999714</v>
      </c>
      <c r="KB16">
        <v>25052.710599999715</v>
      </c>
      <c r="KC16">
        <v>25171.917299999714</v>
      </c>
      <c r="KD16">
        <v>24807.516499999714</v>
      </c>
      <c r="KE16">
        <v>23345.740699999711</v>
      </c>
      <c r="KF16">
        <v>21102.702399999711</v>
      </c>
      <c r="KG16">
        <v>19764.47159999971</v>
      </c>
      <c r="KH16">
        <v>18701.448299999709</v>
      </c>
      <c r="KI16">
        <v>16911.412499999708</v>
      </c>
      <c r="KJ16">
        <v>15152.036699999708</v>
      </c>
      <c r="KK16">
        <v>14661.380899999707</v>
      </c>
      <c r="KL16">
        <v>11034.365099999706</v>
      </c>
      <c r="KM16">
        <v>9276.2792999997055</v>
      </c>
      <c r="KN16">
        <v>7024.095999999704</v>
      </c>
      <c r="KO16">
        <v>4887.9026999997031</v>
      </c>
      <c r="KP16">
        <v>5743.4818999997024</v>
      </c>
      <c r="KQ16">
        <v>4058.9110999997019</v>
      </c>
      <c r="KR16">
        <v>4161.1907999997029</v>
      </c>
      <c r="KS16">
        <v>5968.899999999705</v>
      </c>
      <c r="KT16">
        <v>10331.229199999705</v>
      </c>
      <c r="KU16">
        <v>11498.403399999705</v>
      </c>
      <c r="KV16">
        <v>15011.742599999703</v>
      </c>
      <c r="KW16">
        <v>14047.291799999701</v>
      </c>
      <c r="KX16">
        <v>14228.290999999699</v>
      </c>
      <c r="KY16">
        <v>10756.610199999699</v>
      </c>
      <c r="KZ16">
        <v>9341.8593999996956</v>
      </c>
      <c r="LA16">
        <v>10970.358599999694</v>
      </c>
      <c r="LB16">
        <v>9941.739399999693</v>
      </c>
      <c r="LC16">
        <v>8547.2570999996897</v>
      </c>
      <c r="LD16">
        <v>8952.0862999996898</v>
      </c>
      <c r="LE16">
        <v>8131.8154999996887</v>
      </c>
      <c r="LF16">
        <v>7983.9446999996881</v>
      </c>
      <c r="LG16">
        <v>10742.897899999689</v>
      </c>
      <c r="LH16">
        <v>5012.9870999996892</v>
      </c>
      <c r="LI16">
        <v>6289.3162999996903</v>
      </c>
      <c r="LJ16">
        <v>6404.39349999969</v>
      </c>
      <c r="LK16">
        <v>7237.4626999996917</v>
      </c>
      <c r="LL16">
        <v>7541.131899999692</v>
      </c>
      <c r="LM16">
        <v>8725.041099999693</v>
      </c>
      <c r="LN16">
        <v>9222.5502999996934</v>
      </c>
      <c r="LO16">
        <v>11645.659499999692</v>
      </c>
      <c r="LP16">
        <v>12276.338699999691</v>
      </c>
      <c r="LQ16">
        <v>14158.44789999969</v>
      </c>
      <c r="LR16">
        <v>13920.077099999689</v>
      </c>
      <c r="LS16">
        <v>14715.701299999688</v>
      </c>
      <c r="LT16">
        <v>13071.045499999687</v>
      </c>
      <c r="LU16">
        <v>12672.794699999686</v>
      </c>
      <c r="MR16">
        <v>1545843.1546999996</v>
      </c>
      <c r="MS16">
        <v>2370967.7802210525</v>
      </c>
      <c r="MT16">
        <f>SUM(MR16:MS16)</f>
        <v>3916810.9349210523</v>
      </c>
      <c r="MW16">
        <f>MS16-MS18</f>
        <v>22200.780221052468</v>
      </c>
    </row>
    <row r="17" spans="345:361" x14ac:dyDescent="0.2">
      <c r="MN17">
        <v>1374349.1</v>
      </c>
      <c r="MO17">
        <v>2077582</v>
      </c>
      <c r="MW17">
        <f>MR16-MR18</f>
        <v>-16716.695300000487</v>
      </c>
    </row>
    <row r="18" spans="345:361" x14ac:dyDescent="0.2">
      <c r="MR18">
        <v>1562559.85</v>
      </c>
      <c r="MS18">
        <v>2348767</v>
      </c>
      <c r="MT18">
        <f>SUM(MR18:MS18)</f>
        <v>3911326.85</v>
      </c>
    </row>
    <row r="20" spans="345:361" x14ac:dyDescent="0.2">
      <c r="MR20">
        <v>12672.794699999686</v>
      </c>
      <c r="MS20">
        <v>5592.5047461996082</v>
      </c>
      <c r="MU20">
        <f>MT16-MT18</f>
        <v>5484.0849210522138</v>
      </c>
    </row>
    <row r="21" spans="345:361" ht="15.75" thickBot="1" x14ac:dyDescent="0.25"/>
    <row r="22" spans="345:361" ht="15.75" thickBot="1" x14ac:dyDescent="0.25">
      <c r="MG22" s="543">
        <v>217074</v>
      </c>
    </row>
    <row r="23" spans="345:361" ht="15.75" thickBot="1" x14ac:dyDescent="0.25">
      <c r="MG23" s="543">
        <v>182315</v>
      </c>
    </row>
    <row r="24" spans="345:361" ht="15.75" thickBot="1" x14ac:dyDescent="0.25">
      <c r="MG24" s="543">
        <v>178492</v>
      </c>
    </row>
    <row r="25" spans="345:361" ht="15.75" thickBot="1" x14ac:dyDescent="0.25">
      <c r="MG25" s="543">
        <v>212548</v>
      </c>
    </row>
    <row r="26" spans="345:361" ht="15.75" thickBot="1" x14ac:dyDescent="0.25">
      <c r="MG26" s="543">
        <v>267685</v>
      </c>
    </row>
    <row r="27" spans="345:361" ht="15.75" thickBot="1" x14ac:dyDescent="0.25">
      <c r="MG27" s="543">
        <v>210000</v>
      </c>
    </row>
    <row r="28" spans="345:361" ht="15.75" thickBot="1" x14ac:dyDescent="0.25">
      <c r="MG28" s="543">
        <v>154754</v>
      </c>
    </row>
    <row r="29" spans="345:361" ht="15.75" thickBot="1" x14ac:dyDescent="0.25">
      <c r="MG29" s="543">
        <v>265000</v>
      </c>
    </row>
    <row r="30" spans="345:361" ht="15.75" thickBot="1" x14ac:dyDescent="0.25">
      <c r="MG30" s="544">
        <v>185152</v>
      </c>
    </row>
    <row r="31" spans="345:361" ht="15.75" thickBot="1" x14ac:dyDescent="0.25">
      <c r="MG31" s="545" t="s">
        <v>177</v>
      </c>
    </row>
    <row r="32" spans="345:361" ht="15.75" thickBot="1" x14ac:dyDescent="0.25">
      <c r="MG32" s="545" t="s">
        <v>178</v>
      </c>
    </row>
    <row r="33" spans="345:345" ht="15.75" thickBot="1" x14ac:dyDescent="0.25">
      <c r="MG33" s="545" t="s">
        <v>179</v>
      </c>
    </row>
    <row r="34" spans="345:345" x14ac:dyDescent="0.2">
      <c r="MG34" s="546">
        <f>SUM(MG22:MG33)</f>
        <v>1873020</v>
      </c>
    </row>
  </sheetData>
  <phoneticPr fontId="12"/>
  <pageMargins left="0.7" right="0.7" top="0.75" bottom="0.75" header="0.3" footer="0.3"/>
  <pageSetup orientation="portrait" r:id="rId1"/>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B2:K12"/>
  <sheetViews>
    <sheetView workbookViewId="0">
      <selection activeCell="R7" sqref="R7"/>
    </sheetView>
  </sheetViews>
  <sheetFormatPr defaultRowHeight="15" x14ac:dyDescent="0.2"/>
  <cols>
    <col min="11" max="11" width="9.55078125" bestFit="1" customWidth="1"/>
  </cols>
  <sheetData>
    <row r="2" spans="2:11" ht="18.75" x14ac:dyDescent="0.2">
      <c r="B2" s="1159" t="s">
        <v>193</v>
      </c>
      <c r="C2" s="1159"/>
      <c r="D2" s="364">
        <v>42757</v>
      </c>
      <c r="E2" s="364">
        <v>42758</v>
      </c>
      <c r="F2" s="364">
        <v>42759</v>
      </c>
      <c r="G2" s="364">
        <v>42760</v>
      </c>
      <c r="H2" s="364">
        <v>42761</v>
      </c>
      <c r="I2" s="364">
        <v>42762</v>
      </c>
      <c r="J2" s="364">
        <v>42763</v>
      </c>
      <c r="K2" s="615"/>
    </row>
    <row r="3" spans="2:11" x14ac:dyDescent="0.2">
      <c r="B3" s="1318" t="s">
        <v>189</v>
      </c>
      <c r="C3" s="1318"/>
      <c r="D3" s="1318"/>
      <c r="E3" s="1318"/>
      <c r="F3" s="1318"/>
      <c r="G3" s="1318"/>
      <c r="H3" s="1318"/>
      <c r="I3" s="1318"/>
      <c r="J3" s="1318"/>
      <c r="K3" s="1317" t="s">
        <v>91</v>
      </c>
    </row>
    <row r="4" spans="2:11" x14ac:dyDescent="0.2">
      <c r="B4" s="1318"/>
      <c r="C4" s="1318"/>
      <c r="D4" s="1318"/>
      <c r="E4" s="1318"/>
      <c r="F4" s="1318"/>
      <c r="G4" s="1318"/>
      <c r="H4" s="1318"/>
      <c r="I4" s="1318"/>
      <c r="J4" s="1318"/>
      <c r="K4" s="1317"/>
    </row>
    <row r="5" spans="2:11" x14ac:dyDescent="0.2">
      <c r="B5" s="1159" t="s">
        <v>190</v>
      </c>
      <c r="C5" s="1159"/>
      <c r="D5" s="613">
        <v>4381</v>
      </c>
      <c r="E5" s="613">
        <f>3237+15</f>
        <v>3252</v>
      </c>
      <c r="F5" s="613">
        <v>252</v>
      </c>
      <c r="G5" s="613">
        <f>2003+23</f>
        <v>2026</v>
      </c>
      <c r="H5" s="613">
        <f>3891+14</f>
        <v>3905</v>
      </c>
      <c r="I5" s="613">
        <f>3365+329</f>
        <v>3694</v>
      </c>
      <c r="J5" s="613">
        <f>3784+207</f>
        <v>3991</v>
      </c>
      <c r="K5" s="619">
        <f>SUM(D5:J5)</f>
        <v>21501</v>
      </c>
    </row>
    <row r="6" spans="2:11" x14ac:dyDescent="0.2">
      <c r="B6" s="1159" t="s">
        <v>191</v>
      </c>
      <c r="C6" s="1159"/>
      <c r="D6" s="615">
        <v>390</v>
      </c>
      <c r="E6" s="615">
        <v>302</v>
      </c>
      <c r="F6" s="615">
        <v>19</v>
      </c>
      <c r="G6" s="615">
        <v>167</v>
      </c>
      <c r="H6" s="615">
        <v>325</v>
      </c>
      <c r="I6" s="615">
        <f>277+28</f>
        <v>305</v>
      </c>
      <c r="J6" s="615">
        <f>323+23</f>
        <v>346</v>
      </c>
      <c r="K6" s="620">
        <f>SUM(D6:J6)</f>
        <v>1854</v>
      </c>
    </row>
    <row r="7" spans="2:11" x14ac:dyDescent="0.2">
      <c r="B7" s="1159" t="s">
        <v>192</v>
      </c>
      <c r="C7" s="1159"/>
      <c r="D7" s="621">
        <f>D5/D6</f>
        <v>11.233333333333333</v>
      </c>
      <c r="E7" s="621">
        <f t="shared" ref="E7:K7" si="0">E5/E6</f>
        <v>10.768211920529801</v>
      </c>
      <c r="F7" s="621">
        <f t="shared" si="0"/>
        <v>13.263157894736842</v>
      </c>
      <c r="G7" s="621">
        <f t="shared" si="0"/>
        <v>12.131736526946108</v>
      </c>
      <c r="H7" s="621">
        <f t="shared" si="0"/>
        <v>12.015384615384615</v>
      </c>
      <c r="I7" s="621">
        <f t="shared" si="0"/>
        <v>12.111475409836066</v>
      </c>
      <c r="J7" s="621">
        <f t="shared" si="0"/>
        <v>11.534682080924856</v>
      </c>
      <c r="K7" s="622">
        <f t="shared" si="0"/>
        <v>11.597087378640778</v>
      </c>
    </row>
    <row r="8" spans="2:11" x14ac:dyDescent="0.2">
      <c r="B8" s="1318" t="s">
        <v>188</v>
      </c>
      <c r="C8" s="1318"/>
      <c r="D8" s="1318"/>
      <c r="E8" s="1318"/>
      <c r="F8" s="1318"/>
      <c r="G8" s="1318"/>
      <c r="H8" s="1318"/>
      <c r="I8" s="1318"/>
      <c r="J8" s="1318"/>
      <c r="K8" s="1317" t="s">
        <v>91</v>
      </c>
    </row>
    <row r="9" spans="2:11" x14ac:dyDescent="0.2">
      <c r="B9" s="1318"/>
      <c r="C9" s="1318"/>
      <c r="D9" s="1318"/>
      <c r="E9" s="1318"/>
      <c r="F9" s="1318"/>
      <c r="G9" s="1318"/>
      <c r="H9" s="1318"/>
      <c r="I9" s="1318"/>
      <c r="J9" s="1318"/>
      <c r="K9" s="1317"/>
    </row>
    <row r="10" spans="2:11" x14ac:dyDescent="0.2">
      <c r="B10" s="1159" t="s">
        <v>190</v>
      </c>
      <c r="C10" s="1159"/>
      <c r="D10" s="613">
        <v>93</v>
      </c>
      <c r="E10" s="613">
        <v>417</v>
      </c>
      <c r="F10" s="613">
        <f>4468+654</f>
        <v>5122</v>
      </c>
      <c r="G10" s="613">
        <f>3204+419</f>
        <v>3623</v>
      </c>
      <c r="H10" s="613">
        <f>2353+196</f>
        <v>2549</v>
      </c>
      <c r="I10" s="613">
        <f>3786+37</f>
        <v>3823</v>
      </c>
      <c r="J10" s="613">
        <f>3287+472</f>
        <v>3759</v>
      </c>
      <c r="K10" s="619">
        <f>SUM(D10:J10)</f>
        <v>19386</v>
      </c>
    </row>
    <row r="11" spans="2:11" x14ac:dyDescent="0.2">
      <c r="B11" s="1159" t="s">
        <v>191</v>
      </c>
      <c r="C11" s="1159"/>
      <c r="D11" s="615">
        <v>8</v>
      </c>
      <c r="E11" s="615">
        <v>46</v>
      </c>
      <c r="F11" s="615">
        <f>428+82</f>
        <v>510</v>
      </c>
      <c r="G11" s="615">
        <f>326+44</f>
        <v>370</v>
      </c>
      <c r="H11" s="615">
        <f>246+16</f>
        <v>262</v>
      </c>
      <c r="I11" s="615">
        <f>339+4</f>
        <v>343</v>
      </c>
      <c r="J11" s="615">
        <f>311+48</f>
        <v>359</v>
      </c>
      <c r="K11" s="619">
        <f>SUM(D11:J11)</f>
        <v>1898</v>
      </c>
    </row>
    <row r="12" spans="2:11" x14ac:dyDescent="0.2">
      <c r="B12" s="1159" t="s">
        <v>192</v>
      </c>
      <c r="C12" s="1159"/>
      <c r="D12" s="621">
        <f>D10/D11</f>
        <v>11.625</v>
      </c>
      <c r="E12" s="621">
        <f t="shared" ref="E12:K12" si="1">E10/E11</f>
        <v>9.0652173913043477</v>
      </c>
      <c r="F12" s="621">
        <f t="shared" si="1"/>
        <v>10.043137254901961</v>
      </c>
      <c r="G12" s="621">
        <f t="shared" si="1"/>
        <v>9.7918918918918916</v>
      </c>
      <c r="H12" s="621">
        <f t="shared" si="1"/>
        <v>9.729007633587786</v>
      </c>
      <c r="I12" s="621">
        <f t="shared" si="1"/>
        <v>11.145772594752186</v>
      </c>
      <c r="J12" s="621">
        <f t="shared" si="1"/>
        <v>10.470752089136491</v>
      </c>
      <c r="K12" s="622">
        <f t="shared" si="1"/>
        <v>10.213909378292939</v>
      </c>
    </row>
  </sheetData>
  <mergeCells count="11">
    <mergeCell ref="B2:C2"/>
    <mergeCell ref="B11:C11"/>
    <mergeCell ref="B12:C12"/>
    <mergeCell ref="B7:C7"/>
    <mergeCell ref="K8:K9"/>
    <mergeCell ref="K3:K4"/>
    <mergeCell ref="B3:J4"/>
    <mergeCell ref="B8:J9"/>
    <mergeCell ref="B10:C10"/>
    <mergeCell ref="B5:C5"/>
    <mergeCell ref="B6:C6"/>
  </mergeCells>
  <phoneticPr fontId="12"/>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B1:E8"/>
  <sheetViews>
    <sheetView workbookViewId="0">
      <selection activeCell="D8" sqref="D8"/>
    </sheetView>
  </sheetViews>
  <sheetFormatPr defaultRowHeight="15" x14ac:dyDescent="0.2"/>
  <cols>
    <col min="3" max="3" width="23.67578125" customWidth="1"/>
    <col min="4" max="4" width="38.7421875" customWidth="1"/>
    <col min="5" max="5" width="26.76953125" customWidth="1"/>
  </cols>
  <sheetData>
    <row r="1" spans="2:5" ht="13.5" customHeight="1" thickBot="1" x14ac:dyDescent="0.25"/>
    <row r="2" spans="2:5" ht="15.75" thickBot="1" x14ac:dyDescent="0.25">
      <c r="B2" s="1319" t="s">
        <v>225</v>
      </c>
      <c r="C2" s="1320"/>
      <c r="D2" s="1320"/>
      <c r="E2" s="1321"/>
    </row>
    <row r="3" spans="2:5" ht="15.75" thickBot="1" x14ac:dyDescent="0.25">
      <c r="B3" s="746" t="s">
        <v>227</v>
      </c>
      <c r="C3" s="747" t="s">
        <v>226</v>
      </c>
      <c r="D3" s="747" t="s">
        <v>238</v>
      </c>
      <c r="E3" s="747" t="s">
        <v>221</v>
      </c>
    </row>
    <row r="4" spans="2:5" ht="149.25" thickBot="1" x14ac:dyDescent="0.25">
      <c r="B4" s="746">
        <v>1</v>
      </c>
      <c r="C4" s="748" t="s">
        <v>228</v>
      </c>
      <c r="D4" s="749" t="s">
        <v>230</v>
      </c>
      <c r="E4" s="749" t="s">
        <v>239</v>
      </c>
    </row>
    <row r="5" spans="2:5" ht="108.75" thickBot="1" x14ac:dyDescent="0.25">
      <c r="B5" s="746">
        <v>2</v>
      </c>
      <c r="C5" s="748" t="s">
        <v>229</v>
      </c>
      <c r="D5" s="749" t="s">
        <v>240</v>
      </c>
      <c r="E5" s="749" t="s">
        <v>231</v>
      </c>
    </row>
    <row r="6" spans="2:5" ht="95.25" thickBot="1" x14ac:dyDescent="0.25">
      <c r="B6" s="746">
        <v>3</v>
      </c>
      <c r="C6" s="748" t="s">
        <v>232</v>
      </c>
      <c r="D6" s="749" t="s">
        <v>233</v>
      </c>
      <c r="E6" s="749" t="s">
        <v>234</v>
      </c>
    </row>
    <row r="7" spans="2:5" ht="170.25" customHeight="1" thickBot="1" x14ac:dyDescent="0.25">
      <c r="B7" s="746">
        <v>4</v>
      </c>
      <c r="C7" s="749" t="s">
        <v>235</v>
      </c>
      <c r="D7" s="749" t="s">
        <v>241</v>
      </c>
      <c r="E7" s="749" t="s">
        <v>242</v>
      </c>
    </row>
    <row r="8" spans="2:5" ht="107.25" customHeight="1" thickBot="1" x14ac:dyDescent="0.25">
      <c r="B8" s="746">
        <v>5</v>
      </c>
      <c r="C8" s="748" t="s">
        <v>243</v>
      </c>
      <c r="D8" s="749" t="s">
        <v>236</v>
      </c>
      <c r="E8" s="749" t="s">
        <v>237</v>
      </c>
    </row>
  </sheetData>
  <mergeCells count="1">
    <mergeCell ref="B2:E2"/>
  </mergeCells>
  <phoneticPr fontId="12"/>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
  <sheetViews>
    <sheetView workbookViewId="0"/>
  </sheetViews>
  <sheetFormatPr defaultRowHeight="15" x14ac:dyDescent="0.2"/>
  <sheetData/>
  <phoneticPr fontId="12"/>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
  <sheetViews>
    <sheetView workbookViewId="0"/>
  </sheetViews>
  <sheetFormatPr defaultRowHeight="15" x14ac:dyDescent="0.2"/>
  <sheetData/>
  <phoneticPr fontId="12"/>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GU24"/>
  <sheetViews>
    <sheetView topLeftCell="A7" zoomScale="115" zoomScaleNormal="115" workbookViewId="0">
      <pane xSplit="1" topLeftCell="GO7" activePane="topRight" state="frozen"/>
      <selection activeCell="A5" sqref="A5"/>
      <selection pane="topRight" activeCell="GU9" sqref="GU9"/>
    </sheetView>
  </sheetViews>
  <sheetFormatPr defaultColWidth="9.14453125" defaultRowHeight="15" x14ac:dyDescent="0.2"/>
  <cols>
    <col min="1" max="1" width="59.0546875" style="480" customWidth="1"/>
    <col min="2" max="90" width="9.14453125" style="480"/>
    <col min="91" max="91" width="9.68359375" style="480" bestFit="1" customWidth="1"/>
    <col min="92" max="92" width="10.76171875" style="480" customWidth="1"/>
    <col min="93" max="93" width="11.1640625" style="480" customWidth="1"/>
    <col min="94" max="94" width="10.89453125" style="480" customWidth="1"/>
    <col min="95" max="95" width="11.56640625" style="480" customWidth="1"/>
    <col min="96" max="97" width="11.296875" style="480" customWidth="1"/>
    <col min="98" max="98" width="11.02734375" style="480" customWidth="1"/>
    <col min="99" max="99" width="10.76171875" style="480" customWidth="1"/>
    <col min="100" max="100" width="10.0859375" style="480" customWidth="1"/>
    <col min="101" max="101" width="12.10546875" style="480" customWidth="1"/>
    <col min="102" max="102" width="10.22265625" style="480" customWidth="1"/>
    <col min="103" max="103" width="10.76171875" style="480" customWidth="1"/>
    <col min="104" max="104" width="10.89453125" style="480" customWidth="1"/>
    <col min="105" max="105" width="9.68359375" style="480" bestFit="1" customWidth="1"/>
    <col min="106" max="106" width="11.56640625" style="480" customWidth="1"/>
    <col min="107" max="107" width="11.02734375" style="480" customWidth="1"/>
    <col min="108" max="108" width="10.625" style="480" customWidth="1"/>
    <col min="109" max="111" width="9.68359375" style="480" bestFit="1" customWidth="1"/>
    <col min="112" max="112" width="11.1640625" style="480" customWidth="1"/>
    <col min="113" max="117" width="9.68359375" style="480" bestFit="1" customWidth="1"/>
    <col min="118" max="119" width="11.296875" style="480" customWidth="1"/>
    <col min="120" max="121" width="9.68359375" style="480" bestFit="1" customWidth="1"/>
    <col min="122" max="134" width="9.14453125" style="480"/>
    <col min="135" max="135" width="9.14453125" style="845"/>
    <col min="136" max="137" width="9.14453125" style="480"/>
    <col min="138" max="138" width="9.14453125" style="480" customWidth="1"/>
    <col min="139" max="142" width="9.14453125" style="480"/>
    <col min="143" max="143" width="11.1640625" style="480" customWidth="1"/>
    <col min="144" max="147" width="9.953125" style="480" bestFit="1" customWidth="1"/>
    <col min="148" max="151" width="9.14453125" style="480"/>
    <col min="152" max="153" width="9.953125" style="480" bestFit="1" customWidth="1"/>
    <col min="154" max="154" width="9.55078125" style="480" customWidth="1"/>
    <col min="155" max="155" width="9.68359375" style="480" customWidth="1"/>
    <col min="156" max="156" width="9.55078125" style="480" customWidth="1"/>
    <col min="157" max="158" width="9.4140625" style="480" customWidth="1"/>
    <col min="159" max="159" width="9.68359375" style="480" customWidth="1"/>
    <col min="160" max="165" width="9.4140625" style="480" customWidth="1"/>
    <col min="166" max="166" width="9.81640625" style="480" customWidth="1"/>
    <col min="167" max="167" width="9.4140625" style="480" customWidth="1"/>
    <col min="168" max="168" width="9.953125" style="480" customWidth="1"/>
    <col min="169" max="169" width="9.68359375" style="480" customWidth="1"/>
    <col min="170" max="170" width="9.81640625" style="480" customWidth="1"/>
    <col min="171" max="171" width="9.55078125" style="480" customWidth="1"/>
    <col min="172" max="172" width="9.4140625" style="480" customWidth="1"/>
    <col min="173" max="173" width="9.55078125" style="480" customWidth="1"/>
    <col min="174" max="174" width="9.4140625" style="480" customWidth="1"/>
    <col min="175" max="16384" width="9.14453125" style="480"/>
  </cols>
  <sheetData>
    <row r="2" spans="1:203" x14ac:dyDescent="0.2">
      <c r="A2" s="1173" t="s">
        <v>157</v>
      </c>
      <c r="B2" s="1174" t="s">
        <v>155</v>
      </c>
      <c r="C2" s="1174"/>
      <c r="D2" s="1174"/>
      <c r="E2" s="1174"/>
      <c r="F2" s="512">
        <f>(1-F11)</f>
        <v>0.83</v>
      </c>
      <c r="G2" s="489"/>
      <c r="H2" s="489"/>
      <c r="I2" s="489"/>
      <c r="J2" s="489"/>
      <c r="K2" s="489"/>
    </row>
    <row r="3" spans="1:203" x14ac:dyDescent="0.2">
      <c r="A3" s="1173"/>
      <c r="B3" s="1174"/>
      <c r="C3" s="1174"/>
      <c r="D3" s="1174"/>
      <c r="E3" s="1174"/>
      <c r="F3" s="489"/>
      <c r="G3" s="489"/>
      <c r="H3" s="489">
        <f>G6/G5</f>
        <v>0.8125</v>
      </c>
      <c r="I3" s="489"/>
      <c r="J3" s="489">
        <v>11.35</v>
      </c>
      <c r="K3" s="489">
        <v>12.64</v>
      </c>
    </row>
    <row r="4" spans="1:203" x14ac:dyDescent="0.2">
      <c r="A4" s="1173"/>
      <c r="B4" s="1174" t="s">
        <v>153</v>
      </c>
      <c r="C4" s="1174"/>
      <c r="D4" s="1174"/>
      <c r="E4" s="1174"/>
      <c r="F4" s="513">
        <v>0.39</v>
      </c>
      <c r="G4" s="489"/>
      <c r="H4" s="489">
        <v>0.86</v>
      </c>
      <c r="I4" s="489"/>
      <c r="J4" s="489"/>
      <c r="K4" s="489"/>
    </row>
    <row r="5" spans="1:203" x14ac:dyDescent="0.2">
      <c r="A5" s="1173"/>
      <c r="B5" s="1174"/>
      <c r="C5" s="1174"/>
      <c r="D5" s="1174"/>
      <c r="E5" s="1174"/>
      <c r="F5" s="489">
        <f>15.5/9.5</f>
        <v>1.631578947368421</v>
      </c>
      <c r="G5" s="489">
        <v>32</v>
      </c>
      <c r="H5" s="489"/>
      <c r="I5" s="489"/>
      <c r="J5" s="489">
        <f>3045*0.61</f>
        <v>1857.45</v>
      </c>
      <c r="K5" s="489"/>
    </row>
    <row r="6" spans="1:203" x14ac:dyDescent="0.2">
      <c r="B6" s="1174" t="s">
        <v>154</v>
      </c>
      <c r="C6" s="1174"/>
      <c r="D6" s="1174"/>
      <c r="E6" s="1174"/>
      <c r="F6" s="489">
        <f>9.5/15.5</f>
        <v>0.61290322580645162</v>
      </c>
      <c r="G6" s="489">
        <v>26</v>
      </c>
      <c r="H6" s="489"/>
      <c r="I6" s="489"/>
      <c r="J6" s="489"/>
      <c r="K6" s="489"/>
    </row>
    <row r="7" spans="1:203" x14ac:dyDescent="0.2">
      <c r="B7" s="1174"/>
      <c r="C7" s="1174"/>
      <c r="D7" s="1174"/>
      <c r="E7" s="1174"/>
      <c r="F7" s="489"/>
      <c r="G7" s="489"/>
      <c r="H7" s="489"/>
      <c r="I7" s="489"/>
      <c r="J7" s="489"/>
      <c r="K7" s="489"/>
    </row>
    <row r="8" spans="1:203" ht="20.25" customHeight="1" thickBot="1" x14ac:dyDescent="0.25"/>
    <row r="9" spans="1:203" ht="32.25" customHeight="1" thickBot="1" x14ac:dyDescent="0.3">
      <c r="A9" s="486" t="s">
        <v>166</v>
      </c>
      <c r="B9" s="1175" t="s">
        <v>152</v>
      </c>
      <c r="C9" s="1175"/>
      <c r="D9" s="1175"/>
      <c r="E9" s="1175"/>
      <c r="F9" s="478">
        <v>0.35</v>
      </c>
      <c r="G9" s="479">
        <v>0.93</v>
      </c>
      <c r="H9" s="1170" t="s">
        <v>120</v>
      </c>
      <c r="I9" s="1170"/>
      <c r="J9" s="1170"/>
      <c r="K9" s="1170"/>
      <c r="L9" s="1171" t="s">
        <v>168</v>
      </c>
      <c r="M9" s="1172"/>
      <c r="N9" s="510" t="s">
        <v>170</v>
      </c>
      <c r="O9" s="1166" t="s">
        <v>172</v>
      </c>
      <c r="P9" s="1167"/>
      <c r="Q9" s="1167"/>
      <c r="R9" s="1167"/>
      <c r="S9" s="1167"/>
      <c r="T9" s="1164" t="s">
        <v>173</v>
      </c>
      <c r="U9" s="1165"/>
      <c r="V9" s="1165"/>
      <c r="W9" s="1165"/>
      <c r="X9" s="1165"/>
      <c r="Y9" s="1165"/>
      <c r="Z9" s="1165"/>
      <c r="AA9" s="1165"/>
      <c r="AB9" s="1165"/>
      <c r="AC9" s="1165"/>
      <c r="AD9" s="1165"/>
      <c r="AE9" s="1165"/>
      <c r="AF9" s="1162" t="s">
        <v>176</v>
      </c>
      <c r="AG9" s="1163"/>
      <c r="AH9" s="1163"/>
      <c r="AI9" s="1163"/>
      <c r="AJ9" s="1163"/>
      <c r="AK9" s="1163"/>
      <c r="AL9" s="1163"/>
      <c r="AM9" s="1163"/>
      <c r="AN9" s="1163"/>
      <c r="AO9" s="1163"/>
      <c r="AP9" s="1163"/>
      <c r="AQ9" s="1163"/>
      <c r="AR9" s="1163"/>
      <c r="AS9" s="1163"/>
      <c r="AT9" s="1163"/>
      <c r="AU9" s="1163"/>
      <c r="AV9" s="1163"/>
      <c r="AW9" s="1163"/>
      <c r="AX9" s="1163"/>
      <c r="AY9" s="1162" t="s">
        <v>186</v>
      </c>
      <c r="AZ9" s="1163"/>
      <c r="BA9" s="1163"/>
      <c r="BB9" s="1163"/>
      <c r="BC9" s="1163"/>
      <c r="BD9" s="1163"/>
      <c r="BE9" s="1163"/>
      <c r="BF9" s="1163"/>
      <c r="BG9" s="1162" t="s">
        <v>187</v>
      </c>
      <c r="BH9" s="1163"/>
      <c r="BI9" s="1163"/>
      <c r="BJ9" s="1163"/>
      <c r="BK9" s="1163"/>
      <c r="BL9" s="1163"/>
      <c r="BM9" s="1163"/>
      <c r="BN9" s="1168" t="s">
        <v>120</v>
      </c>
      <c r="BO9" s="1169"/>
      <c r="BP9" s="1169"/>
      <c r="BQ9" s="1169"/>
      <c r="BR9" s="1169"/>
      <c r="BS9" s="1169"/>
      <c r="BT9" s="1169"/>
      <c r="BU9" s="1169"/>
      <c r="BV9" s="1160" t="s">
        <v>198</v>
      </c>
      <c r="BW9" s="1161"/>
      <c r="BX9" s="1161"/>
      <c r="BY9" s="1161"/>
      <c r="BZ9" s="1161"/>
      <c r="CA9" s="1161"/>
      <c r="CB9" s="1161"/>
      <c r="CC9" s="1161"/>
      <c r="CD9" s="1161"/>
      <c r="CE9" s="1160" t="s">
        <v>200</v>
      </c>
      <c r="CF9" s="1161"/>
      <c r="CG9" s="1161"/>
      <c r="CH9" s="1161"/>
      <c r="CI9" s="1161"/>
      <c r="CJ9" s="1161"/>
      <c r="CK9" s="1161"/>
      <c r="CL9" s="1161"/>
      <c r="CM9" s="1161"/>
      <c r="CN9" s="1161"/>
      <c r="CO9" s="1161"/>
      <c r="CP9" s="1161"/>
      <c r="CQ9" s="1161"/>
      <c r="CR9" s="1161"/>
      <c r="CS9" s="1161"/>
      <c r="CT9" s="1161"/>
      <c r="CU9" s="1161"/>
      <c r="CV9" s="1161"/>
      <c r="CW9" s="1161"/>
      <c r="CX9" s="1161"/>
      <c r="CY9" s="1161"/>
      <c r="CZ9" s="1161"/>
      <c r="DA9" s="1161"/>
      <c r="DB9" s="1161"/>
      <c r="DC9" s="1161"/>
      <c r="DD9" s="1161"/>
      <c r="DE9" s="1161"/>
      <c r="DF9" s="1161"/>
      <c r="DG9" s="1161"/>
      <c r="DH9" s="1161"/>
      <c r="DI9" s="1161"/>
      <c r="DJ9" s="1161"/>
      <c r="DK9" s="1161"/>
      <c r="DL9" s="1161"/>
      <c r="DM9" s="768"/>
      <c r="DN9" s="768"/>
      <c r="DO9" s="768"/>
      <c r="DP9" s="774"/>
      <c r="DQ9" s="768"/>
      <c r="DR9" s="768"/>
      <c r="DS9" s="768"/>
      <c r="DT9" s="768"/>
      <c r="DU9" s="768"/>
      <c r="DV9" s="768"/>
      <c r="DW9" s="768"/>
      <c r="DX9" s="768"/>
      <c r="DY9" s="768"/>
      <c r="DZ9" s="768"/>
      <c r="EA9" s="768"/>
      <c r="EB9" s="768"/>
      <c r="EC9" s="768"/>
      <c r="ED9" s="768"/>
      <c r="EE9" s="768"/>
      <c r="EF9" s="768"/>
      <c r="EG9" s="768"/>
      <c r="EH9" s="768"/>
      <c r="EI9" s="768"/>
      <c r="EJ9" s="774"/>
      <c r="EK9" s="774"/>
      <c r="EL9" s="774"/>
      <c r="EM9" s="774"/>
      <c r="EN9" s="768"/>
      <c r="EO9" s="768"/>
      <c r="EP9" s="768"/>
      <c r="EQ9" s="894"/>
      <c r="ER9" s="894"/>
      <c r="ES9" s="768"/>
      <c r="ET9" s="768"/>
      <c r="EU9" s="768"/>
      <c r="EV9" s="768"/>
      <c r="EW9" s="768"/>
      <c r="EX9" s="768"/>
      <c r="EY9" s="768"/>
      <c r="EZ9" s="768"/>
      <c r="FA9" s="768"/>
      <c r="FB9" s="768"/>
      <c r="FC9" s="768"/>
      <c r="FD9" s="768"/>
      <c r="FE9" s="768"/>
      <c r="FF9" s="768"/>
      <c r="FG9" s="768"/>
      <c r="FH9" s="768"/>
      <c r="FI9" s="768"/>
      <c r="FJ9" s="768"/>
      <c r="FK9" s="768"/>
      <c r="FL9" s="768"/>
      <c r="FM9" s="768"/>
      <c r="FN9" s="768"/>
      <c r="FO9" s="768"/>
      <c r="FP9" s="768"/>
      <c r="FQ9" s="768"/>
      <c r="FR9" s="768"/>
      <c r="FS9" s="768"/>
      <c r="FT9" s="768"/>
      <c r="FU9" s="768"/>
      <c r="FV9" s="768"/>
      <c r="FW9" s="768"/>
      <c r="FX9" s="768"/>
      <c r="FY9" s="768"/>
      <c r="FZ9" s="768"/>
      <c r="GA9" s="768"/>
      <c r="GB9" s="768"/>
      <c r="GC9" s="768"/>
      <c r="GD9" s="768"/>
      <c r="GE9" s="768"/>
      <c r="GF9" s="768"/>
      <c r="GG9" s="768"/>
      <c r="GH9" s="768"/>
      <c r="GI9" s="768"/>
      <c r="GJ9" s="768"/>
      <c r="GK9" s="768"/>
      <c r="GL9" s="768"/>
      <c r="GM9" s="774"/>
      <c r="GN9" s="768"/>
      <c r="GO9" s="768"/>
      <c r="GP9" s="768"/>
      <c r="GQ9" s="768"/>
      <c r="GR9" s="768"/>
      <c r="GS9" s="768"/>
      <c r="GT9" s="768"/>
      <c r="GU9" s="768"/>
    </row>
    <row r="10" spans="1:203" ht="18.75" x14ac:dyDescent="0.2">
      <c r="A10" s="484" t="s">
        <v>5</v>
      </c>
      <c r="B10" s="476">
        <v>42706</v>
      </c>
      <c r="C10" s="476">
        <v>42707</v>
      </c>
      <c r="D10" s="476">
        <v>42708</v>
      </c>
      <c r="E10" s="476">
        <v>42709</v>
      </c>
      <c r="F10" s="476">
        <v>42710</v>
      </c>
      <c r="G10" s="476">
        <v>42711</v>
      </c>
      <c r="H10" s="364">
        <v>42712</v>
      </c>
      <c r="I10" s="364">
        <v>42713</v>
      </c>
      <c r="J10" s="364">
        <v>42714</v>
      </c>
      <c r="K10" s="364">
        <v>42715</v>
      </c>
      <c r="L10" s="511">
        <v>42716</v>
      </c>
      <c r="M10" s="511">
        <v>42717</v>
      </c>
      <c r="N10" s="476">
        <v>42718</v>
      </c>
      <c r="O10" s="476">
        <v>42719</v>
      </c>
      <c r="P10" s="476">
        <v>42720</v>
      </c>
      <c r="Q10" s="476">
        <v>42721</v>
      </c>
      <c r="R10" s="476">
        <v>42722</v>
      </c>
      <c r="S10" s="476">
        <v>42723</v>
      </c>
      <c r="T10" s="364">
        <v>42724</v>
      </c>
      <c r="U10" s="364">
        <v>42725</v>
      </c>
      <c r="V10" s="364">
        <v>42726</v>
      </c>
      <c r="W10" s="364">
        <v>42727</v>
      </c>
      <c r="X10" s="364">
        <v>42728</v>
      </c>
      <c r="Y10" s="364">
        <v>42729</v>
      </c>
      <c r="Z10" s="364">
        <v>42730</v>
      </c>
      <c r="AA10" s="364">
        <v>42731</v>
      </c>
      <c r="AB10" s="364">
        <v>42732</v>
      </c>
      <c r="AC10" s="364">
        <v>42733</v>
      </c>
      <c r="AD10" s="364">
        <v>42734</v>
      </c>
      <c r="AE10" s="364">
        <v>42735</v>
      </c>
      <c r="AF10" s="364">
        <v>42736</v>
      </c>
      <c r="AG10" s="364">
        <v>42737</v>
      </c>
      <c r="AH10" s="364">
        <v>42738</v>
      </c>
      <c r="AI10" s="364">
        <v>42739</v>
      </c>
      <c r="AJ10" s="364">
        <v>42740</v>
      </c>
      <c r="AK10" s="364">
        <v>42741</v>
      </c>
      <c r="AL10" s="364">
        <v>42742</v>
      </c>
      <c r="AM10" s="364">
        <v>42743</v>
      </c>
      <c r="AN10" s="364">
        <v>42744</v>
      </c>
      <c r="AO10" s="364">
        <v>42745</v>
      </c>
      <c r="AP10" s="364">
        <v>42746</v>
      </c>
      <c r="AQ10" s="364">
        <v>42747</v>
      </c>
      <c r="AR10" s="364">
        <v>42748</v>
      </c>
      <c r="AS10" s="364">
        <v>42749</v>
      </c>
      <c r="AT10" s="364">
        <v>42750</v>
      </c>
      <c r="AU10" s="364">
        <v>42751</v>
      </c>
      <c r="AV10" s="364">
        <v>42752</v>
      </c>
      <c r="AW10" s="364">
        <v>42753</v>
      </c>
      <c r="AX10" s="364">
        <v>42754</v>
      </c>
      <c r="AY10" s="364">
        <v>42755</v>
      </c>
      <c r="AZ10" s="364">
        <v>42756</v>
      </c>
      <c r="BA10" s="364">
        <v>42757</v>
      </c>
      <c r="BB10" s="364">
        <v>42758</v>
      </c>
      <c r="BC10" s="364">
        <v>42759</v>
      </c>
      <c r="BD10" s="364">
        <v>42760</v>
      </c>
      <c r="BE10" s="364">
        <v>42761</v>
      </c>
      <c r="BF10" s="364">
        <v>42762</v>
      </c>
      <c r="BG10" s="364">
        <v>42763</v>
      </c>
      <c r="BH10" s="364">
        <v>42764</v>
      </c>
      <c r="BI10" s="364">
        <v>42765</v>
      </c>
      <c r="BJ10" s="364">
        <v>42766</v>
      </c>
      <c r="BK10" s="364">
        <v>42767</v>
      </c>
      <c r="BL10" s="364">
        <v>42768</v>
      </c>
      <c r="BM10" s="364">
        <v>42769</v>
      </c>
      <c r="BN10" s="672">
        <v>42770</v>
      </c>
      <c r="BO10" s="672">
        <v>42771</v>
      </c>
      <c r="BP10" s="672">
        <v>42772</v>
      </c>
      <c r="BQ10" s="672">
        <v>42773</v>
      </c>
      <c r="BR10" s="672">
        <v>42774</v>
      </c>
      <c r="BS10" s="672">
        <v>42775</v>
      </c>
      <c r="BT10" s="672">
        <v>42776</v>
      </c>
      <c r="BU10" s="672">
        <v>42777</v>
      </c>
      <c r="BV10" s="672">
        <v>42778</v>
      </c>
      <c r="BW10" s="672">
        <v>42779</v>
      </c>
      <c r="BX10" s="672">
        <v>42780</v>
      </c>
      <c r="BY10" s="672">
        <v>42781</v>
      </c>
      <c r="BZ10" s="672">
        <v>42782</v>
      </c>
      <c r="CA10" s="672">
        <v>42783</v>
      </c>
      <c r="CB10" s="672">
        <v>42784</v>
      </c>
      <c r="CC10" s="672">
        <v>42785</v>
      </c>
      <c r="CD10" s="672">
        <v>42786</v>
      </c>
      <c r="CE10" s="672">
        <v>42787</v>
      </c>
      <c r="CF10" s="672">
        <v>42788</v>
      </c>
      <c r="CG10" s="672">
        <v>42789</v>
      </c>
      <c r="CH10" s="672">
        <v>42790</v>
      </c>
      <c r="CI10" s="672">
        <v>42791</v>
      </c>
      <c r="CJ10" s="672">
        <v>42792</v>
      </c>
      <c r="CK10" s="672">
        <v>42793</v>
      </c>
      <c r="CL10" s="672">
        <v>42794</v>
      </c>
      <c r="CM10" s="672">
        <v>42795</v>
      </c>
      <c r="CN10" s="672">
        <v>42796</v>
      </c>
      <c r="CO10" s="672">
        <v>42797</v>
      </c>
      <c r="CP10" s="672">
        <v>42798</v>
      </c>
      <c r="CQ10" s="672">
        <v>42799</v>
      </c>
      <c r="CR10" s="672">
        <v>42800</v>
      </c>
      <c r="CS10" s="672">
        <v>42801</v>
      </c>
      <c r="CT10" s="672">
        <v>42802</v>
      </c>
      <c r="CU10" s="672">
        <v>42803</v>
      </c>
      <c r="CV10" s="672">
        <v>42804</v>
      </c>
      <c r="CW10" s="672">
        <v>42805</v>
      </c>
      <c r="CX10" s="672">
        <v>42806</v>
      </c>
      <c r="CY10" s="672">
        <v>42807</v>
      </c>
      <c r="CZ10" s="672">
        <v>42808</v>
      </c>
      <c r="DA10" s="672">
        <v>42809</v>
      </c>
      <c r="DB10" s="672">
        <v>42810</v>
      </c>
      <c r="DC10" s="672">
        <v>42811</v>
      </c>
      <c r="DD10" s="672">
        <v>42812</v>
      </c>
      <c r="DE10" s="672">
        <v>42813</v>
      </c>
      <c r="DF10" s="672">
        <v>42814</v>
      </c>
      <c r="DG10" s="672">
        <v>42815</v>
      </c>
      <c r="DH10" s="672">
        <v>42816</v>
      </c>
      <c r="DI10" s="672">
        <v>42817</v>
      </c>
      <c r="DJ10" s="672">
        <v>42818</v>
      </c>
      <c r="DK10" s="672">
        <v>42819</v>
      </c>
      <c r="DL10" s="672">
        <v>42820</v>
      </c>
      <c r="DM10" s="672">
        <v>42821</v>
      </c>
      <c r="DN10" s="672">
        <v>42822</v>
      </c>
      <c r="DO10" s="672">
        <v>42823</v>
      </c>
      <c r="DP10" s="672">
        <v>42824</v>
      </c>
      <c r="DQ10" s="672">
        <v>42825</v>
      </c>
      <c r="DR10" s="672">
        <v>42826</v>
      </c>
      <c r="DS10" s="672">
        <v>42827</v>
      </c>
      <c r="DT10" s="672">
        <v>42828</v>
      </c>
      <c r="DU10" s="672">
        <v>42829</v>
      </c>
      <c r="DV10" s="672">
        <v>42830</v>
      </c>
      <c r="DW10" s="672">
        <v>42831</v>
      </c>
      <c r="DX10" s="672">
        <v>42832</v>
      </c>
      <c r="DY10" s="672">
        <v>42838</v>
      </c>
      <c r="DZ10" s="672">
        <v>42839</v>
      </c>
      <c r="EA10" s="672">
        <v>42840</v>
      </c>
      <c r="EB10" s="672">
        <v>42841</v>
      </c>
      <c r="EC10" s="672">
        <v>42842</v>
      </c>
      <c r="ED10" s="672">
        <v>42843</v>
      </c>
      <c r="EE10" s="672">
        <v>42844</v>
      </c>
      <c r="EF10" s="672">
        <v>42847</v>
      </c>
      <c r="EG10" s="672">
        <v>42848</v>
      </c>
      <c r="EH10" s="672">
        <v>42849</v>
      </c>
      <c r="EI10" s="672">
        <v>42850</v>
      </c>
      <c r="EJ10" s="672">
        <v>42851</v>
      </c>
      <c r="EK10" s="672">
        <v>42852</v>
      </c>
      <c r="EL10" s="672">
        <v>42855</v>
      </c>
      <c r="EM10" s="672">
        <v>42856</v>
      </c>
      <c r="EN10" s="672">
        <v>42857</v>
      </c>
      <c r="EO10" s="884">
        <v>42858</v>
      </c>
      <c r="EP10" s="884">
        <v>42859</v>
      </c>
      <c r="EQ10" s="895">
        <v>42860</v>
      </c>
      <c r="ER10" s="895">
        <v>42861</v>
      </c>
      <c r="ES10" s="892">
        <v>42862</v>
      </c>
      <c r="ET10" s="892">
        <v>42863</v>
      </c>
      <c r="EU10" s="892">
        <v>42864</v>
      </c>
      <c r="EV10" s="892">
        <v>42865</v>
      </c>
      <c r="EW10" s="892">
        <v>42866</v>
      </c>
      <c r="EX10" s="892">
        <v>42867</v>
      </c>
      <c r="EY10" s="892">
        <v>42868</v>
      </c>
      <c r="EZ10" s="892">
        <v>42869</v>
      </c>
      <c r="FA10" s="892">
        <v>42870</v>
      </c>
      <c r="FB10" s="892">
        <v>42871</v>
      </c>
      <c r="FC10" s="892">
        <v>42872</v>
      </c>
      <c r="FD10" s="892">
        <v>42873</v>
      </c>
      <c r="FE10" s="892">
        <v>42874</v>
      </c>
      <c r="FF10" s="892">
        <v>42875</v>
      </c>
      <c r="FG10" s="892">
        <v>42876</v>
      </c>
      <c r="FH10" s="892">
        <v>42877</v>
      </c>
      <c r="FI10" s="892">
        <v>42878</v>
      </c>
      <c r="FJ10" s="892">
        <v>42879</v>
      </c>
      <c r="FK10" s="892">
        <v>42880</v>
      </c>
      <c r="FL10" s="892">
        <v>42881</v>
      </c>
      <c r="FM10" s="892">
        <v>42882</v>
      </c>
      <c r="FN10" s="892">
        <v>42883</v>
      </c>
      <c r="FO10" s="892">
        <v>42884</v>
      </c>
      <c r="FP10" s="892">
        <v>42885</v>
      </c>
      <c r="FQ10" s="892">
        <v>42886</v>
      </c>
      <c r="FR10" s="892">
        <v>42887</v>
      </c>
      <c r="FS10" s="892">
        <v>42888</v>
      </c>
      <c r="FT10" s="892">
        <v>42889</v>
      </c>
      <c r="FU10" s="892">
        <v>42890</v>
      </c>
      <c r="FV10" s="892">
        <v>42891</v>
      </c>
      <c r="FW10" s="892">
        <v>42892</v>
      </c>
      <c r="FX10" s="892">
        <v>42893</v>
      </c>
      <c r="FY10" s="892">
        <v>42894</v>
      </c>
      <c r="FZ10" s="892">
        <v>42895</v>
      </c>
      <c r="GA10" s="892">
        <v>42896</v>
      </c>
      <c r="GB10" s="892">
        <v>42897</v>
      </c>
      <c r="GC10" s="892">
        <v>42898</v>
      </c>
      <c r="GD10" s="892">
        <v>42899</v>
      </c>
      <c r="GE10" s="892">
        <v>42900</v>
      </c>
      <c r="GF10" s="892">
        <v>42901</v>
      </c>
      <c r="GG10" s="892">
        <v>42902</v>
      </c>
      <c r="GH10" s="892">
        <v>42903</v>
      </c>
      <c r="GI10" s="892">
        <v>42904</v>
      </c>
      <c r="GJ10" s="892">
        <v>42905</v>
      </c>
      <c r="GK10" s="892">
        <v>42906</v>
      </c>
      <c r="GL10" s="892">
        <v>42907</v>
      </c>
      <c r="GM10" s="892">
        <v>42908</v>
      </c>
      <c r="GN10" s="892">
        <v>42909</v>
      </c>
      <c r="GO10" s="892">
        <v>42910</v>
      </c>
      <c r="GP10" s="892">
        <v>42911</v>
      </c>
      <c r="GQ10" s="892">
        <v>42912</v>
      </c>
      <c r="GR10" s="892">
        <v>42913</v>
      </c>
      <c r="GS10" s="892">
        <v>42914</v>
      </c>
      <c r="GT10" s="892">
        <v>42915</v>
      </c>
      <c r="GU10" s="892">
        <v>42916</v>
      </c>
    </row>
    <row r="11" spans="1:203" ht="18.75" x14ac:dyDescent="0.2">
      <c r="A11" s="483" t="s">
        <v>156</v>
      </c>
      <c r="B11" s="34">
        <v>0.12</v>
      </c>
      <c r="C11" s="34">
        <v>0.12</v>
      </c>
      <c r="D11" s="34">
        <v>0.12</v>
      </c>
      <c r="E11" s="34">
        <v>0.12</v>
      </c>
      <c r="F11" s="34">
        <v>0.17</v>
      </c>
      <c r="G11" s="34">
        <v>0.17</v>
      </c>
      <c r="H11" s="34">
        <v>0.16700000000000001</v>
      </c>
      <c r="I11" s="34">
        <v>0.192</v>
      </c>
      <c r="J11" s="34">
        <v>0.17699999999999999</v>
      </c>
      <c r="K11" s="34">
        <v>0.14349999999999999</v>
      </c>
      <c r="L11" s="34">
        <v>0.17399999999999999</v>
      </c>
      <c r="M11" s="34">
        <v>0.16600000000000001</v>
      </c>
      <c r="N11" s="34">
        <v>0.17199999999999999</v>
      </c>
      <c r="O11" s="34">
        <v>0.19800000000000001</v>
      </c>
      <c r="P11" s="34">
        <v>0.17599999999999999</v>
      </c>
      <c r="Q11" s="34">
        <v>0.19900000000000001</v>
      </c>
      <c r="R11" s="34">
        <v>0.157</v>
      </c>
      <c r="S11" s="34">
        <v>0.1565</v>
      </c>
      <c r="T11" s="34">
        <v>0.183</v>
      </c>
      <c r="U11" s="34">
        <v>0.19800000000000001</v>
      </c>
      <c r="V11" s="34">
        <v>0.159</v>
      </c>
      <c r="W11" s="34">
        <v>0.1825</v>
      </c>
      <c r="X11" s="34">
        <v>0.16700000000000001</v>
      </c>
      <c r="Y11" s="34">
        <v>0.17949999999999999</v>
      </c>
      <c r="Z11" s="34">
        <v>0.16800000000000001</v>
      </c>
      <c r="AA11" s="34">
        <v>0.19650000000000001</v>
      </c>
      <c r="AB11" s="34">
        <v>0.19800000000000001</v>
      </c>
      <c r="AC11" s="34">
        <v>0.2167</v>
      </c>
      <c r="AD11" s="34">
        <v>0.192</v>
      </c>
      <c r="AE11" s="34">
        <v>0.17956</v>
      </c>
      <c r="AF11" s="34">
        <v>0.1515</v>
      </c>
      <c r="AG11" s="34">
        <v>0.1835</v>
      </c>
      <c r="AH11" s="34">
        <v>0.19350000000000001</v>
      </c>
      <c r="AI11" s="34">
        <v>0.19700000000000001</v>
      </c>
      <c r="AJ11" s="34">
        <v>0.186</v>
      </c>
      <c r="AK11" s="34">
        <v>0.17100000000000001</v>
      </c>
      <c r="AL11" s="34">
        <v>0.16400000000000001</v>
      </c>
      <c r="AM11" s="34">
        <v>0.154</v>
      </c>
      <c r="AN11" s="34">
        <v>0.16600000000000001</v>
      </c>
      <c r="AO11" s="34">
        <v>0.18</v>
      </c>
      <c r="AP11" s="34">
        <v>0.1535</v>
      </c>
      <c r="AQ11" s="34">
        <v>0.183</v>
      </c>
      <c r="AR11" s="34">
        <v>0.186</v>
      </c>
      <c r="AS11" s="34">
        <v>0.17199999999999999</v>
      </c>
      <c r="AT11" s="34">
        <v>0.17399999999999999</v>
      </c>
      <c r="AU11" s="34">
        <v>0.16500000000000001</v>
      </c>
      <c r="AV11" s="34">
        <v>0.20399999999999999</v>
      </c>
      <c r="AW11" s="34">
        <v>0.19</v>
      </c>
      <c r="AX11" s="34">
        <v>0.17199999999999999</v>
      </c>
      <c r="AY11" s="34">
        <v>0.17399999999999999</v>
      </c>
      <c r="AZ11" s="34">
        <v>0.17899999999999999</v>
      </c>
      <c r="BA11" s="34">
        <v>0.11600000000000001</v>
      </c>
      <c r="BB11" s="34">
        <v>0.127</v>
      </c>
      <c r="BC11" s="34">
        <v>0.161</v>
      </c>
      <c r="BD11" s="34">
        <v>0.184</v>
      </c>
      <c r="BE11" s="34">
        <v>0.184</v>
      </c>
      <c r="BF11" s="34">
        <v>0.16600000000000001</v>
      </c>
      <c r="BG11" s="34">
        <v>0.13500000000000001</v>
      </c>
      <c r="BH11" s="34">
        <v>0.19500000000000001</v>
      </c>
      <c r="BI11" s="34">
        <v>0.17749999999999999</v>
      </c>
      <c r="BJ11" s="34">
        <v>0.16200000000000001</v>
      </c>
      <c r="BK11" s="34">
        <v>0.18099999999999999</v>
      </c>
      <c r="BL11" s="34">
        <v>0.183</v>
      </c>
      <c r="BM11" s="34">
        <v>0.17299999999999999</v>
      </c>
      <c r="BN11" s="34">
        <v>0.122</v>
      </c>
      <c r="BO11" s="34">
        <v>0.19700000000000001</v>
      </c>
      <c r="BP11" s="34">
        <v>0.17399999999999999</v>
      </c>
      <c r="BQ11" s="34">
        <v>0.17399999999999999</v>
      </c>
      <c r="BR11" s="34">
        <v>0.185</v>
      </c>
      <c r="BS11" s="34">
        <v>0.158</v>
      </c>
      <c r="BT11" s="34">
        <v>0.17899999999999999</v>
      </c>
      <c r="BU11" s="34">
        <v>0.155</v>
      </c>
      <c r="BV11" s="34">
        <v>0.17899999999999999</v>
      </c>
      <c r="BW11" s="34">
        <v>0.17899999999999999</v>
      </c>
      <c r="BX11" s="34">
        <v>0.13</v>
      </c>
      <c r="BY11" s="34">
        <v>0.14699999999999999</v>
      </c>
      <c r="BZ11" s="34">
        <v>0.15</v>
      </c>
      <c r="CA11" s="34">
        <v>0.155</v>
      </c>
      <c r="CB11" s="34">
        <v>0.157</v>
      </c>
      <c r="CC11" s="34">
        <v>0.14799999999999999</v>
      </c>
      <c r="CD11" s="34">
        <v>0.152</v>
      </c>
      <c r="CE11" s="34">
        <v>0.155</v>
      </c>
      <c r="CF11" s="34">
        <v>0.153</v>
      </c>
      <c r="CG11" s="34">
        <v>0.151</v>
      </c>
      <c r="CH11" s="34">
        <v>0.182</v>
      </c>
      <c r="CI11" s="694">
        <v>0.17399999999999999</v>
      </c>
      <c r="CJ11" s="694">
        <v>0.20799999999999999</v>
      </c>
      <c r="CK11" s="694">
        <v>0.15</v>
      </c>
      <c r="CL11" s="694">
        <v>0.15</v>
      </c>
      <c r="CM11" s="694">
        <v>0.17499999999999999</v>
      </c>
      <c r="CN11" s="694">
        <v>0.16600000000000001</v>
      </c>
      <c r="CO11" s="694">
        <v>0.14000000000000001</v>
      </c>
      <c r="CP11" s="694">
        <v>0.11899999999999999</v>
      </c>
      <c r="CQ11" s="694">
        <v>0.187</v>
      </c>
      <c r="CR11" s="694">
        <v>0.15</v>
      </c>
      <c r="CS11" s="694">
        <v>0.14000000000000001</v>
      </c>
      <c r="CT11" s="694">
        <v>0.13</v>
      </c>
      <c r="CU11" s="694">
        <v>0.125</v>
      </c>
      <c r="CV11" s="694">
        <v>0.12</v>
      </c>
      <c r="CW11" s="694">
        <v>0.124</v>
      </c>
      <c r="CX11" s="694">
        <v>0.12</v>
      </c>
      <c r="CY11" s="694">
        <v>0.121</v>
      </c>
      <c r="CZ11" s="694">
        <v>0.122</v>
      </c>
      <c r="DA11" s="694">
        <v>0.124</v>
      </c>
      <c r="DB11" s="694">
        <v>0.122</v>
      </c>
      <c r="DC11" s="694">
        <v>0.12</v>
      </c>
      <c r="DD11" s="694">
        <v>0.122</v>
      </c>
      <c r="DE11" s="694">
        <v>0.122</v>
      </c>
      <c r="DF11" s="694">
        <v>0.122</v>
      </c>
      <c r="DG11" s="694">
        <v>0.115</v>
      </c>
      <c r="DH11" s="694">
        <v>0.115</v>
      </c>
      <c r="DI11" s="694">
        <v>0.114</v>
      </c>
      <c r="DJ11" s="694">
        <v>0.111</v>
      </c>
      <c r="DK11" s="694">
        <v>0.12</v>
      </c>
      <c r="DL11" s="694">
        <v>0.11</v>
      </c>
      <c r="DM11" s="694">
        <v>0.115</v>
      </c>
      <c r="DN11" s="694">
        <v>0.11</v>
      </c>
      <c r="DO11" s="694">
        <v>0.115</v>
      </c>
      <c r="DP11" s="694">
        <v>0.105</v>
      </c>
      <c r="DQ11" s="694">
        <v>9.0999999999999998E-2</v>
      </c>
      <c r="DR11" s="694">
        <v>0.105</v>
      </c>
      <c r="DS11" s="694">
        <v>0.13200000000000001</v>
      </c>
      <c r="DT11" s="694">
        <v>0.112</v>
      </c>
      <c r="DU11" s="694">
        <v>0.115</v>
      </c>
      <c r="DV11" s="694">
        <v>0.16600000000000001</v>
      </c>
      <c r="DW11" s="694">
        <v>9.4E-2</v>
      </c>
      <c r="DX11" s="694">
        <v>9.7000000000000003E-2</v>
      </c>
      <c r="DY11" s="694">
        <v>0.104</v>
      </c>
      <c r="DZ11" s="694">
        <v>0.154</v>
      </c>
      <c r="EA11" s="694">
        <v>0.14699999999999999</v>
      </c>
      <c r="EB11" s="694">
        <v>0.1555</v>
      </c>
      <c r="EC11" s="694">
        <v>0.16450000000000001</v>
      </c>
      <c r="ED11" s="694">
        <v>0.129</v>
      </c>
      <c r="EE11" s="694">
        <v>0.129</v>
      </c>
      <c r="EF11" s="694">
        <v>0.17599999999999999</v>
      </c>
      <c r="EG11" s="694">
        <v>0.12</v>
      </c>
      <c r="EH11" s="694">
        <v>0.1105</v>
      </c>
      <c r="EI11" s="694">
        <v>0.12</v>
      </c>
      <c r="EJ11" s="694">
        <v>0.124</v>
      </c>
      <c r="EK11" s="694">
        <v>0.10299999999999999</v>
      </c>
      <c r="EL11" s="694">
        <v>0.129</v>
      </c>
      <c r="EM11" s="145">
        <v>0.14000000000000001</v>
      </c>
      <c r="EN11" s="145">
        <v>0.14000000000000001</v>
      </c>
      <c r="EO11" s="145">
        <v>0.11700000000000001</v>
      </c>
      <c r="EP11" s="145">
        <v>0.115</v>
      </c>
      <c r="EQ11" s="893">
        <v>0.13</v>
      </c>
      <c r="ER11" s="893">
        <v>0.13</v>
      </c>
      <c r="ES11" s="145">
        <v>0.13450000000000001</v>
      </c>
      <c r="ET11" s="145">
        <v>0.13450000000000001</v>
      </c>
      <c r="EU11" s="145">
        <v>0.13450000000000001</v>
      </c>
      <c r="EV11" s="145">
        <v>0.14000000000000001</v>
      </c>
      <c r="EW11" s="145">
        <v>0.13</v>
      </c>
      <c r="EX11" s="145">
        <v>0.12</v>
      </c>
      <c r="EY11" s="145">
        <v>0.12</v>
      </c>
      <c r="EZ11" s="145">
        <v>0.12</v>
      </c>
      <c r="FA11" s="145">
        <v>0.12</v>
      </c>
      <c r="FB11" s="145">
        <v>0.13</v>
      </c>
      <c r="FC11" s="145">
        <v>0.12</v>
      </c>
      <c r="FD11" s="145">
        <v>0.12</v>
      </c>
      <c r="FE11" s="145">
        <v>0.125</v>
      </c>
      <c r="FF11" s="145">
        <v>0.125</v>
      </c>
      <c r="FG11" s="145">
        <v>0.125</v>
      </c>
      <c r="FH11" s="145">
        <v>0.125</v>
      </c>
      <c r="FI11" s="145">
        <v>0.125</v>
      </c>
      <c r="FJ11" s="145">
        <v>0.12</v>
      </c>
      <c r="FK11" s="145">
        <v>0.13</v>
      </c>
      <c r="FL11" s="145">
        <v>0.125</v>
      </c>
      <c r="FM11" s="145">
        <v>0.12</v>
      </c>
      <c r="FN11" s="145">
        <v>0.12</v>
      </c>
      <c r="FO11" s="145">
        <v>0.12</v>
      </c>
      <c r="FP11" s="145">
        <v>0.11</v>
      </c>
      <c r="FQ11" s="145">
        <v>0.11</v>
      </c>
      <c r="FR11" s="145">
        <v>0.1</v>
      </c>
      <c r="FS11" s="145">
        <v>0.115</v>
      </c>
      <c r="FT11" s="145">
        <v>0.12</v>
      </c>
      <c r="FU11" s="145">
        <v>0.13</v>
      </c>
      <c r="FV11" s="145">
        <v>0.13</v>
      </c>
      <c r="FW11" s="145">
        <v>0.125</v>
      </c>
      <c r="FX11" s="145">
        <v>0.115</v>
      </c>
      <c r="FY11" s="145">
        <v>0.105</v>
      </c>
      <c r="FZ11" s="145">
        <v>0.11</v>
      </c>
      <c r="GA11" s="145">
        <v>0.12</v>
      </c>
      <c r="GB11" s="145">
        <v>0.105</v>
      </c>
      <c r="GC11" s="145">
        <v>0.115</v>
      </c>
      <c r="GD11" s="145">
        <v>0.11</v>
      </c>
      <c r="GE11" s="145">
        <v>0.12</v>
      </c>
      <c r="GF11" s="145">
        <v>0.12</v>
      </c>
      <c r="GG11" s="145">
        <v>0.12</v>
      </c>
      <c r="GH11" s="145">
        <v>0.125</v>
      </c>
      <c r="GI11" s="145">
        <v>0.13</v>
      </c>
      <c r="GJ11" s="145">
        <v>0.125</v>
      </c>
      <c r="GK11" s="145">
        <v>0.125</v>
      </c>
      <c r="GL11" s="145">
        <v>0.115</v>
      </c>
      <c r="GM11" s="145">
        <v>0.105</v>
      </c>
      <c r="GN11" s="145">
        <v>0.11</v>
      </c>
      <c r="GO11" s="145">
        <v>0.1</v>
      </c>
      <c r="GP11" s="145">
        <v>0.105</v>
      </c>
      <c r="GQ11" s="145">
        <v>0.11</v>
      </c>
      <c r="GR11" s="145">
        <v>0.1</v>
      </c>
      <c r="GS11" s="145">
        <v>0.105</v>
      </c>
      <c r="GT11" s="145">
        <v>0.1</v>
      </c>
      <c r="GU11" s="145">
        <v>0.105</v>
      </c>
    </row>
    <row r="12" spans="1:203" x14ac:dyDescent="0.2">
      <c r="A12" s="484" t="s">
        <v>158</v>
      </c>
      <c r="B12" s="497">
        <v>0</v>
      </c>
      <c r="C12" s="497">
        <v>0</v>
      </c>
      <c r="D12" s="497">
        <v>0</v>
      </c>
      <c r="E12" s="497">
        <v>0</v>
      </c>
      <c r="F12" s="497">
        <v>1237</v>
      </c>
      <c r="G12" s="497">
        <v>5360</v>
      </c>
      <c r="H12" s="497">
        <v>6459</v>
      </c>
      <c r="I12" s="497">
        <v>4643</v>
      </c>
      <c r="J12" s="497">
        <v>6266</v>
      </c>
      <c r="K12" s="497">
        <v>4577</v>
      </c>
      <c r="L12" s="497">
        <v>4914</v>
      </c>
      <c r="M12" s="497">
        <v>4257</v>
      </c>
      <c r="N12" s="497">
        <v>4047</v>
      </c>
      <c r="O12" s="497">
        <v>4009</v>
      </c>
      <c r="P12" s="497">
        <v>3573</v>
      </c>
      <c r="Q12" s="497">
        <v>3683</v>
      </c>
      <c r="R12" s="497">
        <v>3683</v>
      </c>
      <c r="S12" s="497">
        <v>4478</v>
      </c>
      <c r="T12" s="497">
        <v>4456</v>
      </c>
      <c r="U12" s="497">
        <v>5780</v>
      </c>
      <c r="V12" s="497">
        <v>5482</v>
      </c>
      <c r="W12" s="497">
        <v>5355</v>
      </c>
      <c r="X12" s="497">
        <v>5151</v>
      </c>
      <c r="Y12" s="497">
        <v>4908</v>
      </c>
      <c r="Z12" s="497">
        <v>5090</v>
      </c>
      <c r="AA12" s="497">
        <v>4693</v>
      </c>
      <c r="AB12" s="497">
        <v>4737</v>
      </c>
      <c r="AC12" s="497">
        <v>4693</v>
      </c>
      <c r="AD12" s="497">
        <v>4787</v>
      </c>
      <c r="AE12" s="497">
        <v>4693</v>
      </c>
      <c r="AF12" s="497">
        <v>4687</v>
      </c>
      <c r="AG12" s="497">
        <v>4748</v>
      </c>
      <c r="AH12" s="497">
        <v>4610</v>
      </c>
      <c r="AI12" s="497">
        <v>4693</v>
      </c>
      <c r="AJ12" s="497">
        <v>4616</v>
      </c>
      <c r="AK12" s="497">
        <v>4875</v>
      </c>
      <c r="AL12" s="497">
        <v>4732</v>
      </c>
      <c r="AM12" s="497">
        <v>4704</v>
      </c>
      <c r="AN12" s="497">
        <v>4698</v>
      </c>
      <c r="AO12" s="497">
        <v>4825</v>
      </c>
      <c r="AP12" s="497">
        <v>4660</v>
      </c>
      <c r="AQ12" s="497">
        <v>4660</v>
      </c>
      <c r="AR12" s="497">
        <v>4715</v>
      </c>
      <c r="AS12" s="497">
        <v>4748</v>
      </c>
      <c r="AT12" s="497">
        <v>4809</v>
      </c>
      <c r="AU12" s="497">
        <v>4726</v>
      </c>
      <c r="AV12" s="497">
        <v>4606</v>
      </c>
      <c r="AW12" s="497">
        <v>4549</v>
      </c>
      <c r="AX12" s="497">
        <v>4467</v>
      </c>
      <c r="AY12" s="497">
        <v>4423</v>
      </c>
      <c r="AZ12" s="497">
        <v>4351</v>
      </c>
      <c r="BA12" s="497">
        <v>4483</v>
      </c>
      <c r="BB12" s="497">
        <v>4351</v>
      </c>
      <c r="BC12" s="497">
        <v>4489</v>
      </c>
      <c r="BD12" s="497">
        <v>4516</v>
      </c>
      <c r="BE12" s="497">
        <v>4583</v>
      </c>
      <c r="BF12" s="497">
        <v>4963</v>
      </c>
      <c r="BG12" s="497">
        <v>5824</v>
      </c>
      <c r="BH12" s="497">
        <v>6089</v>
      </c>
      <c r="BI12" s="497">
        <v>7679</v>
      </c>
      <c r="BJ12" s="497">
        <v>6520</v>
      </c>
      <c r="BK12" s="497">
        <v>5515</v>
      </c>
      <c r="BL12" s="497">
        <v>6559</v>
      </c>
      <c r="BM12" s="497">
        <v>5515</v>
      </c>
      <c r="BN12" s="497">
        <v>5516</v>
      </c>
      <c r="BO12" s="497">
        <v>5923</v>
      </c>
      <c r="BP12" s="497">
        <v>6443</v>
      </c>
      <c r="BQ12" s="497">
        <v>5140</v>
      </c>
      <c r="BR12" s="497">
        <v>6733</v>
      </c>
      <c r="BS12" s="497">
        <v>4869</v>
      </c>
      <c r="BT12" s="497">
        <v>6514</v>
      </c>
      <c r="BU12" s="497">
        <v>5846</v>
      </c>
      <c r="BV12" s="497">
        <v>7386</v>
      </c>
      <c r="BW12" s="497">
        <v>5940</v>
      </c>
      <c r="BX12" s="497">
        <v>7612</v>
      </c>
      <c r="BY12" s="497">
        <v>5934</v>
      </c>
      <c r="BZ12" s="497">
        <v>6359</v>
      </c>
      <c r="CA12" s="497">
        <v>7524</v>
      </c>
      <c r="CB12" s="497">
        <v>5719</v>
      </c>
      <c r="CC12" s="497">
        <v>7563</v>
      </c>
      <c r="CD12" s="497">
        <v>5829</v>
      </c>
      <c r="CE12" s="497">
        <v>7414</v>
      </c>
      <c r="CF12" s="497">
        <v>6105</v>
      </c>
      <c r="CG12" s="497">
        <v>7673</v>
      </c>
      <c r="CH12" s="497">
        <v>7259</v>
      </c>
      <c r="CI12" s="497">
        <v>6249</v>
      </c>
      <c r="CJ12" s="497">
        <v>7728</v>
      </c>
      <c r="CK12" s="497">
        <v>5951</v>
      </c>
      <c r="CL12" s="497">
        <v>7452</v>
      </c>
      <c r="CM12" s="497">
        <v>6023</v>
      </c>
      <c r="CN12" s="497">
        <v>7480</v>
      </c>
      <c r="CO12" s="497">
        <v>5940</v>
      </c>
      <c r="CP12" s="497">
        <v>7656</v>
      </c>
      <c r="CQ12" s="497">
        <v>6160</v>
      </c>
      <c r="CR12" s="497">
        <v>7756</v>
      </c>
      <c r="CS12" s="497">
        <v>6243</v>
      </c>
      <c r="CT12" s="497">
        <v>6243</v>
      </c>
      <c r="CU12" s="497">
        <v>7590</v>
      </c>
      <c r="CV12" s="497">
        <v>5609</v>
      </c>
      <c r="CW12" s="497">
        <v>7872</v>
      </c>
      <c r="CX12" s="497">
        <v>5967</v>
      </c>
      <c r="CY12" s="497">
        <v>7066</v>
      </c>
      <c r="CZ12" s="497">
        <v>7452</v>
      </c>
      <c r="DA12" s="497">
        <v>6133</v>
      </c>
      <c r="DB12" s="497">
        <v>7508</v>
      </c>
      <c r="DC12" s="497">
        <v>5885</v>
      </c>
      <c r="DD12" s="497">
        <v>6160</v>
      </c>
      <c r="DE12" s="497">
        <v>7645</v>
      </c>
      <c r="DF12" s="497">
        <v>6166</v>
      </c>
      <c r="DG12" s="497">
        <v>7921</v>
      </c>
      <c r="DH12" s="497">
        <v>8131</v>
      </c>
      <c r="DI12" s="497">
        <v>6530</v>
      </c>
      <c r="DJ12" s="497">
        <v>8214</v>
      </c>
      <c r="DK12" s="497">
        <v>6387</v>
      </c>
      <c r="DL12" s="497">
        <v>8164</v>
      </c>
      <c r="DM12" s="497">
        <v>6558</v>
      </c>
      <c r="DN12" s="497">
        <v>6254</v>
      </c>
      <c r="DO12" s="497">
        <v>7099</v>
      </c>
      <c r="DP12" s="497">
        <v>6465</v>
      </c>
      <c r="DQ12" s="497">
        <v>6166</v>
      </c>
      <c r="DR12" s="497">
        <v>7508</v>
      </c>
      <c r="DS12" s="497">
        <v>6221</v>
      </c>
      <c r="DT12" s="497">
        <v>7452</v>
      </c>
      <c r="DU12" s="497">
        <v>5912</v>
      </c>
      <c r="DV12" s="497">
        <v>7513</v>
      </c>
      <c r="DW12" s="497">
        <v>5554</v>
      </c>
      <c r="DX12" s="497">
        <v>7745</v>
      </c>
      <c r="DY12" s="497">
        <v>7287</v>
      </c>
      <c r="DZ12" s="497">
        <v>5802</v>
      </c>
      <c r="EA12" s="497">
        <v>7452</v>
      </c>
      <c r="EB12" s="497">
        <v>5995</v>
      </c>
      <c r="EC12" s="497">
        <v>7121</v>
      </c>
      <c r="ED12" s="497">
        <v>5747</v>
      </c>
      <c r="EE12" s="497">
        <v>7370</v>
      </c>
      <c r="EF12" s="497">
        <v>5912</v>
      </c>
      <c r="EG12" s="497">
        <v>7370</v>
      </c>
      <c r="EH12" s="497">
        <v>5802</v>
      </c>
      <c r="EI12" s="497">
        <v>7132</v>
      </c>
      <c r="EJ12" s="497">
        <v>7590</v>
      </c>
      <c r="EK12" s="497">
        <v>6050</v>
      </c>
      <c r="EL12" s="497">
        <v>5995</v>
      </c>
      <c r="EM12" s="885">
        <v>7039</v>
      </c>
      <c r="EN12" s="885">
        <v>2722</v>
      </c>
      <c r="EO12" s="885">
        <v>6078</v>
      </c>
      <c r="EP12" s="885">
        <v>5918</v>
      </c>
      <c r="EQ12" s="885">
        <v>6845</v>
      </c>
      <c r="ER12" s="885">
        <v>5498</v>
      </c>
      <c r="ES12" s="885">
        <v>5554</v>
      </c>
      <c r="ET12" s="885">
        <v>7728</v>
      </c>
      <c r="EU12" s="885">
        <v>5802</v>
      </c>
      <c r="EV12" s="885">
        <v>7425</v>
      </c>
      <c r="EW12" s="885">
        <v>7121</v>
      </c>
      <c r="EX12" s="885">
        <v>5719</v>
      </c>
      <c r="EY12" s="885">
        <v>6928</v>
      </c>
      <c r="EZ12" s="885">
        <v>5498</v>
      </c>
      <c r="FA12" s="885">
        <v>6496</v>
      </c>
      <c r="FB12" s="885">
        <v>8021</v>
      </c>
      <c r="FC12" s="885">
        <v>7645</v>
      </c>
      <c r="FD12" s="885">
        <v>7645</v>
      </c>
      <c r="FE12" s="885">
        <v>6658</v>
      </c>
      <c r="FF12" s="885">
        <v>4969</v>
      </c>
      <c r="FG12" s="885">
        <v>6255</v>
      </c>
      <c r="FH12" s="885">
        <v>4450</v>
      </c>
      <c r="FI12" s="885">
        <v>4450</v>
      </c>
      <c r="FJ12" s="885">
        <v>4290</v>
      </c>
      <c r="FK12" s="885">
        <v>5466</v>
      </c>
      <c r="FL12" s="885">
        <v>4340</v>
      </c>
      <c r="FM12" s="885">
        <v>7176</v>
      </c>
      <c r="FN12" s="885">
        <v>6238</v>
      </c>
      <c r="FO12" s="885">
        <v>7701</v>
      </c>
      <c r="FP12" s="885">
        <v>4676</v>
      </c>
      <c r="FQ12" s="885">
        <v>8667</v>
      </c>
      <c r="FR12" s="885">
        <v>6078</v>
      </c>
      <c r="FS12" s="885">
        <v>7783</v>
      </c>
      <c r="FT12" s="885">
        <v>6216</v>
      </c>
      <c r="FU12" s="885">
        <v>7745</v>
      </c>
      <c r="FV12" s="885">
        <v>6287</v>
      </c>
      <c r="FW12" s="885">
        <v>8092</v>
      </c>
      <c r="FX12" s="885">
        <v>6254</v>
      </c>
      <c r="FY12" s="885">
        <v>6934</v>
      </c>
      <c r="FZ12" s="497">
        <v>6050</v>
      </c>
      <c r="GA12" s="497">
        <v>6199</v>
      </c>
      <c r="GB12" s="497">
        <v>6415</v>
      </c>
      <c r="GC12" s="497">
        <v>6138</v>
      </c>
      <c r="GD12" s="497">
        <v>7645</v>
      </c>
      <c r="GE12" s="497">
        <v>6309</v>
      </c>
      <c r="GF12" s="497">
        <v>7651</v>
      </c>
      <c r="GG12" s="497">
        <v>7805</v>
      </c>
      <c r="GH12" s="497">
        <v>5863</v>
      </c>
      <c r="GI12" s="497">
        <v>7176</v>
      </c>
      <c r="GJ12" s="497">
        <v>5967</v>
      </c>
      <c r="GK12" s="497">
        <v>7016</v>
      </c>
      <c r="GL12" s="497">
        <v>6083</v>
      </c>
      <c r="GM12" s="497">
        <v>7221</v>
      </c>
      <c r="GN12" s="497">
        <v>6309</v>
      </c>
      <c r="GO12" s="497">
        <v>7629</v>
      </c>
      <c r="GP12" s="497">
        <v>6260</v>
      </c>
      <c r="GQ12" s="497">
        <v>6298</v>
      </c>
      <c r="GR12" s="497">
        <v>7568</v>
      </c>
      <c r="GS12" s="497">
        <v>6177</v>
      </c>
      <c r="GT12" s="497">
        <v>7485</v>
      </c>
      <c r="GU12" s="497">
        <v>7828</v>
      </c>
    </row>
    <row r="13" spans="1:203" x14ac:dyDescent="0.2">
      <c r="A13" s="484" t="s">
        <v>281</v>
      </c>
      <c r="B13" s="201"/>
      <c r="C13" s="201"/>
      <c r="D13" s="201"/>
      <c r="E13" s="201"/>
      <c r="F13" s="201">
        <v>0</v>
      </c>
      <c r="G13" s="201">
        <v>0</v>
      </c>
      <c r="H13" s="201">
        <v>1835.7</v>
      </c>
      <c r="I13" s="201">
        <v>3338.9</v>
      </c>
      <c r="J13" s="201">
        <v>3212</v>
      </c>
      <c r="K13" s="201">
        <v>4685</v>
      </c>
      <c r="L13" s="201">
        <v>2728</v>
      </c>
      <c r="M13" s="201">
        <v>3467</v>
      </c>
      <c r="N13" s="201">
        <v>3483</v>
      </c>
      <c r="O13" s="201">
        <v>3155</v>
      </c>
      <c r="P13" s="201">
        <v>1836</v>
      </c>
      <c r="Q13" s="201">
        <v>2508.5</v>
      </c>
      <c r="R13" s="201">
        <v>4686</v>
      </c>
      <c r="S13" s="201">
        <v>3402.7</v>
      </c>
      <c r="T13" s="201">
        <v>2089.8000000000002</v>
      </c>
      <c r="U13" s="201">
        <v>2262.5</v>
      </c>
      <c r="V13" s="201">
        <v>4773</v>
      </c>
      <c r="W13" s="201">
        <v>3317.7</v>
      </c>
      <c r="X13" s="201">
        <v>2737.2</v>
      </c>
      <c r="Y13" s="201">
        <v>3153.7</v>
      </c>
      <c r="Z13" s="201">
        <v>1410.2</v>
      </c>
      <c r="AA13" s="201">
        <v>3455.9</v>
      </c>
      <c r="AB13" s="201">
        <v>3455.9</v>
      </c>
      <c r="AC13" s="201">
        <v>2267</v>
      </c>
      <c r="AD13" s="201">
        <v>1751.6</v>
      </c>
      <c r="AE13" s="201">
        <v>1890.6</v>
      </c>
      <c r="AF13" s="201">
        <v>2060</v>
      </c>
      <c r="AG13" s="201">
        <v>2783</v>
      </c>
      <c r="AH13" s="201">
        <v>2783</v>
      </c>
      <c r="AI13" s="18">
        <v>1672</v>
      </c>
      <c r="AJ13" s="18">
        <v>1750</v>
      </c>
      <c r="AK13" s="18">
        <v>2261</v>
      </c>
      <c r="AL13" s="18">
        <v>750</v>
      </c>
      <c r="AM13" s="18">
        <v>750</v>
      </c>
      <c r="AN13" s="18">
        <v>1963</v>
      </c>
      <c r="AO13" s="18">
        <v>2933</v>
      </c>
      <c r="AP13" s="18">
        <v>2933</v>
      </c>
      <c r="AQ13" s="18">
        <v>1800</v>
      </c>
      <c r="AR13" s="18">
        <f>2185+1000</f>
        <v>3185</v>
      </c>
      <c r="AS13" s="18">
        <v>3221</v>
      </c>
      <c r="AT13" s="18">
        <f>2016+1500</f>
        <v>3516</v>
      </c>
      <c r="AU13" s="18">
        <f>5114+1000</f>
        <v>6114</v>
      </c>
      <c r="AV13" s="18">
        <v>4348</v>
      </c>
      <c r="AW13" s="18">
        <f>5101+1000</f>
        <v>6101</v>
      </c>
      <c r="AX13" s="18">
        <f>3400+1000</f>
        <v>4400</v>
      </c>
      <c r="AY13" s="18">
        <f>3470+2500</f>
        <v>5970</v>
      </c>
      <c r="AZ13" s="18">
        <f>5226+2500</f>
        <v>7726</v>
      </c>
      <c r="BA13" s="18">
        <f>4905+2500</f>
        <v>7405</v>
      </c>
      <c r="BB13" s="18">
        <v>5276</v>
      </c>
      <c r="BC13" s="18">
        <f>4156+1500</f>
        <v>5656</v>
      </c>
      <c r="BD13" s="18">
        <f>3134+1500</f>
        <v>4634</v>
      </c>
      <c r="BE13" s="18">
        <v>4715</v>
      </c>
      <c r="BF13" s="18">
        <f>4544+1000</f>
        <v>5544</v>
      </c>
      <c r="BG13" s="18">
        <f>3580+500</f>
        <v>4080</v>
      </c>
      <c r="BH13" s="18">
        <f>4588+1500</f>
        <v>6088</v>
      </c>
      <c r="BI13" s="18">
        <f>4900+1500</f>
        <v>6400</v>
      </c>
      <c r="BJ13" s="18">
        <f>6218+500</f>
        <v>6718</v>
      </c>
      <c r="BK13" s="18">
        <f>3339+1500</f>
        <v>4839</v>
      </c>
      <c r="BL13" s="18">
        <f>4101+1000</f>
        <v>5101</v>
      </c>
      <c r="BM13" s="18">
        <f>5186+1000</f>
        <v>6186</v>
      </c>
      <c r="BN13" s="18">
        <f>5186+1000</f>
        <v>6186</v>
      </c>
      <c r="BO13" s="18">
        <f>4192+1000</f>
        <v>5192</v>
      </c>
      <c r="BP13" s="18">
        <f>4624+1000</f>
        <v>5624</v>
      </c>
      <c r="BQ13" s="18">
        <f>4783+500</f>
        <v>5283</v>
      </c>
      <c r="BR13" s="18">
        <v>5500</v>
      </c>
      <c r="BS13" s="18">
        <v>5296</v>
      </c>
      <c r="BT13" s="18">
        <v>3441</v>
      </c>
      <c r="BU13" s="18">
        <v>3919</v>
      </c>
      <c r="BV13" s="18">
        <v>4935</v>
      </c>
      <c r="BW13" s="18">
        <v>4885</v>
      </c>
      <c r="BX13" s="18">
        <f>4885+500</f>
        <v>5385</v>
      </c>
      <c r="BY13" s="18">
        <v>3500</v>
      </c>
      <c r="BZ13" s="18">
        <v>3000</v>
      </c>
      <c r="CA13" s="18">
        <f>3539+100</f>
        <v>3639</v>
      </c>
      <c r="CB13" s="18">
        <f>5116+500</f>
        <v>5616</v>
      </c>
      <c r="CC13" s="18">
        <f>3710+2000</f>
        <v>5710</v>
      </c>
      <c r="CD13" s="18">
        <f>4518+500</f>
        <v>5018</v>
      </c>
      <c r="CE13" s="18">
        <f>2756+1500</f>
        <v>4256</v>
      </c>
      <c r="CF13" s="18">
        <v>5404</v>
      </c>
      <c r="CG13" s="18">
        <f>2967+1500</f>
        <v>4467</v>
      </c>
      <c r="CH13" s="18">
        <v>6554</v>
      </c>
      <c r="CI13" s="18">
        <f>4613+1000</f>
        <v>5613</v>
      </c>
      <c r="CJ13" s="18">
        <f>4613+2000</f>
        <v>6613</v>
      </c>
      <c r="CK13" s="18">
        <f>4215+1500</f>
        <v>5715</v>
      </c>
      <c r="CL13" s="18">
        <f>361+3000</f>
        <v>3361</v>
      </c>
      <c r="CM13" s="18">
        <f>2517+1000</f>
        <v>3517</v>
      </c>
      <c r="CN13" s="18">
        <f>4586+500</f>
        <v>5086</v>
      </c>
      <c r="CO13" s="18">
        <f>2368+500</f>
        <v>2868</v>
      </c>
      <c r="CP13" s="18">
        <v>5774</v>
      </c>
      <c r="CQ13" s="18">
        <f>3038+2000</f>
        <v>5038</v>
      </c>
      <c r="CR13" s="18">
        <v>6570</v>
      </c>
      <c r="CS13" s="18">
        <f>3899+1500</f>
        <v>5399</v>
      </c>
      <c r="CT13" s="18">
        <v>4172</v>
      </c>
      <c r="CU13" s="18">
        <f>3369+1500</f>
        <v>4869</v>
      </c>
      <c r="CV13" s="18">
        <v>5200</v>
      </c>
      <c r="CW13" s="18">
        <f>869+3500</f>
        <v>4369</v>
      </c>
      <c r="CX13" s="18">
        <v>6605</v>
      </c>
      <c r="CY13" s="18">
        <v>3150</v>
      </c>
      <c r="CZ13" s="18">
        <v>6862</v>
      </c>
      <c r="DA13" s="18">
        <v>3708</v>
      </c>
      <c r="DB13" s="18">
        <f>3457+1000</f>
        <v>4457</v>
      </c>
      <c r="DC13" s="18">
        <v>4308</v>
      </c>
      <c r="DD13" s="18">
        <f>3769+1000</f>
        <v>4769</v>
      </c>
      <c r="DE13" s="18">
        <f>4150+1000</f>
        <v>5150</v>
      </c>
      <c r="DF13" s="18">
        <f>4320+500</f>
        <v>4820</v>
      </c>
      <c r="DG13" s="18">
        <f>4212+2000</f>
        <v>6212</v>
      </c>
      <c r="DH13" s="18">
        <f>2177+2000</f>
        <v>4177</v>
      </c>
      <c r="DI13" s="18">
        <v>3000</v>
      </c>
      <c r="DJ13" s="18">
        <f>4655+1000</f>
        <v>5655</v>
      </c>
      <c r="DK13" s="18">
        <v>5175</v>
      </c>
      <c r="DL13" s="18">
        <v>4850</v>
      </c>
      <c r="DM13" s="18">
        <v>4910</v>
      </c>
      <c r="DN13" s="18">
        <v>3495</v>
      </c>
      <c r="DO13" s="18">
        <v>6592</v>
      </c>
      <c r="DP13" s="18">
        <v>3575</v>
      </c>
      <c r="DQ13" s="18">
        <v>5431</v>
      </c>
      <c r="DR13" s="18">
        <v>3420</v>
      </c>
      <c r="DS13" s="18">
        <v>2244</v>
      </c>
      <c r="DT13" s="18">
        <v>3431</v>
      </c>
      <c r="DU13" s="18">
        <v>4264</v>
      </c>
      <c r="DV13" s="18">
        <v>3420</v>
      </c>
      <c r="DW13" s="18">
        <v>3285</v>
      </c>
      <c r="DX13" s="18">
        <v>4114</v>
      </c>
      <c r="DY13" s="18">
        <v>3763</v>
      </c>
      <c r="DZ13" s="18">
        <v>3975</v>
      </c>
      <c r="EA13" s="18">
        <v>5309</v>
      </c>
      <c r="EB13" s="18">
        <v>4957</v>
      </c>
      <c r="EC13" s="18">
        <v>3929</v>
      </c>
      <c r="ED13" s="18">
        <v>5196</v>
      </c>
      <c r="EE13" s="18">
        <v>4090</v>
      </c>
      <c r="EF13" s="18">
        <v>3225</v>
      </c>
      <c r="EG13" s="18">
        <v>5443</v>
      </c>
      <c r="EH13" s="18">
        <v>5241</v>
      </c>
      <c r="EI13" s="18">
        <v>4374</v>
      </c>
      <c r="EJ13" s="18">
        <v>2054</v>
      </c>
      <c r="EK13" s="18">
        <v>6324</v>
      </c>
      <c r="EL13" s="18">
        <v>4919</v>
      </c>
      <c r="EM13" s="886">
        <v>4673</v>
      </c>
      <c r="EN13" s="886">
        <v>2728</v>
      </c>
      <c r="EO13" s="886">
        <v>5426</v>
      </c>
      <c r="EP13" s="886">
        <v>3703</v>
      </c>
      <c r="EQ13" s="886">
        <v>3120</v>
      </c>
      <c r="ER13" s="886">
        <v>2899</v>
      </c>
      <c r="ES13" s="886">
        <v>3856</v>
      </c>
      <c r="ET13" s="886">
        <v>4793</v>
      </c>
      <c r="EU13" s="886">
        <v>5204</v>
      </c>
      <c r="EV13" s="886">
        <v>5718</v>
      </c>
      <c r="EW13" s="886">
        <v>4687</v>
      </c>
      <c r="EX13" s="886">
        <v>5362</v>
      </c>
      <c r="EY13" s="886">
        <v>4295</v>
      </c>
      <c r="EZ13" s="886">
        <v>3662</v>
      </c>
      <c r="FA13" s="886">
        <v>3262</v>
      </c>
      <c r="FB13" s="886">
        <v>4337</v>
      </c>
      <c r="FC13" s="886">
        <v>4359</v>
      </c>
      <c r="FD13" s="886">
        <v>4737</v>
      </c>
      <c r="FE13" s="886">
        <v>4084</v>
      </c>
      <c r="FF13" s="886">
        <v>3237</v>
      </c>
      <c r="FG13" s="886">
        <v>1614</v>
      </c>
      <c r="FH13" s="886">
        <v>4641</v>
      </c>
      <c r="FI13" s="886">
        <v>4641</v>
      </c>
      <c r="FJ13" s="886">
        <v>4915</v>
      </c>
      <c r="FK13" s="886">
        <v>1891</v>
      </c>
      <c r="FL13" s="886">
        <v>3795</v>
      </c>
      <c r="FM13" s="886">
        <v>2332</v>
      </c>
      <c r="FN13" s="886">
        <v>5042</v>
      </c>
      <c r="FO13" s="886">
        <v>2247</v>
      </c>
      <c r="FP13" s="886">
        <v>5666</v>
      </c>
      <c r="FQ13" s="886">
        <v>6328</v>
      </c>
      <c r="FR13" s="886">
        <v>4164</v>
      </c>
      <c r="FS13" s="18">
        <v>3150</v>
      </c>
      <c r="FT13" s="18">
        <v>4139</v>
      </c>
      <c r="FU13" s="18">
        <v>3287</v>
      </c>
      <c r="FV13" s="18">
        <v>4093</v>
      </c>
      <c r="FW13" s="18">
        <v>4319</v>
      </c>
      <c r="FX13" s="18">
        <v>5487</v>
      </c>
      <c r="FY13" s="18">
        <v>3117</v>
      </c>
      <c r="FZ13" s="18">
        <v>5548</v>
      </c>
      <c r="GA13" s="18">
        <v>3522</v>
      </c>
      <c r="GB13" s="18">
        <v>4002</v>
      </c>
      <c r="GC13" s="18">
        <v>3875</v>
      </c>
      <c r="GD13" s="18">
        <v>4170</v>
      </c>
      <c r="GE13" s="18">
        <v>5368</v>
      </c>
      <c r="GF13" s="18">
        <v>3975</v>
      </c>
      <c r="GG13" s="18">
        <v>3856</v>
      </c>
      <c r="GH13" s="18">
        <v>4309</v>
      </c>
      <c r="GI13" s="18">
        <v>2544</v>
      </c>
      <c r="GJ13" s="18">
        <v>2600</v>
      </c>
      <c r="GK13" s="18">
        <v>2976</v>
      </c>
      <c r="GL13" s="18">
        <v>2197</v>
      </c>
      <c r="GM13" s="18">
        <v>2200</v>
      </c>
      <c r="GN13" s="18">
        <v>3959</v>
      </c>
      <c r="GO13" s="18">
        <v>4429</v>
      </c>
      <c r="GP13" s="18">
        <v>4030</v>
      </c>
      <c r="GQ13" s="18">
        <v>4984</v>
      </c>
      <c r="GR13" s="18">
        <v>2717</v>
      </c>
      <c r="GS13" s="18">
        <v>4775</v>
      </c>
      <c r="GT13" s="18">
        <v>5093</v>
      </c>
      <c r="GU13" s="18">
        <v>4325</v>
      </c>
    </row>
    <row r="14" spans="1:203" x14ac:dyDescent="0.2">
      <c r="A14" s="484" t="s">
        <v>282</v>
      </c>
      <c r="B14" s="201"/>
      <c r="C14" s="201"/>
      <c r="D14" s="201"/>
      <c r="E14" s="201"/>
      <c r="F14" s="201">
        <f>902</f>
        <v>902</v>
      </c>
      <c r="G14" s="201">
        <v>5410.6</v>
      </c>
      <c r="H14" s="201">
        <v>4159.8999999999996</v>
      </c>
      <c r="I14" s="201">
        <v>3044.8</v>
      </c>
      <c r="J14" s="201">
        <v>3449.8</v>
      </c>
      <c r="K14" s="201">
        <v>2732</v>
      </c>
      <c r="L14" s="201">
        <v>2997</v>
      </c>
      <c r="M14" s="201">
        <v>2601.5</v>
      </c>
      <c r="N14" s="201">
        <v>3361</v>
      </c>
      <c r="O14" s="201">
        <v>2853</v>
      </c>
      <c r="P14" s="201">
        <v>2547</v>
      </c>
      <c r="Q14" s="201">
        <v>2579.1</v>
      </c>
      <c r="R14" s="201">
        <v>676.6</v>
      </c>
      <c r="S14" s="201">
        <v>1645.3</v>
      </c>
      <c r="T14" s="201">
        <v>5140.8</v>
      </c>
      <c r="U14" s="201">
        <v>3724.3</v>
      </c>
      <c r="V14" s="201">
        <v>3952</v>
      </c>
      <c r="W14" s="201">
        <v>3405.8</v>
      </c>
      <c r="X14" s="201">
        <v>4808.3999999999996</v>
      </c>
      <c r="Y14" s="201">
        <v>1500.2</v>
      </c>
      <c r="Z14" s="201">
        <v>6500</v>
      </c>
      <c r="AA14" s="201">
        <v>6000</v>
      </c>
      <c r="AB14" s="201">
        <v>6000</v>
      </c>
      <c r="AC14" s="201">
        <v>6000</v>
      </c>
      <c r="AD14" s="201">
        <v>4774.3999999999996</v>
      </c>
      <c r="AE14" s="201">
        <v>4801.3999999999996</v>
      </c>
      <c r="AF14" s="201">
        <v>3057.2</v>
      </c>
      <c r="AG14" s="201">
        <v>3556</v>
      </c>
      <c r="AH14" s="201">
        <v>6000</v>
      </c>
      <c r="AI14" s="18">
        <v>3669</v>
      </c>
      <c r="AJ14" s="18">
        <v>3494</v>
      </c>
      <c r="AK14" s="18">
        <v>5059</v>
      </c>
      <c r="AL14" s="18">
        <v>4516</v>
      </c>
      <c r="AM14" s="18">
        <v>5500</v>
      </c>
      <c r="AN14" s="18">
        <v>4500</v>
      </c>
      <c r="AO14" s="18">
        <v>4516</v>
      </c>
      <c r="AP14" s="18">
        <v>4516</v>
      </c>
      <c r="AQ14" s="18">
        <v>1800</v>
      </c>
      <c r="AR14" s="18">
        <f>1902+1000</f>
        <v>2902</v>
      </c>
      <c r="AS14" s="18">
        <v>2669</v>
      </c>
      <c r="AT14" s="18">
        <f>1229+2000</f>
        <v>3229</v>
      </c>
      <c r="AU14" s="18">
        <f>141+1000</f>
        <v>1141</v>
      </c>
      <c r="AV14" s="18">
        <f>216+1000</f>
        <v>1216</v>
      </c>
      <c r="AW14" s="18">
        <f>3387+1000</f>
        <v>4387</v>
      </c>
      <c r="AX14" s="18">
        <f>3859+1000</f>
        <v>4859</v>
      </c>
      <c r="AY14" s="18">
        <f>35+1500</f>
        <v>1535</v>
      </c>
      <c r="AZ14" s="18">
        <v>0</v>
      </c>
      <c r="BA14" s="18">
        <v>0</v>
      </c>
      <c r="BB14" s="18">
        <v>2035</v>
      </c>
      <c r="BC14" s="18">
        <f>3118+1500</f>
        <v>4618</v>
      </c>
      <c r="BD14" s="18">
        <f>2832+1500</f>
        <v>4332</v>
      </c>
      <c r="BE14" s="18">
        <f>3713+1000</f>
        <v>4713</v>
      </c>
      <c r="BF14" s="18">
        <f>2713+1000</f>
        <v>3713</v>
      </c>
      <c r="BG14" s="18">
        <f>2930+500</f>
        <v>3430</v>
      </c>
      <c r="BH14" s="18">
        <f>2616+2000</f>
        <v>4616</v>
      </c>
      <c r="BI14" s="18">
        <f>3560+1500</f>
        <v>5060</v>
      </c>
      <c r="BJ14" s="18">
        <f>2552+1500</f>
        <v>4052</v>
      </c>
      <c r="BK14" s="18">
        <f>1965+3000</f>
        <v>4965</v>
      </c>
      <c r="BL14" s="643">
        <v>4500</v>
      </c>
      <c r="BM14" s="18">
        <f>1108+3000</f>
        <v>4108</v>
      </c>
      <c r="BN14" s="18">
        <f>1108+3000</f>
        <v>4108</v>
      </c>
      <c r="BO14" s="18">
        <f>4625+1000</f>
        <v>5625</v>
      </c>
      <c r="BP14" s="18">
        <f>4192+1000</f>
        <v>5192</v>
      </c>
      <c r="BQ14" s="18">
        <f>2822+500</f>
        <v>3322</v>
      </c>
      <c r="BR14" s="18">
        <f>3821</f>
        <v>3821</v>
      </c>
      <c r="BS14" s="18">
        <v>3885</v>
      </c>
      <c r="BT14" s="18">
        <v>4046</v>
      </c>
      <c r="BU14" s="18">
        <v>3638</v>
      </c>
      <c r="BV14" s="18">
        <v>2839</v>
      </c>
      <c r="BW14" s="18">
        <v>4361</v>
      </c>
      <c r="BX14" s="18">
        <f>4361+500</f>
        <v>4861</v>
      </c>
      <c r="BY14" s="18">
        <f>2482+2000</f>
        <v>4482</v>
      </c>
      <c r="BZ14" s="18">
        <v>5742</v>
      </c>
      <c r="CA14" s="18">
        <v>6711</v>
      </c>
      <c r="CB14" s="18">
        <f>3451+500</f>
        <v>3951</v>
      </c>
      <c r="CC14" s="18">
        <f>4050+1500</f>
        <v>5550</v>
      </c>
      <c r="CD14" s="18">
        <f>3560+800</f>
        <v>4360</v>
      </c>
      <c r="CE14" s="18">
        <f>3985+1500</f>
        <v>5485</v>
      </c>
      <c r="CF14" s="18">
        <v>3570</v>
      </c>
      <c r="CG14" s="18">
        <f>4512+1000</f>
        <v>5512</v>
      </c>
      <c r="CH14" s="18">
        <f>1394+2000</f>
        <v>3394</v>
      </c>
      <c r="CI14" s="18">
        <f>2696+1500</f>
        <v>4196</v>
      </c>
      <c r="CJ14" s="18">
        <f>2696+2500</f>
        <v>5196</v>
      </c>
      <c r="CK14" s="18">
        <f>3189+1500</f>
        <v>4689</v>
      </c>
      <c r="CL14" s="18">
        <f>3604+500</f>
        <v>4104</v>
      </c>
      <c r="CM14" s="18">
        <f>2410+1000</f>
        <v>3410</v>
      </c>
      <c r="CN14" s="18">
        <f>4922+500</f>
        <v>5422</v>
      </c>
      <c r="CO14" s="18">
        <f>4877+500</f>
        <v>5377</v>
      </c>
      <c r="CP14" s="18">
        <f>4233+500</f>
        <v>4733</v>
      </c>
      <c r="CQ14" s="18">
        <f>3652+1500</f>
        <v>5152</v>
      </c>
      <c r="CR14" s="18">
        <f>3235+500</f>
        <v>3735</v>
      </c>
      <c r="CS14" s="18">
        <f>3464+1500</f>
        <v>4964</v>
      </c>
      <c r="CT14" s="18">
        <v>4178</v>
      </c>
      <c r="CU14" s="18">
        <f>4715+1000</f>
        <v>5715</v>
      </c>
      <c r="CV14" s="18">
        <v>3958</v>
      </c>
      <c r="CW14" s="18">
        <f>3814+1000</f>
        <v>4814</v>
      </c>
      <c r="CX14" s="18">
        <v>4418</v>
      </c>
      <c r="CY14" s="18">
        <v>4109</v>
      </c>
      <c r="CZ14" s="18">
        <v>2525</v>
      </c>
      <c r="DA14" s="18">
        <v>4254</v>
      </c>
      <c r="DB14" s="18">
        <f>3705+1000</f>
        <v>4705</v>
      </c>
      <c r="DC14" s="18">
        <f>2562+1000</f>
        <v>3562</v>
      </c>
      <c r="DD14" s="18">
        <f>3220+1000</f>
        <v>4220</v>
      </c>
      <c r="DE14" s="18">
        <f>4170+1000</f>
        <v>5170</v>
      </c>
      <c r="DF14" s="18">
        <f>3200+700</f>
        <v>3900</v>
      </c>
      <c r="DG14" s="18">
        <f>2650+2000</f>
        <v>4650</v>
      </c>
      <c r="DH14" s="18">
        <f>4418+2000</f>
        <v>6418</v>
      </c>
      <c r="DI14" s="18">
        <v>4737</v>
      </c>
      <c r="DJ14" s="18">
        <f>2639+1000</f>
        <v>3639</v>
      </c>
      <c r="DK14" s="18">
        <v>3225</v>
      </c>
      <c r="DL14" s="18">
        <v>2950</v>
      </c>
      <c r="DM14" s="18">
        <v>2807</v>
      </c>
      <c r="DN14" s="18">
        <v>3078</v>
      </c>
      <c r="DO14" s="18">
        <v>2316</v>
      </c>
      <c r="DP14" s="18">
        <v>4525</v>
      </c>
      <c r="DQ14" s="18">
        <v>2244</v>
      </c>
      <c r="DR14" s="18">
        <v>3034</v>
      </c>
      <c r="DS14" s="18">
        <v>3000</v>
      </c>
      <c r="DT14" s="18">
        <v>24</v>
      </c>
      <c r="DU14" s="18">
        <v>4358</v>
      </c>
      <c r="DV14" s="18">
        <v>5718</v>
      </c>
      <c r="DW14" s="18">
        <v>4039</v>
      </c>
      <c r="DX14" s="18">
        <v>4574</v>
      </c>
      <c r="DY14" s="18">
        <v>5077</v>
      </c>
      <c r="DZ14" s="18">
        <v>4580</v>
      </c>
      <c r="EA14" s="18">
        <v>3612</v>
      </c>
      <c r="EB14" s="18">
        <v>2932</v>
      </c>
      <c r="EC14" s="18">
        <v>4547</v>
      </c>
      <c r="ED14" s="18">
        <v>3115</v>
      </c>
      <c r="EE14" s="18">
        <v>3762</v>
      </c>
      <c r="EF14" s="18">
        <v>5496</v>
      </c>
      <c r="EG14" s="18">
        <v>2258</v>
      </c>
      <c r="EH14" s="18">
        <v>3825</v>
      </c>
      <c r="EI14" s="18">
        <v>4238</v>
      </c>
      <c r="EJ14" s="18">
        <v>4705</v>
      </c>
      <c r="EK14" s="18">
        <v>4265</v>
      </c>
      <c r="EL14" s="18">
        <v>5146</v>
      </c>
      <c r="EM14" s="886">
        <v>2891</v>
      </c>
      <c r="EN14" s="886">
        <v>1725</v>
      </c>
      <c r="EO14" s="886">
        <v>2353</v>
      </c>
      <c r="EP14" s="886">
        <v>4696</v>
      </c>
      <c r="EQ14" s="886">
        <v>5587</v>
      </c>
      <c r="ER14" s="886">
        <v>4517</v>
      </c>
      <c r="ES14" s="886">
        <v>4137</v>
      </c>
      <c r="ET14" s="886">
        <v>3780</v>
      </c>
      <c r="EU14" s="886">
        <v>3528</v>
      </c>
      <c r="EV14" s="886">
        <v>4278</v>
      </c>
      <c r="EW14" s="886">
        <v>2439</v>
      </c>
      <c r="EX14" s="886">
        <v>2228</v>
      </c>
      <c r="EY14" s="886">
        <v>3982</v>
      </c>
      <c r="EZ14" s="886">
        <v>5674</v>
      </c>
      <c r="FA14" s="886">
        <v>4507</v>
      </c>
      <c r="FB14" s="886">
        <v>4550</v>
      </c>
      <c r="FC14" s="886">
        <v>4078</v>
      </c>
      <c r="FD14" s="886">
        <v>4603</v>
      </c>
      <c r="FE14" s="886">
        <v>3361</v>
      </c>
      <c r="FF14" s="886">
        <v>4689</v>
      </c>
      <c r="FG14" s="886">
        <v>4492</v>
      </c>
      <c r="FH14" s="886">
        <v>2944</v>
      </c>
      <c r="FI14" s="886">
        <v>2944</v>
      </c>
      <c r="FJ14" s="886">
        <v>2254</v>
      </c>
      <c r="FK14" s="886">
        <v>4179</v>
      </c>
      <c r="FL14" s="886">
        <v>2815</v>
      </c>
      <c r="FM14" s="886">
        <v>2768</v>
      </c>
      <c r="FN14" s="886">
        <v>4102</v>
      </c>
      <c r="FO14" s="886">
        <v>5065</v>
      </c>
      <c r="FP14" s="886">
        <v>2481</v>
      </c>
      <c r="FQ14" s="886">
        <v>2939</v>
      </c>
      <c r="FR14" s="886">
        <v>2848</v>
      </c>
      <c r="FS14" s="18">
        <v>4109</v>
      </c>
      <c r="FT14" s="18">
        <v>5086</v>
      </c>
      <c r="FU14" s="18">
        <v>3933</v>
      </c>
      <c r="FV14" s="18">
        <v>4245</v>
      </c>
      <c r="FW14" s="18">
        <v>3764</v>
      </c>
      <c r="FX14" s="18">
        <v>4069</v>
      </c>
      <c r="FY14" s="18">
        <v>2686</v>
      </c>
      <c r="FZ14" s="18">
        <v>3751</v>
      </c>
      <c r="GA14" s="18">
        <v>4396</v>
      </c>
      <c r="GB14" s="18">
        <v>5340</v>
      </c>
      <c r="GC14" s="18">
        <v>3066</v>
      </c>
      <c r="GD14" s="18">
        <v>4551</v>
      </c>
      <c r="GE14" s="18">
        <v>3485</v>
      </c>
      <c r="GF14" s="18">
        <v>6507</v>
      </c>
      <c r="GG14" s="18">
        <v>3355</v>
      </c>
      <c r="GH14" s="18">
        <v>4409</v>
      </c>
      <c r="GI14" s="18">
        <v>4710</v>
      </c>
      <c r="GJ14" s="18">
        <v>4699</v>
      </c>
      <c r="GK14" s="18">
        <v>3986</v>
      </c>
      <c r="GL14" s="18">
        <v>5576</v>
      </c>
      <c r="GM14" s="18">
        <v>3763</v>
      </c>
      <c r="GN14" s="18">
        <v>4575</v>
      </c>
      <c r="GO14" s="18">
        <v>2328</v>
      </c>
      <c r="GP14" s="18">
        <v>2520</v>
      </c>
      <c r="GQ14" s="18">
        <v>3742</v>
      </c>
      <c r="GR14" s="18">
        <v>5477</v>
      </c>
      <c r="GS14" s="18">
        <v>2662</v>
      </c>
      <c r="GT14" s="18">
        <v>4731</v>
      </c>
      <c r="GU14" s="18">
        <v>2855</v>
      </c>
    </row>
    <row r="15" spans="1:203" hidden="1" x14ac:dyDescent="0.2">
      <c r="A15" s="490" t="s">
        <v>159</v>
      </c>
      <c r="B15" s="491">
        <f>B12-B13+B14</f>
        <v>0</v>
      </c>
      <c r="C15" s="491">
        <f>B15+C12-(C13+C14)</f>
        <v>0</v>
      </c>
      <c r="D15" s="492">
        <f>C15+D12-(D13+D14)</f>
        <v>0</v>
      </c>
      <c r="E15" s="492">
        <f>D15+E12-(E13+E14)</f>
        <v>0</v>
      </c>
      <c r="F15" s="492">
        <f t="shared" ref="F15:AE15" si="0">E15+F12-((F13+F14)*(1-F11))</f>
        <v>488.34000000000003</v>
      </c>
      <c r="G15" s="492">
        <f t="shared" si="0"/>
        <v>1357.5420000000004</v>
      </c>
      <c r="H15" s="492">
        <f t="shared" si="0"/>
        <v>2822.2072000000007</v>
      </c>
      <c r="I15" s="492">
        <f t="shared" si="0"/>
        <v>2307.1776</v>
      </c>
      <c r="J15" s="492">
        <f t="shared" si="0"/>
        <v>3090.5161999999991</v>
      </c>
      <c r="K15" s="492">
        <f t="shared" si="0"/>
        <v>1314.8556999999992</v>
      </c>
      <c r="L15" s="492">
        <f t="shared" si="0"/>
        <v>1500.0056999999988</v>
      </c>
      <c r="M15" s="492">
        <f t="shared" si="0"/>
        <v>695.87669999999889</v>
      </c>
      <c r="N15" s="492">
        <f>M15+N12-((N13+N14)*(1-N11))</f>
        <v>-923.95530000000144</v>
      </c>
      <c r="O15" s="492">
        <f t="shared" si="0"/>
        <v>-1733.3713000000016</v>
      </c>
      <c r="P15" s="492">
        <f t="shared" si="0"/>
        <v>-1771.9633000000017</v>
      </c>
      <c r="Q15" s="492">
        <f t="shared" si="0"/>
        <v>-2164.1309000000015</v>
      </c>
      <c r="R15" s="492">
        <f t="shared" si="0"/>
        <v>-3001.8027000000016</v>
      </c>
      <c r="S15" s="492">
        <f t="shared" si="0"/>
        <v>-2781.7907000000018</v>
      </c>
      <c r="T15" s="492">
        <f t="shared" si="0"/>
        <v>-4233.1909000000014</v>
      </c>
      <c r="U15" s="492">
        <f t="shared" si="0"/>
        <v>-3254.6045000000022</v>
      </c>
      <c r="V15" s="492">
        <f t="shared" si="0"/>
        <v>-5110.3295000000016</v>
      </c>
      <c r="W15" s="492">
        <f t="shared" si="0"/>
        <v>-5251.7907500000019</v>
      </c>
      <c r="X15" s="492">
        <f t="shared" si="0"/>
        <v>-6386.2755500000012</v>
      </c>
      <c r="Y15" s="492">
        <f t="shared" si="0"/>
        <v>-5296.8005000000012</v>
      </c>
      <c r="Z15" s="492">
        <f t="shared" si="0"/>
        <v>-6788.0869000000012</v>
      </c>
      <c r="AA15" s="492">
        <f t="shared" si="0"/>
        <v>-9692.9025500000007</v>
      </c>
      <c r="AB15" s="492">
        <f t="shared" si="0"/>
        <v>-12539.534350000002</v>
      </c>
      <c r="AC15" s="492">
        <f t="shared" si="0"/>
        <v>-14322.075450000002</v>
      </c>
      <c r="AD15" s="492">
        <f t="shared" si="0"/>
        <v>-14808.083450000002</v>
      </c>
      <c r="AE15" s="492">
        <f t="shared" si="0"/>
        <v>-15605.467930000003</v>
      </c>
      <c r="AF15" s="492">
        <f t="shared" ref="AF15" si="1">AE15+AF12-((AF13+AF14)*(1-AF11))</f>
        <v>-15260.412130000002</v>
      </c>
      <c r="AG15" s="492">
        <f t="shared" ref="AG15:AH15" si="2">AF15+AG12-((AG13+AG14)*(1-AG11))</f>
        <v>-15688.205630000002</v>
      </c>
      <c r="AH15" s="492">
        <f t="shared" si="2"/>
        <v>-18161.69513</v>
      </c>
      <c r="AI15" s="18"/>
      <c r="AJ15" s="18"/>
      <c r="AK15" s="18"/>
      <c r="AL15" s="18"/>
      <c r="AM15" s="18"/>
      <c r="AN15" s="18"/>
      <c r="AO15" s="18"/>
      <c r="AP15" s="18"/>
      <c r="AQ15" s="18"/>
      <c r="AR15" s="18"/>
      <c r="AS15" s="18"/>
      <c r="AT15" s="18"/>
      <c r="AU15" s="18"/>
      <c r="AV15" s="18"/>
      <c r="AW15" s="18"/>
      <c r="AX15" s="18"/>
      <c r="AY15" s="18"/>
      <c r="AZ15" s="18"/>
      <c r="BA15" s="18"/>
      <c r="BB15" s="18"/>
      <c r="BC15" s="18"/>
      <c r="BD15" s="18"/>
      <c r="BE15" s="18"/>
      <c r="BF15" s="18"/>
      <c r="BG15" s="18"/>
      <c r="BH15" s="18"/>
      <c r="BI15" s="18"/>
      <c r="BJ15" s="18"/>
      <c r="BK15" s="18"/>
      <c r="BL15" s="18"/>
      <c r="BM15" s="18"/>
      <c r="BN15" s="18"/>
      <c r="BO15" s="18"/>
      <c r="BP15" s="18"/>
      <c r="BQ15" s="18"/>
      <c r="BR15" s="18"/>
      <c r="BS15" s="18"/>
      <c r="BT15" s="18"/>
      <c r="BU15" s="18"/>
      <c r="BV15" s="18"/>
      <c r="BW15" s="18"/>
      <c r="BX15" s="18"/>
      <c r="BY15" s="18"/>
      <c r="BZ15" s="18"/>
      <c r="CA15" s="18"/>
      <c r="CB15" s="18"/>
      <c r="CC15" s="18"/>
      <c r="CD15" s="18"/>
      <c r="CE15" s="18"/>
      <c r="CF15" s="18"/>
      <c r="CG15" s="18"/>
      <c r="CH15" s="18"/>
      <c r="CI15" s="18"/>
      <c r="CJ15" s="18"/>
      <c r="CK15" s="18"/>
      <c r="CL15" s="18"/>
      <c r="CM15" s="18"/>
      <c r="CN15" s="18"/>
      <c r="CO15" s="18"/>
      <c r="CP15" s="18"/>
      <c r="CQ15" s="18"/>
      <c r="CR15" s="18"/>
      <c r="CS15" s="18"/>
      <c r="CT15" s="18"/>
      <c r="CU15" s="18"/>
      <c r="CV15" s="18"/>
      <c r="CW15" s="18"/>
      <c r="CX15" s="18"/>
      <c r="CY15" s="18"/>
      <c r="CZ15" s="18"/>
      <c r="DA15" s="18"/>
      <c r="DB15" s="18"/>
      <c r="DC15" s="18"/>
      <c r="DD15" s="18"/>
      <c r="DE15" s="18"/>
      <c r="DF15" s="18"/>
      <c r="DG15" s="18"/>
      <c r="DH15" s="18"/>
      <c r="DI15" s="18"/>
      <c r="DJ15" s="18"/>
      <c r="DK15" s="18"/>
      <c r="DL15" s="18"/>
      <c r="DM15" s="18"/>
      <c r="DN15" s="18"/>
      <c r="DO15" s="18"/>
      <c r="DP15" s="18"/>
      <c r="DQ15" s="18"/>
      <c r="DR15" s="18"/>
      <c r="DS15" s="18"/>
      <c r="DT15" s="18"/>
      <c r="DU15" s="18"/>
      <c r="DV15" s="18"/>
      <c r="DW15" s="18"/>
      <c r="DX15" s="18"/>
      <c r="DY15" s="18"/>
      <c r="DZ15" s="18"/>
      <c r="EB15" s="815"/>
      <c r="EC15" s="819"/>
      <c r="ED15" s="834"/>
      <c r="EF15" s="838"/>
      <c r="EG15" s="841"/>
      <c r="EH15" s="848"/>
      <c r="EI15" s="851"/>
      <c r="EJ15" s="860"/>
      <c r="EK15" s="862"/>
      <c r="EL15" s="871"/>
      <c r="EM15" s="873"/>
      <c r="EN15" s="890"/>
      <c r="EO15" s="890"/>
      <c r="EP15" s="890"/>
      <c r="EQ15" s="890"/>
      <c r="ER15" s="890"/>
      <c r="ES15" s="890"/>
      <c r="ET15" s="891"/>
      <c r="EU15" s="900"/>
      <c r="EV15" s="901"/>
      <c r="EW15" s="902"/>
      <c r="EX15" s="910"/>
      <c r="EY15" s="910"/>
      <c r="EZ15" s="910"/>
      <c r="FA15" s="910"/>
      <c r="FB15" s="910"/>
      <c r="FC15" s="910"/>
      <c r="FD15" s="912"/>
      <c r="FE15" s="912"/>
      <c r="FF15" s="912"/>
      <c r="FG15" s="919"/>
      <c r="FH15" s="919"/>
      <c r="FI15" s="923"/>
      <c r="FJ15" s="924"/>
      <c r="FK15" s="927"/>
      <c r="FL15" s="927"/>
      <c r="FM15" s="927"/>
      <c r="FN15" s="927"/>
      <c r="FO15" s="928"/>
      <c r="FP15" s="928"/>
      <c r="FQ15" s="930"/>
      <c r="FR15" s="935"/>
      <c r="FS15" s="18"/>
      <c r="FT15" s="18"/>
      <c r="FU15" s="18"/>
      <c r="FV15" s="18"/>
      <c r="FW15" s="18"/>
      <c r="FX15" s="18"/>
      <c r="FY15" s="18"/>
      <c r="FZ15" s="18"/>
      <c r="GA15" s="18"/>
      <c r="GB15" s="18"/>
      <c r="GC15" s="18"/>
      <c r="GD15" s="18"/>
      <c r="GE15" s="18"/>
      <c r="GF15" s="18"/>
      <c r="GG15" s="18"/>
      <c r="GH15" s="18"/>
      <c r="GI15" s="18"/>
      <c r="GJ15" s="18"/>
      <c r="GK15" s="18"/>
      <c r="GL15" s="18"/>
      <c r="GM15" s="18"/>
      <c r="GN15" s="18"/>
      <c r="GO15" s="18"/>
      <c r="GP15" s="18"/>
      <c r="GQ15" s="18"/>
      <c r="GR15" s="18"/>
      <c r="GS15" s="18"/>
      <c r="GT15" s="18"/>
      <c r="GU15" s="18"/>
    </row>
    <row r="16" spans="1:203" x14ac:dyDescent="0.2">
      <c r="A16" s="484" t="s">
        <v>160</v>
      </c>
      <c r="B16" s="201"/>
      <c r="C16" s="201"/>
      <c r="D16" s="201"/>
      <c r="E16" s="201"/>
      <c r="F16" s="201">
        <v>0</v>
      </c>
      <c r="G16" s="201">
        <v>0</v>
      </c>
      <c r="H16" s="201">
        <v>22.1</v>
      </c>
      <c r="I16" s="201">
        <f>3553.7+6</f>
        <v>3559.7</v>
      </c>
      <c r="J16" s="201">
        <v>2090.3000000000002</v>
      </c>
      <c r="K16" s="201">
        <v>1952</v>
      </c>
      <c r="L16" s="201">
        <v>2589</v>
      </c>
      <c r="M16" s="201">
        <f>2846+22.9</f>
        <v>2868.9</v>
      </c>
      <c r="N16" s="201">
        <v>3436</v>
      </c>
      <c r="O16" s="201">
        <f>2675+12.4</f>
        <v>2687.4</v>
      </c>
      <c r="P16" s="201">
        <f>3429+28.3</f>
        <v>3457.3</v>
      </c>
      <c r="Q16" s="201">
        <f>1744.7+10.3</f>
        <v>1755</v>
      </c>
      <c r="R16" s="201">
        <v>2496.8000000000002</v>
      </c>
      <c r="S16" s="201">
        <v>350.7</v>
      </c>
      <c r="T16" s="201">
        <v>4424.8999999999996</v>
      </c>
      <c r="U16" s="201">
        <v>4725.1000000000004</v>
      </c>
      <c r="V16" s="201">
        <v>3760</v>
      </c>
      <c r="W16" s="201">
        <v>3293.1</v>
      </c>
      <c r="X16" s="201">
        <v>3174</v>
      </c>
      <c r="Y16" s="201">
        <v>2464.1</v>
      </c>
      <c r="Z16" s="201">
        <v>4195.7</v>
      </c>
      <c r="AA16" s="201">
        <v>2457.6</v>
      </c>
      <c r="AB16" s="201">
        <v>4721.6000000000004</v>
      </c>
      <c r="AC16" s="201">
        <v>3541.1</v>
      </c>
      <c r="AD16" s="201">
        <v>3837.2</v>
      </c>
      <c r="AE16" s="201">
        <v>5519.9</v>
      </c>
      <c r="AF16" s="201">
        <v>4852.3</v>
      </c>
      <c r="AG16" s="201">
        <v>4654</v>
      </c>
      <c r="AH16" s="201">
        <v>4654</v>
      </c>
      <c r="AI16" s="18">
        <v>4518</v>
      </c>
      <c r="AJ16" s="18">
        <v>4343</v>
      </c>
      <c r="AK16" s="18">
        <v>5279</v>
      </c>
      <c r="AL16" s="18">
        <v>3131</v>
      </c>
      <c r="AM16" s="18">
        <v>3131</v>
      </c>
      <c r="AN16" s="18">
        <v>3092</v>
      </c>
      <c r="AO16" s="18">
        <v>4107</v>
      </c>
      <c r="AP16" s="18">
        <v>4107</v>
      </c>
      <c r="AQ16" s="18"/>
      <c r="AR16" s="18">
        <v>2205</v>
      </c>
      <c r="AS16" s="18">
        <v>3119</v>
      </c>
      <c r="AT16" s="18">
        <v>324</v>
      </c>
      <c r="AU16" s="18">
        <v>3203</v>
      </c>
      <c r="AV16" s="18">
        <v>3736</v>
      </c>
      <c r="AW16" s="18">
        <v>3364</v>
      </c>
      <c r="AX16" s="18">
        <v>5376</v>
      </c>
      <c r="AY16" s="18">
        <v>3787</v>
      </c>
      <c r="AZ16" s="18">
        <v>3732</v>
      </c>
      <c r="BA16" s="18">
        <v>4381</v>
      </c>
      <c r="BB16" s="18">
        <v>3252</v>
      </c>
      <c r="BC16" s="18">
        <v>252</v>
      </c>
      <c r="BD16" s="18">
        <v>2026</v>
      </c>
      <c r="BE16" s="18">
        <v>3905</v>
      </c>
      <c r="BF16" s="18">
        <v>3694</v>
      </c>
      <c r="BG16" s="18">
        <v>3991</v>
      </c>
      <c r="BH16" s="18">
        <f>6010+200</f>
        <v>6210</v>
      </c>
      <c r="BI16" s="18">
        <f>4321+229</f>
        <v>4550</v>
      </c>
      <c r="BJ16" s="18">
        <f>1154+220</f>
        <v>1374</v>
      </c>
      <c r="BK16" s="18">
        <f>8368+351</f>
        <v>8719</v>
      </c>
      <c r="BL16" s="18">
        <v>4840</v>
      </c>
      <c r="BM16" s="18">
        <v>4000</v>
      </c>
      <c r="BN16" s="18">
        <v>4000</v>
      </c>
      <c r="BO16" s="18">
        <v>5992</v>
      </c>
      <c r="BP16" s="18">
        <v>6131</v>
      </c>
      <c r="BQ16" s="18">
        <v>4822</v>
      </c>
      <c r="BR16" s="18">
        <v>1989</v>
      </c>
      <c r="BS16" s="18">
        <v>4208</v>
      </c>
      <c r="BT16" s="18">
        <v>5104</v>
      </c>
      <c r="BU16" s="18">
        <f>3413+94</f>
        <v>3507</v>
      </c>
      <c r="BV16" s="18">
        <v>4196</v>
      </c>
      <c r="BW16" s="18">
        <v>3834</v>
      </c>
      <c r="BX16" s="18">
        <v>4000</v>
      </c>
      <c r="BY16" s="18">
        <v>2000</v>
      </c>
      <c r="BZ16" s="18">
        <v>0</v>
      </c>
      <c r="CA16" s="18">
        <v>3366</v>
      </c>
      <c r="CB16" s="18">
        <f>4712+81</f>
        <v>4793</v>
      </c>
      <c r="CC16" s="18">
        <f>5583+329</f>
        <v>5912</v>
      </c>
      <c r="CD16" s="18">
        <v>5592</v>
      </c>
      <c r="CE16" s="18">
        <v>6418</v>
      </c>
      <c r="CF16" s="18">
        <v>4682</v>
      </c>
      <c r="CG16" s="18">
        <v>4371</v>
      </c>
      <c r="CH16" s="18">
        <v>833</v>
      </c>
      <c r="CI16" s="18">
        <f>2696+119</f>
        <v>2815</v>
      </c>
      <c r="CJ16" s="18">
        <f>2696+119+1500</f>
        <v>4315</v>
      </c>
      <c r="CK16" s="18">
        <f>5363+9</f>
        <v>5372</v>
      </c>
      <c r="CL16" s="18">
        <v>2692</v>
      </c>
      <c r="CM16" s="18">
        <v>1523</v>
      </c>
      <c r="CN16" s="18">
        <v>3972</v>
      </c>
      <c r="CO16" s="18">
        <v>4101</v>
      </c>
      <c r="CP16" s="18">
        <v>3893</v>
      </c>
      <c r="CQ16" s="18">
        <f>5429</f>
        <v>5429</v>
      </c>
      <c r="CR16" s="18">
        <f>4470+297</f>
        <v>4767</v>
      </c>
      <c r="CS16" s="18">
        <f>8174</f>
        <v>8174</v>
      </c>
      <c r="CT16" s="18">
        <v>6380</v>
      </c>
      <c r="CU16" s="18">
        <v>6651</v>
      </c>
      <c r="CV16" s="18">
        <v>4015</v>
      </c>
      <c r="CW16" s="18">
        <f>3101+0</f>
        <v>3101</v>
      </c>
      <c r="CX16" s="18">
        <v>1418</v>
      </c>
      <c r="CY16" s="18">
        <v>4531</v>
      </c>
      <c r="CZ16" s="18">
        <v>3993</v>
      </c>
      <c r="DA16" s="18">
        <v>8319</v>
      </c>
      <c r="DB16" s="18">
        <v>1310</v>
      </c>
      <c r="DC16" s="18">
        <v>2466</v>
      </c>
      <c r="DD16" s="18">
        <v>5512</v>
      </c>
      <c r="DE16" s="18">
        <v>5420</v>
      </c>
      <c r="DF16" s="18">
        <f>3300+2200</f>
        <v>5500</v>
      </c>
      <c r="DG16" s="18">
        <f>3000+3000</f>
        <v>6000</v>
      </c>
      <c r="DH16" s="18">
        <f>1245+65+3000</f>
        <v>4310</v>
      </c>
      <c r="DI16" s="18">
        <v>3350</v>
      </c>
      <c r="DJ16" s="18">
        <v>4050</v>
      </c>
      <c r="DK16" s="18">
        <v>4055</v>
      </c>
      <c r="DL16" s="18">
        <v>4125</v>
      </c>
      <c r="DM16" s="18">
        <v>4272</v>
      </c>
      <c r="DN16" s="18">
        <v>6414</v>
      </c>
      <c r="DO16" s="18">
        <v>1590</v>
      </c>
      <c r="DP16" s="18">
        <v>6550</v>
      </c>
      <c r="DQ16" s="18">
        <v>3669</v>
      </c>
      <c r="DR16" s="18">
        <v>3367</v>
      </c>
      <c r="DS16" s="18">
        <v>5069</v>
      </c>
      <c r="DT16" s="18">
        <v>3894</v>
      </c>
      <c r="DU16" s="18">
        <v>3071</v>
      </c>
      <c r="DV16" s="18">
        <v>4627</v>
      </c>
      <c r="DW16" s="18">
        <v>4633</v>
      </c>
      <c r="DX16" s="18">
        <v>2868</v>
      </c>
      <c r="DY16" s="18">
        <v>3861</v>
      </c>
      <c r="DZ16" s="18">
        <v>3760</v>
      </c>
      <c r="EA16" s="18">
        <v>4563</v>
      </c>
      <c r="EB16" s="18">
        <v>4097</v>
      </c>
      <c r="EC16" s="18">
        <v>3396</v>
      </c>
      <c r="ED16" s="18">
        <v>5568</v>
      </c>
      <c r="EE16" s="18">
        <v>5410</v>
      </c>
      <c r="EF16" s="18">
        <v>7724</v>
      </c>
      <c r="EG16" s="18">
        <v>5146</v>
      </c>
      <c r="EH16" s="18">
        <v>5307</v>
      </c>
      <c r="EI16" s="18">
        <v>5261</v>
      </c>
      <c r="EJ16" s="18">
        <v>6537</v>
      </c>
      <c r="EK16" s="18">
        <v>3730</v>
      </c>
      <c r="EL16" s="18">
        <v>3314</v>
      </c>
      <c r="EM16" s="886">
        <v>6236</v>
      </c>
      <c r="EN16" s="886">
        <v>4050</v>
      </c>
      <c r="EO16" s="886">
        <v>5234</v>
      </c>
      <c r="EP16" s="886">
        <v>3486</v>
      </c>
      <c r="EQ16" s="886">
        <v>3464</v>
      </c>
      <c r="ER16" s="886">
        <v>4145</v>
      </c>
      <c r="ES16" s="886">
        <v>4221</v>
      </c>
      <c r="ET16" s="886">
        <v>2999</v>
      </c>
      <c r="EU16" s="886">
        <v>4494</v>
      </c>
      <c r="EV16" s="886">
        <v>5176</v>
      </c>
      <c r="EW16" s="886">
        <v>4317</v>
      </c>
      <c r="EX16" s="886">
        <v>4140</v>
      </c>
      <c r="EY16" s="886">
        <v>3728</v>
      </c>
      <c r="EZ16" s="886">
        <v>4702</v>
      </c>
      <c r="FA16" s="886">
        <v>5321</v>
      </c>
      <c r="FB16" s="886">
        <v>4535</v>
      </c>
      <c r="FC16" s="886">
        <v>4126</v>
      </c>
      <c r="FD16" s="886">
        <v>4463</v>
      </c>
      <c r="FE16" s="886">
        <v>3464</v>
      </c>
      <c r="FF16" s="886">
        <v>3461</v>
      </c>
      <c r="FG16" s="886">
        <v>2874</v>
      </c>
      <c r="FH16" s="886">
        <v>3675</v>
      </c>
      <c r="FI16" s="886">
        <v>3675</v>
      </c>
      <c r="FJ16" s="886">
        <v>5108</v>
      </c>
      <c r="FK16" s="886">
        <v>3197</v>
      </c>
      <c r="FL16" s="886">
        <v>4424</v>
      </c>
      <c r="FM16" s="886">
        <v>4966</v>
      </c>
      <c r="FN16" s="886">
        <v>2542</v>
      </c>
      <c r="FO16" s="886">
        <v>3880</v>
      </c>
      <c r="FP16" s="886">
        <v>5780</v>
      </c>
      <c r="FQ16" s="886">
        <v>4005</v>
      </c>
      <c r="FR16" s="886">
        <v>3441</v>
      </c>
      <c r="FS16" s="18">
        <v>4330</v>
      </c>
      <c r="FT16" s="18">
        <v>4063</v>
      </c>
      <c r="FU16" s="18">
        <v>4166</v>
      </c>
      <c r="FV16" s="18">
        <v>3845</v>
      </c>
      <c r="FW16" s="18">
        <v>4613</v>
      </c>
      <c r="FX16" s="18">
        <v>4607</v>
      </c>
      <c r="FY16" s="18">
        <v>3117</v>
      </c>
      <c r="FZ16" s="18">
        <v>3888</v>
      </c>
      <c r="GA16" s="18">
        <v>4767</v>
      </c>
      <c r="GB16" s="18">
        <v>4854</v>
      </c>
      <c r="GC16" s="18">
        <v>3649</v>
      </c>
      <c r="GD16" s="18">
        <v>3788</v>
      </c>
      <c r="GE16" s="18">
        <v>3447</v>
      </c>
      <c r="GF16" s="18">
        <v>4068</v>
      </c>
      <c r="GG16" s="18">
        <v>5536</v>
      </c>
      <c r="GH16" s="18">
        <v>4724</v>
      </c>
      <c r="GI16" s="18">
        <v>4399</v>
      </c>
      <c r="GJ16" s="18">
        <v>4422</v>
      </c>
      <c r="GK16" s="18">
        <v>3618</v>
      </c>
      <c r="GL16" s="18">
        <v>2935</v>
      </c>
      <c r="GM16" s="18">
        <v>900</v>
      </c>
      <c r="GN16" s="18">
        <v>4932</v>
      </c>
      <c r="GO16" s="18">
        <v>3363</v>
      </c>
      <c r="GP16" s="18">
        <v>3420</v>
      </c>
      <c r="GQ16" s="18">
        <v>4796</v>
      </c>
      <c r="GR16" s="18">
        <v>4267</v>
      </c>
      <c r="GS16" s="18">
        <v>4008</v>
      </c>
      <c r="GT16" s="18">
        <v>4023</v>
      </c>
      <c r="GU16" s="18">
        <v>5520</v>
      </c>
    </row>
    <row r="17" spans="1:203" hidden="1" x14ac:dyDescent="0.2">
      <c r="A17" s="484" t="s">
        <v>161</v>
      </c>
      <c r="B17" s="201"/>
      <c r="C17" s="201"/>
      <c r="D17" s="201"/>
      <c r="E17" s="201"/>
      <c r="F17" s="201">
        <v>0</v>
      </c>
      <c r="G17" s="201">
        <v>0</v>
      </c>
      <c r="H17" s="201">
        <v>179.2</v>
      </c>
      <c r="I17" s="201">
        <v>93.6</v>
      </c>
      <c r="J17" s="201">
        <v>398</v>
      </c>
      <c r="K17" s="201">
        <v>405</v>
      </c>
      <c r="L17" s="201">
        <v>687</v>
      </c>
      <c r="M17" s="201">
        <v>650</v>
      </c>
      <c r="N17" s="201">
        <v>691</v>
      </c>
      <c r="O17" s="201">
        <v>414</v>
      </c>
      <c r="P17" s="201">
        <v>353</v>
      </c>
      <c r="Q17" s="201">
        <v>1334.8</v>
      </c>
      <c r="R17" s="201">
        <v>266</v>
      </c>
      <c r="S17" s="201">
        <v>570.20000000000005</v>
      </c>
      <c r="T17" s="201">
        <v>570.20000000000005</v>
      </c>
      <c r="U17" s="201">
        <v>570.20000000000005</v>
      </c>
      <c r="V17" s="201">
        <v>570.20000000000005</v>
      </c>
      <c r="W17" s="201">
        <v>570.20000000000005</v>
      </c>
      <c r="X17" s="201">
        <v>570.20000000000005</v>
      </c>
      <c r="Y17" s="201">
        <v>570.20000000000005</v>
      </c>
      <c r="Z17" s="201">
        <v>570.20000000000005</v>
      </c>
      <c r="AA17" s="201">
        <v>570.20000000000005</v>
      </c>
      <c r="AB17" s="201">
        <v>570.20000000000005</v>
      </c>
      <c r="AC17" s="201">
        <v>570.20000000000005</v>
      </c>
      <c r="AD17" s="201">
        <v>570.20000000000005</v>
      </c>
      <c r="AE17" s="201">
        <v>570.20000000000005</v>
      </c>
      <c r="AF17" s="201">
        <v>570.20000000000005</v>
      </c>
      <c r="AG17" s="201">
        <v>570.20000000000005</v>
      </c>
      <c r="AH17" s="201">
        <v>570.20000000000005</v>
      </c>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8"/>
      <c r="BK17" s="18"/>
      <c r="BL17" s="18"/>
      <c r="BM17" s="18"/>
      <c r="BN17" s="18"/>
      <c r="BO17" s="18"/>
      <c r="BP17" s="18"/>
      <c r="BQ17" s="18"/>
      <c r="BR17" s="18"/>
      <c r="BS17" s="18"/>
      <c r="BT17" s="18"/>
      <c r="BU17" s="18"/>
      <c r="BV17" s="18"/>
      <c r="BW17" s="18"/>
      <c r="BX17" s="18"/>
      <c r="BY17" s="18"/>
      <c r="BZ17" s="18"/>
      <c r="CA17" s="18"/>
      <c r="CB17" s="18"/>
      <c r="CC17" s="18"/>
      <c r="CD17" s="18"/>
      <c r="CE17" s="18"/>
      <c r="CF17" s="18"/>
      <c r="CG17" s="18"/>
      <c r="CH17" s="18"/>
      <c r="CI17" s="18"/>
      <c r="CJ17" s="18"/>
      <c r="CK17" s="18"/>
      <c r="CL17" s="18"/>
      <c r="CM17" s="18"/>
      <c r="CN17" s="18"/>
      <c r="CO17" s="18"/>
      <c r="CP17" s="18"/>
      <c r="CQ17" s="18"/>
      <c r="CR17" s="18"/>
      <c r="CS17" s="18"/>
      <c r="CT17" s="18"/>
      <c r="CU17" s="18"/>
      <c r="CV17" s="18"/>
      <c r="CW17" s="18"/>
      <c r="CX17" s="18"/>
      <c r="CY17" s="18"/>
      <c r="CZ17" s="18"/>
      <c r="DA17" s="18"/>
      <c r="DB17" s="18"/>
      <c r="DC17" s="18"/>
      <c r="DD17" s="18"/>
      <c r="DE17" s="18"/>
      <c r="DF17" s="18"/>
      <c r="DG17" s="18"/>
      <c r="DH17" s="18"/>
      <c r="DI17" s="18"/>
      <c r="DJ17" s="18"/>
      <c r="DK17" s="18"/>
      <c r="DL17" s="18"/>
      <c r="DM17" s="18"/>
      <c r="DN17" s="18"/>
      <c r="DO17" s="18"/>
      <c r="DP17" s="18"/>
      <c r="DQ17" s="18"/>
      <c r="DR17" s="18"/>
      <c r="DS17" s="18"/>
      <c r="DT17" s="18"/>
      <c r="DU17" s="18"/>
      <c r="DV17" s="18"/>
      <c r="DW17" s="18"/>
      <c r="DX17" s="18"/>
      <c r="DY17" s="18"/>
      <c r="DZ17" s="18"/>
      <c r="EB17" s="815"/>
      <c r="EC17" s="819"/>
      <c r="ED17" s="834"/>
      <c r="EF17" s="838"/>
      <c r="EG17" s="841"/>
      <c r="EH17" s="848"/>
      <c r="EI17" s="851"/>
      <c r="EJ17" s="860"/>
      <c r="EK17" s="862"/>
      <c r="EL17" s="871"/>
      <c r="EM17" s="873"/>
      <c r="EN17" s="890"/>
      <c r="EO17" s="890"/>
      <c r="EP17" s="890"/>
      <c r="EQ17" s="890"/>
      <c r="ER17" s="890"/>
      <c r="ES17" s="890"/>
      <c r="ET17" s="891"/>
      <c r="EU17" s="900"/>
      <c r="EV17" s="901"/>
      <c r="EW17" s="902"/>
      <c r="EX17" s="910"/>
      <c r="EY17" s="910"/>
      <c r="EZ17" s="910"/>
      <c r="FA17" s="910"/>
      <c r="FB17" s="910"/>
      <c r="FC17" s="910"/>
      <c r="FD17" s="912"/>
      <c r="FE17" s="912"/>
      <c r="FF17" s="912"/>
      <c r="FG17" s="919"/>
      <c r="FH17" s="919"/>
      <c r="FI17" s="923"/>
      <c r="FJ17" s="924"/>
      <c r="FK17" s="927"/>
      <c r="FL17" s="927"/>
      <c r="FM17" s="927"/>
      <c r="FN17" s="927"/>
      <c r="FO17" s="928"/>
      <c r="FP17" s="928"/>
      <c r="FQ17" s="930"/>
      <c r="FR17" s="935"/>
      <c r="FS17" s="18"/>
      <c r="FT17" s="18"/>
      <c r="FU17" s="18"/>
      <c r="FV17" s="18"/>
      <c r="FW17" s="18"/>
      <c r="FX17" s="18"/>
      <c r="FY17" s="18"/>
      <c r="FZ17" s="18"/>
      <c r="GA17" s="18"/>
      <c r="GB17" s="18"/>
      <c r="GC17" s="18"/>
      <c r="GD17" s="18"/>
      <c r="GE17" s="18"/>
      <c r="GF17" s="18"/>
      <c r="GG17" s="18"/>
      <c r="GH17" s="18"/>
      <c r="GI17" s="18"/>
      <c r="GJ17" s="18"/>
      <c r="GK17" s="18"/>
      <c r="GL17" s="18"/>
      <c r="GM17" s="18"/>
      <c r="GN17" s="18"/>
      <c r="GO17" s="18"/>
      <c r="GP17" s="18"/>
      <c r="GQ17" s="18"/>
      <c r="GR17" s="18"/>
      <c r="GS17" s="18"/>
      <c r="GT17" s="18"/>
      <c r="GU17" s="18"/>
    </row>
    <row r="18" spans="1:203" x14ac:dyDescent="0.2">
      <c r="A18" s="484" t="s">
        <v>162</v>
      </c>
      <c r="B18" s="201"/>
      <c r="C18" s="201"/>
      <c r="D18" s="201"/>
      <c r="E18" s="201"/>
      <c r="F18" s="201">
        <f>1.4+1.1</f>
        <v>2.5</v>
      </c>
      <c r="G18" s="201">
        <v>7.4</v>
      </c>
      <c r="H18" s="201">
        <v>3632.4</v>
      </c>
      <c r="I18" s="201">
        <v>2695.9</v>
      </c>
      <c r="J18" s="201">
        <v>2039.6</v>
      </c>
      <c r="K18" s="201">
        <v>4436</v>
      </c>
      <c r="L18" s="201">
        <v>2705.1</v>
      </c>
      <c r="M18" s="201">
        <v>2483</v>
      </c>
      <c r="N18" s="201">
        <v>2144</v>
      </c>
      <c r="O18" s="201">
        <v>1633</v>
      </c>
      <c r="P18" s="201">
        <v>1116</v>
      </c>
      <c r="Q18" s="201">
        <v>2335.1999999999998</v>
      </c>
      <c r="R18" s="201">
        <v>1937.6</v>
      </c>
      <c r="S18" s="201">
        <v>3466.5</v>
      </c>
      <c r="T18" s="201">
        <v>815.4</v>
      </c>
      <c r="U18" s="201">
        <v>284.39999999999998</v>
      </c>
      <c r="V18" s="201">
        <v>2384</v>
      </c>
      <c r="W18" s="201">
        <v>3202.5</v>
      </c>
      <c r="X18" s="201">
        <v>2938.1</v>
      </c>
      <c r="Y18" s="201">
        <v>705</v>
      </c>
      <c r="Z18" s="201">
        <v>50</v>
      </c>
      <c r="AA18" s="201">
        <v>50</v>
      </c>
      <c r="AB18" s="201">
        <v>50</v>
      </c>
      <c r="AC18" s="201">
        <v>74</v>
      </c>
      <c r="AD18" s="201">
        <v>2097.5</v>
      </c>
      <c r="AE18" s="201">
        <v>351.5</v>
      </c>
      <c r="AF18" s="201">
        <v>1800</v>
      </c>
      <c r="AG18" s="201">
        <v>1636</v>
      </c>
      <c r="AH18" s="201">
        <v>700</v>
      </c>
      <c r="AI18" s="18">
        <v>1122</v>
      </c>
      <c r="AJ18" s="18">
        <v>1564</v>
      </c>
      <c r="AK18" s="18">
        <v>433</v>
      </c>
      <c r="AL18" s="18">
        <v>701</v>
      </c>
      <c r="AM18" s="18">
        <v>2500</v>
      </c>
      <c r="AN18" s="18">
        <v>1500</v>
      </c>
      <c r="AO18" s="18">
        <v>2000</v>
      </c>
      <c r="AP18" s="18">
        <v>2000</v>
      </c>
      <c r="AQ18" s="18"/>
      <c r="AR18" s="18">
        <v>2467</v>
      </c>
      <c r="AS18" s="18">
        <v>842</v>
      </c>
      <c r="AT18" s="18">
        <v>1766</v>
      </c>
      <c r="AU18" s="18">
        <v>0</v>
      </c>
      <c r="AV18" s="18">
        <v>0</v>
      </c>
      <c r="AW18" s="18">
        <v>516</v>
      </c>
      <c r="AX18" s="18">
        <v>560</v>
      </c>
      <c r="AY18" s="18">
        <v>0</v>
      </c>
      <c r="AZ18" s="18">
        <v>0</v>
      </c>
      <c r="BA18" s="18">
        <v>93</v>
      </c>
      <c r="BB18" s="18">
        <v>417</v>
      </c>
      <c r="BC18" s="18">
        <v>5122</v>
      </c>
      <c r="BD18" s="18">
        <v>3623</v>
      </c>
      <c r="BE18" s="18">
        <v>2549</v>
      </c>
      <c r="BF18" s="18">
        <v>3823</v>
      </c>
      <c r="BG18" s="18">
        <v>3759</v>
      </c>
      <c r="BH18" s="18">
        <f>261+16</f>
        <v>277</v>
      </c>
      <c r="BI18" s="18">
        <f>2791+56</f>
        <v>2847</v>
      </c>
      <c r="BJ18" s="18">
        <f>5617+336</f>
        <v>5953</v>
      </c>
      <c r="BK18" s="18">
        <v>0</v>
      </c>
      <c r="BL18" s="643">
        <v>3500</v>
      </c>
      <c r="BM18" s="18">
        <v>4000</v>
      </c>
      <c r="BN18" s="18">
        <v>4000</v>
      </c>
      <c r="BO18" s="18">
        <v>1084</v>
      </c>
      <c r="BP18" s="18">
        <v>1257</v>
      </c>
      <c r="BQ18" s="18">
        <v>2780</v>
      </c>
      <c r="BR18" s="18">
        <v>4488</v>
      </c>
      <c r="BS18" s="18">
        <v>3006</v>
      </c>
      <c r="BT18" s="18">
        <v>3012</v>
      </c>
      <c r="BU18" s="18">
        <f>4083+152</f>
        <v>4235</v>
      </c>
      <c r="BV18" s="18">
        <v>2839</v>
      </c>
      <c r="BW18" s="18">
        <v>3306</v>
      </c>
      <c r="BX18" s="18">
        <v>4200</v>
      </c>
      <c r="BY18" s="18">
        <f>3857+204</f>
        <v>4061</v>
      </c>
      <c r="BZ18" s="18">
        <v>4781</v>
      </c>
      <c r="CA18" s="18">
        <v>1042</v>
      </c>
      <c r="CB18" s="18">
        <f>1528+569</f>
        <v>2097</v>
      </c>
      <c r="CC18" s="18">
        <f>2603+799</f>
        <v>3402</v>
      </c>
      <c r="CD18" s="18">
        <v>3517</v>
      </c>
      <c r="CE18" s="18">
        <v>2142</v>
      </c>
      <c r="CF18" s="18">
        <v>3122</v>
      </c>
      <c r="CG18" s="18">
        <v>2861</v>
      </c>
      <c r="CH18" s="18">
        <v>6093</v>
      </c>
      <c r="CI18" s="18">
        <f>2473+832</f>
        <v>3305</v>
      </c>
      <c r="CJ18" s="18">
        <f>2473+832+1000</f>
        <v>4305</v>
      </c>
      <c r="CK18" s="18">
        <f>2271+63</f>
        <v>2334</v>
      </c>
      <c r="CL18" s="18">
        <v>3452</v>
      </c>
      <c r="CM18" s="18">
        <v>2567</v>
      </c>
      <c r="CN18" s="18">
        <v>4151</v>
      </c>
      <c r="CO18" s="18">
        <v>2975</v>
      </c>
      <c r="CP18" s="18">
        <f>2770+500</f>
        <v>3270</v>
      </c>
      <c r="CQ18" s="18">
        <f>2944+96</f>
        <v>3040</v>
      </c>
      <c r="CR18" s="18">
        <f>2381+16</f>
        <v>2397</v>
      </c>
      <c r="CS18" s="18">
        <f>586+133</f>
        <v>719</v>
      </c>
      <c r="CT18" s="18">
        <v>64</v>
      </c>
      <c r="CU18" s="18">
        <f>707+500</f>
        <v>1207</v>
      </c>
      <c r="CV18" s="18">
        <f>2083+500</f>
        <v>2583</v>
      </c>
      <c r="CW18" s="18">
        <f>4233+77</f>
        <v>4310</v>
      </c>
      <c r="CX18" s="18">
        <v>3146</v>
      </c>
      <c r="CY18" s="18">
        <v>3948</v>
      </c>
      <c r="CZ18" s="18">
        <v>3986</v>
      </c>
      <c r="DA18" s="18">
        <v>57</v>
      </c>
      <c r="DB18" s="18">
        <v>4418</v>
      </c>
      <c r="DC18" s="18">
        <v>3471</v>
      </c>
      <c r="DD18" s="18">
        <v>2178</v>
      </c>
      <c r="DE18" s="18">
        <v>2350</v>
      </c>
      <c r="DF18" s="18">
        <f>2280+500</f>
        <v>2780</v>
      </c>
      <c r="DG18" s="18">
        <f>1566+300</f>
        <v>1866</v>
      </c>
      <c r="DH18" s="18">
        <f>762+113+2500</f>
        <v>3375</v>
      </c>
      <c r="DI18" s="18">
        <v>2203</v>
      </c>
      <c r="DJ18" s="18">
        <v>4301</v>
      </c>
      <c r="DK18" s="18">
        <v>3275</v>
      </c>
      <c r="DL18" s="18">
        <v>3150</v>
      </c>
      <c r="DM18" s="18">
        <v>3113</v>
      </c>
      <c r="DN18" s="18">
        <v>1367</v>
      </c>
      <c r="DO18" s="18">
        <v>3936</v>
      </c>
      <c r="DP18" s="18">
        <v>1425</v>
      </c>
      <c r="DQ18" s="18">
        <v>2961</v>
      </c>
      <c r="DR18" s="18">
        <v>2303</v>
      </c>
      <c r="DS18" s="18">
        <v>747</v>
      </c>
      <c r="DT18" s="18">
        <v>747</v>
      </c>
      <c r="DU18" s="18">
        <v>4510</v>
      </c>
      <c r="DV18" s="18">
        <v>4496</v>
      </c>
      <c r="DW18" s="18">
        <v>4544</v>
      </c>
      <c r="DX18" s="18">
        <v>5579</v>
      </c>
      <c r="DY18" s="18">
        <v>4402</v>
      </c>
      <c r="DZ18" s="18">
        <v>4105</v>
      </c>
      <c r="EA18" s="18">
        <v>3695</v>
      </c>
      <c r="EB18" s="18">
        <v>3046</v>
      </c>
      <c r="EC18" s="18">
        <v>3801</v>
      </c>
      <c r="ED18" s="18">
        <v>2285</v>
      </c>
      <c r="EE18" s="18">
        <v>2233</v>
      </c>
      <c r="EF18" s="18">
        <v>909</v>
      </c>
      <c r="EG18" s="18">
        <v>1830</v>
      </c>
      <c r="EH18" s="18">
        <v>1872</v>
      </c>
      <c r="EI18" s="18">
        <v>1519</v>
      </c>
      <c r="EJ18" s="18">
        <v>1614</v>
      </c>
      <c r="EK18" s="18">
        <v>4365</v>
      </c>
      <c r="EL18" s="18">
        <v>3947</v>
      </c>
      <c r="EM18" s="886">
        <v>1205</v>
      </c>
      <c r="EN18" s="886">
        <v>3038</v>
      </c>
      <c r="EO18" s="886">
        <v>208</v>
      </c>
      <c r="EP18" s="886">
        <v>2595</v>
      </c>
      <c r="EQ18" s="886">
        <v>2792</v>
      </c>
      <c r="ER18" s="886">
        <v>4368</v>
      </c>
      <c r="ES18" s="886">
        <v>2185</v>
      </c>
      <c r="ET18" s="886">
        <v>3158</v>
      </c>
      <c r="EU18" s="886">
        <v>3965</v>
      </c>
      <c r="EV18" s="886">
        <v>3782</v>
      </c>
      <c r="EW18" s="886">
        <v>3209</v>
      </c>
      <c r="EX18" s="886">
        <v>2711</v>
      </c>
      <c r="EY18" s="886">
        <v>3441</v>
      </c>
      <c r="EZ18" s="886">
        <v>3853</v>
      </c>
      <c r="FA18" s="886">
        <v>1625</v>
      </c>
      <c r="FB18" s="886">
        <v>3543</v>
      </c>
      <c r="FC18" s="886">
        <v>3378</v>
      </c>
      <c r="FD18" s="886">
        <v>3882</v>
      </c>
      <c r="FE18" s="886">
        <v>3375</v>
      </c>
      <c r="FF18" s="886">
        <v>3403</v>
      </c>
      <c r="FG18" s="886">
        <v>4162</v>
      </c>
      <c r="FH18" s="886">
        <v>2825</v>
      </c>
      <c r="FI18" s="886">
        <v>2825</v>
      </c>
      <c r="FJ18" s="886">
        <v>631</v>
      </c>
      <c r="FK18" s="886">
        <v>1439</v>
      </c>
      <c r="FL18" s="886">
        <v>2114</v>
      </c>
      <c r="FM18" s="886">
        <v>1553</v>
      </c>
      <c r="FN18" s="886">
        <v>5007</v>
      </c>
      <c r="FO18" s="886">
        <v>2903</v>
      </c>
      <c r="FP18" s="886">
        <v>2903</v>
      </c>
      <c r="FQ18" s="886">
        <v>3405</v>
      </c>
      <c r="FR18" s="886">
        <v>2012</v>
      </c>
      <c r="FS18" s="18">
        <v>3948</v>
      </c>
      <c r="FT18" s="18">
        <v>3896</v>
      </c>
      <c r="FU18" s="18">
        <v>2973</v>
      </c>
      <c r="FV18" s="18">
        <v>3172</v>
      </c>
      <c r="FW18" s="18">
        <v>2697</v>
      </c>
      <c r="FX18" s="18">
        <v>3712</v>
      </c>
      <c r="FY18" s="18">
        <v>2686</v>
      </c>
      <c r="FZ18" s="18">
        <v>3134</v>
      </c>
      <c r="GA18" s="18">
        <v>2242</v>
      </c>
      <c r="GB18" s="18">
        <v>2908</v>
      </c>
      <c r="GC18" s="18">
        <v>3021</v>
      </c>
      <c r="GD18" s="18">
        <v>2239</v>
      </c>
      <c r="GE18" s="18">
        <v>3267</v>
      </c>
      <c r="GF18" s="18">
        <v>3389</v>
      </c>
      <c r="GG18" s="18">
        <v>2929</v>
      </c>
      <c r="GH18" s="18">
        <v>3375</v>
      </c>
      <c r="GI18" s="18">
        <v>3563</v>
      </c>
      <c r="GJ18" s="18">
        <v>3652</v>
      </c>
      <c r="GK18" s="18">
        <v>3553</v>
      </c>
      <c r="GL18" s="18">
        <v>3527</v>
      </c>
      <c r="GM18" s="18">
        <v>5883</v>
      </c>
      <c r="GN18" s="18">
        <v>2335</v>
      </c>
      <c r="GO18" s="18">
        <v>3151</v>
      </c>
      <c r="GP18" s="18">
        <v>3020</v>
      </c>
      <c r="GQ18" s="18">
        <v>2859</v>
      </c>
      <c r="GR18" s="18">
        <v>2429</v>
      </c>
      <c r="GS18" s="18">
        <v>3697</v>
      </c>
      <c r="GT18" s="18">
        <v>3106</v>
      </c>
      <c r="GU18" s="18">
        <v>2150</v>
      </c>
    </row>
    <row r="19" spans="1:203" ht="15.75" hidden="1" customHeight="1" x14ac:dyDescent="0.2">
      <c r="A19" s="484" t="s">
        <v>163</v>
      </c>
      <c r="B19" s="201"/>
      <c r="C19" s="201"/>
      <c r="D19" s="201"/>
      <c r="E19" s="201"/>
      <c r="F19" s="201">
        <v>34.5</v>
      </c>
      <c r="G19" s="201">
        <v>126.2</v>
      </c>
      <c r="H19" s="201">
        <v>232.8</v>
      </c>
      <c r="I19" s="201">
        <v>392.5</v>
      </c>
      <c r="J19" s="201">
        <v>637.1</v>
      </c>
      <c r="K19" s="201">
        <v>99</v>
      </c>
      <c r="L19" s="201">
        <v>375</v>
      </c>
      <c r="M19" s="201">
        <v>830</v>
      </c>
      <c r="N19" s="201">
        <v>344</v>
      </c>
      <c r="O19" s="201">
        <v>608</v>
      </c>
      <c r="P19" s="201">
        <v>310</v>
      </c>
      <c r="Q19" s="201">
        <v>416.9</v>
      </c>
      <c r="R19" s="201">
        <v>391</v>
      </c>
      <c r="S19" s="201">
        <v>325.89999999999998</v>
      </c>
      <c r="T19" s="201">
        <v>325.89999999999998</v>
      </c>
      <c r="U19" s="201">
        <v>325.89999999999998</v>
      </c>
      <c r="V19" s="201">
        <v>325.89999999999998</v>
      </c>
      <c r="W19" s="201">
        <v>325.89999999999998</v>
      </c>
      <c r="X19" s="201">
        <v>325.89999999999998</v>
      </c>
      <c r="Y19" s="201">
        <v>325.89999999999998</v>
      </c>
      <c r="Z19" s="201">
        <v>325.89999999999998</v>
      </c>
      <c r="AA19" s="201">
        <v>325.89999999999998</v>
      </c>
      <c r="AB19" s="201">
        <v>325.89999999999998</v>
      </c>
      <c r="AC19" s="201">
        <v>325.89999999999998</v>
      </c>
      <c r="AD19" s="201">
        <v>325.89999999999998</v>
      </c>
      <c r="AE19" s="201">
        <v>325.89999999999998</v>
      </c>
      <c r="AF19" s="201">
        <v>325.89999999999998</v>
      </c>
      <c r="AG19" s="201">
        <v>325.89999999999998</v>
      </c>
      <c r="AH19" s="201">
        <v>325.89999999999998</v>
      </c>
      <c r="AI19" s="554"/>
      <c r="AJ19" s="554"/>
      <c r="AK19" s="554"/>
      <c r="AL19" s="557"/>
      <c r="AM19" s="564"/>
      <c r="AN19" s="564"/>
      <c r="AO19" s="564"/>
      <c r="AP19" s="567"/>
      <c r="AQ19" s="575"/>
      <c r="AR19" s="575"/>
      <c r="AS19" s="575"/>
      <c r="AT19" s="575"/>
      <c r="AU19" s="577"/>
      <c r="AV19" s="580"/>
      <c r="AW19" s="588"/>
      <c r="AX19" s="588"/>
      <c r="AY19" s="588"/>
      <c r="AZ19" s="591"/>
      <c r="BA19" s="615"/>
      <c r="BB19" s="596"/>
      <c r="BC19" s="599"/>
      <c r="BD19" s="602"/>
      <c r="BE19" s="605"/>
      <c r="BF19" s="608"/>
      <c r="BG19" s="611"/>
      <c r="BH19" s="617"/>
      <c r="BI19" s="624"/>
      <c r="BJ19" s="628"/>
      <c r="BK19" s="630"/>
      <c r="BL19" s="633"/>
      <c r="BM19" s="636"/>
      <c r="BN19" s="640"/>
      <c r="BO19" s="647"/>
      <c r="BP19" s="650"/>
      <c r="BQ19" s="653"/>
      <c r="BR19" s="658"/>
      <c r="BS19" s="659"/>
      <c r="BT19" s="661"/>
      <c r="BU19" s="665"/>
      <c r="BV19" s="667"/>
      <c r="BW19" s="670"/>
      <c r="BX19" s="676"/>
      <c r="BY19" s="676"/>
      <c r="BZ19" s="678"/>
      <c r="CA19" s="679"/>
      <c r="CB19" s="681"/>
      <c r="CC19" s="682"/>
      <c r="CD19" s="683"/>
      <c r="CE19" s="683"/>
      <c r="CF19" s="684"/>
      <c r="CG19" s="685"/>
      <c r="CH19" s="687"/>
      <c r="CI19" s="709"/>
      <c r="CJ19" s="709"/>
      <c r="CK19" s="709"/>
      <c r="CL19" s="711"/>
      <c r="CM19" s="712"/>
      <c r="CN19" s="724"/>
      <c r="CO19" s="726"/>
      <c r="CP19" s="729"/>
      <c r="CQ19" s="733"/>
      <c r="CR19" s="737"/>
      <c r="CS19" s="741"/>
      <c r="CT19" s="742"/>
      <c r="CU19" s="743"/>
      <c r="CV19" s="744"/>
      <c r="CW19" s="745"/>
      <c r="CX19" s="750"/>
      <c r="CY19" s="751"/>
      <c r="CZ19" s="752"/>
      <c r="DA19" s="756"/>
      <c r="DB19" s="759"/>
      <c r="DC19" s="760"/>
      <c r="DD19" s="761"/>
      <c r="DE19" s="762"/>
      <c r="DF19" s="762"/>
      <c r="DG19" s="762"/>
      <c r="DH19" s="763"/>
      <c r="DI19" s="764"/>
      <c r="DJ19" s="765"/>
      <c r="DK19" s="766"/>
      <c r="DL19" s="766"/>
      <c r="DM19" s="766"/>
      <c r="DN19" s="767"/>
      <c r="DO19" s="769"/>
      <c r="DP19" s="770"/>
      <c r="DQ19" s="772"/>
      <c r="DR19" s="776"/>
      <c r="DS19" s="776"/>
      <c r="DT19" s="778"/>
      <c r="DU19" s="782"/>
      <c r="DV19" s="784"/>
      <c r="DW19" s="788"/>
      <c r="DX19" s="792"/>
      <c r="DY19" s="808"/>
      <c r="DZ19" s="810"/>
      <c r="EB19" s="815"/>
      <c r="EC19" s="819"/>
      <c r="ED19" s="834"/>
      <c r="EF19" s="838"/>
      <c r="EG19" s="841"/>
      <c r="EH19" s="848"/>
      <c r="EI19" s="851"/>
      <c r="EJ19" s="860"/>
      <c r="EK19" s="862"/>
      <c r="EL19" s="871"/>
      <c r="EM19" s="873"/>
      <c r="EN19" s="890"/>
      <c r="EO19" s="890"/>
      <c r="EP19" s="890"/>
      <c r="EQ19" s="890"/>
      <c r="ER19" s="890"/>
      <c r="ES19" s="890"/>
      <c r="ET19" s="891"/>
      <c r="EU19" s="900"/>
      <c r="EV19" s="901"/>
      <c r="EW19" s="902"/>
      <c r="EX19" s="910"/>
      <c r="EY19" s="910"/>
      <c r="EZ19" s="910"/>
      <c r="FA19" s="910"/>
      <c r="FB19" s="910"/>
      <c r="FC19" s="910"/>
      <c r="FD19" s="912"/>
      <c r="FE19" s="912"/>
      <c r="FF19" s="912"/>
      <c r="FG19" s="919"/>
      <c r="FH19" s="919"/>
      <c r="FI19" s="923"/>
      <c r="FJ19" s="924"/>
      <c r="FK19" s="927"/>
      <c r="FL19" s="927"/>
      <c r="FM19" s="927"/>
      <c r="FN19" s="927"/>
      <c r="FO19" s="928"/>
      <c r="FP19" s="928"/>
      <c r="FQ19" s="930"/>
      <c r="FR19" s="935"/>
      <c r="FS19" s="935"/>
      <c r="FT19" s="935"/>
      <c r="FU19" s="935"/>
      <c r="FV19" s="935"/>
      <c r="FW19" s="936"/>
      <c r="FX19" s="937"/>
      <c r="FY19" s="939"/>
      <c r="FZ19" s="940"/>
      <c r="GA19" s="944"/>
      <c r="GB19" s="946"/>
      <c r="GC19" s="949"/>
      <c r="GD19" s="952"/>
      <c r="GE19" s="953"/>
      <c r="GF19" s="957"/>
      <c r="GG19" s="957"/>
      <c r="GH19" s="957"/>
      <c r="GI19" s="957"/>
      <c r="GJ19" s="957"/>
      <c r="GK19" s="957"/>
      <c r="GL19" s="957"/>
      <c r="GM19" s="959"/>
      <c r="GN19" s="960"/>
      <c r="GO19" s="961"/>
      <c r="GP19" s="962"/>
      <c r="GQ19" s="963"/>
      <c r="GR19" s="963"/>
      <c r="GS19" s="964"/>
      <c r="GT19" s="965"/>
      <c r="GU19" s="966"/>
    </row>
    <row r="20" spans="1:203" s="482" customFormat="1" x14ac:dyDescent="0.2">
      <c r="A20" s="484" t="s">
        <v>164</v>
      </c>
      <c r="B20" s="493">
        <f>B16+B18</f>
        <v>0</v>
      </c>
      <c r="C20" s="493">
        <f t="shared" ref="C20:P20" si="3">C16+C18</f>
        <v>0</v>
      </c>
      <c r="D20" s="493">
        <f t="shared" si="3"/>
        <v>0</v>
      </c>
      <c r="E20" s="493">
        <f t="shared" si="3"/>
        <v>0</v>
      </c>
      <c r="F20" s="493">
        <f t="shared" si="3"/>
        <v>2.5</v>
      </c>
      <c r="G20" s="493">
        <f t="shared" si="3"/>
        <v>7.4</v>
      </c>
      <c r="H20" s="493">
        <f t="shared" si="3"/>
        <v>3654.5</v>
      </c>
      <c r="I20" s="493">
        <f t="shared" si="3"/>
        <v>6255.6</v>
      </c>
      <c r="J20" s="493">
        <f t="shared" si="3"/>
        <v>4129.8999999999996</v>
      </c>
      <c r="K20" s="493">
        <f t="shared" si="3"/>
        <v>6388</v>
      </c>
      <c r="L20" s="493">
        <f t="shared" si="3"/>
        <v>5294.1</v>
      </c>
      <c r="M20" s="493">
        <f t="shared" si="3"/>
        <v>5351.9</v>
      </c>
      <c r="N20" s="493">
        <f t="shared" si="3"/>
        <v>5580</v>
      </c>
      <c r="O20" s="493">
        <f t="shared" si="3"/>
        <v>4320.3999999999996</v>
      </c>
      <c r="P20" s="493">
        <f t="shared" si="3"/>
        <v>4573.3</v>
      </c>
      <c r="Q20" s="493">
        <f t="shared" ref="Q20:R20" si="4">Q16+Q18</f>
        <v>4090.2</v>
      </c>
      <c r="R20" s="493">
        <f t="shared" si="4"/>
        <v>4434.3999999999996</v>
      </c>
      <c r="S20" s="493">
        <f t="shared" ref="S20:T20" si="5">S16+S18</f>
        <v>3817.2</v>
      </c>
      <c r="T20" s="493">
        <f t="shared" si="5"/>
        <v>5240.2999999999993</v>
      </c>
      <c r="U20" s="493">
        <f t="shared" ref="U20:Y20" si="6">U16+U18</f>
        <v>5009.5</v>
      </c>
      <c r="V20" s="493">
        <f t="shared" si="6"/>
        <v>6144</v>
      </c>
      <c r="W20" s="493">
        <f t="shared" si="6"/>
        <v>6495.6</v>
      </c>
      <c r="X20" s="493">
        <f t="shared" si="6"/>
        <v>6112.1</v>
      </c>
      <c r="Y20" s="493">
        <f t="shared" si="6"/>
        <v>3169.1</v>
      </c>
      <c r="Z20" s="493">
        <f t="shared" ref="Z20:AA20" si="7">Z16+Z18</f>
        <v>4245.7</v>
      </c>
      <c r="AA20" s="493">
        <f t="shared" si="7"/>
        <v>2507.6</v>
      </c>
      <c r="AB20" s="493">
        <f t="shared" ref="AB20:AE20" si="8">AB16+AB18</f>
        <v>4771.6000000000004</v>
      </c>
      <c r="AC20" s="493">
        <f t="shared" si="8"/>
        <v>3615.1</v>
      </c>
      <c r="AD20" s="493">
        <f t="shared" si="8"/>
        <v>5934.7</v>
      </c>
      <c r="AE20" s="493">
        <f t="shared" si="8"/>
        <v>5871.4</v>
      </c>
      <c r="AF20" s="493">
        <f t="shared" ref="AF20:AG20" si="9">AF16+AF18</f>
        <v>6652.3</v>
      </c>
      <c r="AG20" s="493">
        <f t="shared" si="9"/>
        <v>6290</v>
      </c>
      <c r="AH20" s="493">
        <f t="shared" ref="AH20:AK20" si="10">AH16+AH18</f>
        <v>5354</v>
      </c>
      <c r="AI20" s="493">
        <f t="shared" si="10"/>
        <v>5640</v>
      </c>
      <c r="AJ20" s="493">
        <f t="shared" si="10"/>
        <v>5907</v>
      </c>
      <c r="AK20" s="493">
        <f t="shared" si="10"/>
        <v>5712</v>
      </c>
      <c r="AL20" s="493">
        <f t="shared" ref="AL20:AM20" si="11">AL16+AL18</f>
        <v>3832</v>
      </c>
      <c r="AM20" s="493">
        <f t="shared" si="11"/>
        <v>5631</v>
      </c>
      <c r="AN20" s="493">
        <f t="shared" ref="AN20:AO20" si="12">AN16+AN18</f>
        <v>4592</v>
      </c>
      <c r="AO20" s="493">
        <f t="shared" si="12"/>
        <v>6107</v>
      </c>
      <c r="AP20" s="493">
        <f t="shared" ref="AP20:AT20" si="13">AP16+AP18</f>
        <v>6107</v>
      </c>
      <c r="AQ20" s="493">
        <f t="shared" si="13"/>
        <v>0</v>
      </c>
      <c r="AR20" s="493">
        <f t="shared" si="13"/>
        <v>4672</v>
      </c>
      <c r="AS20" s="493">
        <f t="shared" si="13"/>
        <v>3961</v>
      </c>
      <c r="AT20" s="493">
        <f t="shared" si="13"/>
        <v>2090</v>
      </c>
      <c r="AU20" s="493">
        <f t="shared" ref="AU20:AV20" si="14">AU16+AU18</f>
        <v>3203</v>
      </c>
      <c r="AV20" s="493">
        <f t="shared" si="14"/>
        <v>3736</v>
      </c>
      <c r="AW20" s="493">
        <f t="shared" ref="AW20:AY20" si="15">AW16+AW18</f>
        <v>3880</v>
      </c>
      <c r="AX20" s="493">
        <f t="shared" si="15"/>
        <v>5936</v>
      </c>
      <c r="AY20" s="493">
        <f t="shared" si="15"/>
        <v>3787</v>
      </c>
      <c r="AZ20" s="493">
        <f t="shared" ref="AZ20" si="16">AZ16+AZ18</f>
        <v>3732</v>
      </c>
      <c r="BA20" s="493">
        <f t="shared" ref="BA20:BB20" si="17">BA16+BA18</f>
        <v>4474</v>
      </c>
      <c r="BB20" s="493">
        <f t="shared" si="17"/>
        <v>3669</v>
      </c>
      <c r="BC20" s="493">
        <f t="shared" ref="BC20:BD20" si="18">BC16+BC18</f>
        <v>5374</v>
      </c>
      <c r="BD20" s="493">
        <f t="shared" si="18"/>
        <v>5649</v>
      </c>
      <c r="BE20" s="493">
        <f t="shared" ref="BE20:BF20" si="19">BE16+BE18</f>
        <v>6454</v>
      </c>
      <c r="BF20" s="493">
        <f t="shared" si="19"/>
        <v>7517</v>
      </c>
      <c r="BG20" s="493">
        <f t="shared" ref="BG20:BH20" si="20">BG16+BG18</f>
        <v>7750</v>
      </c>
      <c r="BH20" s="493">
        <f t="shared" si="20"/>
        <v>6487</v>
      </c>
      <c r="BI20" s="493">
        <f t="shared" ref="BI20:BJ20" si="21">BI16+BI18</f>
        <v>7397</v>
      </c>
      <c r="BJ20" s="493">
        <f t="shared" si="21"/>
        <v>7327</v>
      </c>
      <c r="BK20" s="493">
        <f t="shared" ref="BK20:BL20" si="22">BK16+BK18</f>
        <v>8719</v>
      </c>
      <c r="BL20" s="493">
        <f t="shared" si="22"/>
        <v>8340</v>
      </c>
      <c r="BM20" s="493">
        <f t="shared" ref="BM20:BN20" si="23">BM16+BM18</f>
        <v>8000</v>
      </c>
      <c r="BN20" s="493">
        <f t="shared" si="23"/>
        <v>8000</v>
      </c>
      <c r="BO20" s="493">
        <f t="shared" ref="BO20:BP20" si="24">BO16+BO18</f>
        <v>7076</v>
      </c>
      <c r="BP20" s="493">
        <f t="shared" si="24"/>
        <v>7388</v>
      </c>
      <c r="BQ20" s="493">
        <f t="shared" ref="BQ20:BR20" si="25">BQ16+BQ18</f>
        <v>7602</v>
      </c>
      <c r="BR20" s="493">
        <f t="shared" si="25"/>
        <v>6477</v>
      </c>
      <c r="BS20" s="493">
        <f t="shared" ref="BS20:BU20" si="26">BS16+BS18</f>
        <v>7214</v>
      </c>
      <c r="BT20" s="493">
        <f t="shared" si="26"/>
        <v>8116</v>
      </c>
      <c r="BU20" s="493">
        <f t="shared" si="26"/>
        <v>7742</v>
      </c>
      <c r="BV20" s="493">
        <f t="shared" ref="BV20:BW20" si="27">BV16+BV18</f>
        <v>7035</v>
      </c>
      <c r="BW20" s="493">
        <f t="shared" si="27"/>
        <v>7140</v>
      </c>
      <c r="BX20" s="493">
        <f t="shared" ref="BX20:BY20" si="28">BX16+BX18</f>
        <v>8200</v>
      </c>
      <c r="BY20" s="493">
        <f t="shared" si="28"/>
        <v>6061</v>
      </c>
      <c r="BZ20" s="493">
        <f t="shared" ref="BZ20:CA20" si="29">BZ16+BZ18</f>
        <v>4781</v>
      </c>
      <c r="CA20" s="493">
        <f t="shared" si="29"/>
        <v>4408</v>
      </c>
      <c r="CB20" s="493">
        <f t="shared" ref="CB20:CC20" si="30">CB16+CB18</f>
        <v>6890</v>
      </c>
      <c r="CC20" s="493">
        <f t="shared" si="30"/>
        <v>9314</v>
      </c>
      <c r="CD20" s="493">
        <f t="shared" ref="CD20" si="31">CD16+CD18</f>
        <v>9109</v>
      </c>
      <c r="CE20" s="493">
        <f t="shared" ref="CE20:CF20" si="32">CE16+CE18</f>
        <v>8560</v>
      </c>
      <c r="CF20" s="493">
        <f t="shared" si="32"/>
        <v>7804</v>
      </c>
      <c r="CG20" s="493">
        <f t="shared" ref="CG20:CH20" si="33">CG16+CG18</f>
        <v>7232</v>
      </c>
      <c r="CH20" s="493">
        <f t="shared" si="33"/>
        <v>6926</v>
      </c>
      <c r="CI20" s="493">
        <f t="shared" ref="CI20:CK20" si="34">CI16+CI18</f>
        <v>6120</v>
      </c>
      <c r="CJ20" s="493">
        <f t="shared" si="34"/>
        <v>8620</v>
      </c>
      <c r="CK20" s="493">
        <f t="shared" si="34"/>
        <v>7706</v>
      </c>
      <c r="CL20" s="493">
        <f t="shared" ref="CL20" si="35">CL16+CL18</f>
        <v>6144</v>
      </c>
      <c r="CM20" s="493">
        <f t="shared" ref="CM20:CN20" si="36">CM16+CM18</f>
        <v>4090</v>
      </c>
      <c r="CN20" s="493">
        <f t="shared" si="36"/>
        <v>8123</v>
      </c>
      <c r="CO20" s="493">
        <f t="shared" ref="CO20:CQ20" si="37">CO16+CO18</f>
        <v>7076</v>
      </c>
      <c r="CP20" s="493">
        <f t="shared" si="37"/>
        <v>7163</v>
      </c>
      <c r="CQ20" s="493">
        <f t="shared" si="37"/>
        <v>8469</v>
      </c>
      <c r="CR20" s="493">
        <f t="shared" ref="CR20:CS20" si="38">CR16+CR18</f>
        <v>7164</v>
      </c>
      <c r="CS20" s="493">
        <f t="shared" si="38"/>
        <v>8893</v>
      </c>
      <c r="CT20" s="493">
        <f t="shared" ref="CT20:CU20" si="39">CT16+CT18</f>
        <v>6444</v>
      </c>
      <c r="CU20" s="493">
        <f t="shared" si="39"/>
        <v>7858</v>
      </c>
      <c r="CV20" s="493">
        <f t="shared" ref="CV20:CW20" si="40">CV16+CV18</f>
        <v>6598</v>
      </c>
      <c r="CW20" s="493">
        <f t="shared" si="40"/>
        <v>7411</v>
      </c>
      <c r="CX20" s="493">
        <f t="shared" ref="CX20:CY20" si="41">CX16+CX18</f>
        <v>4564</v>
      </c>
      <c r="CY20" s="493">
        <f t="shared" si="41"/>
        <v>8479</v>
      </c>
      <c r="CZ20" s="493">
        <f t="shared" ref="CZ20:DA20" si="42">CZ16+CZ18</f>
        <v>7979</v>
      </c>
      <c r="DA20" s="493">
        <f t="shared" si="42"/>
        <v>8376</v>
      </c>
      <c r="DB20" s="493">
        <f t="shared" ref="DB20" si="43">DB16+DB18</f>
        <v>5728</v>
      </c>
      <c r="DC20" s="493">
        <f t="shared" ref="DC20:DD20" si="44">DC16+DC18</f>
        <v>5937</v>
      </c>
      <c r="DD20" s="493">
        <f t="shared" si="44"/>
        <v>7690</v>
      </c>
      <c r="DE20" s="493">
        <f t="shared" ref="DE20:DG20" si="45">DE16+DE18</f>
        <v>7770</v>
      </c>
      <c r="DF20" s="493">
        <f t="shared" si="45"/>
        <v>8280</v>
      </c>
      <c r="DG20" s="493">
        <f t="shared" si="45"/>
        <v>7866</v>
      </c>
      <c r="DH20" s="493">
        <f t="shared" ref="DH20:DI20" si="46">DH16+DH18</f>
        <v>7685</v>
      </c>
      <c r="DI20" s="493">
        <f t="shared" si="46"/>
        <v>5553</v>
      </c>
      <c r="DJ20" s="493">
        <f t="shared" ref="DJ20:DK20" si="47">DJ16+DJ18</f>
        <v>8351</v>
      </c>
      <c r="DK20" s="493">
        <f t="shared" si="47"/>
        <v>7330</v>
      </c>
      <c r="DL20" s="493">
        <f t="shared" ref="DL20:DM20" si="48">DL16+DL18</f>
        <v>7275</v>
      </c>
      <c r="DM20" s="493">
        <f t="shared" si="48"/>
        <v>7385</v>
      </c>
      <c r="DN20" s="493">
        <f t="shared" ref="DN20:DO20" si="49">DN16+DN18</f>
        <v>7781</v>
      </c>
      <c r="DO20" s="493">
        <f t="shared" si="49"/>
        <v>5526</v>
      </c>
      <c r="DP20" s="493">
        <f t="shared" ref="DP20:DQ20" si="50">DP16+DP18</f>
        <v>7975</v>
      </c>
      <c r="DQ20" s="493">
        <f t="shared" si="50"/>
        <v>6630</v>
      </c>
      <c r="DR20" s="493">
        <f t="shared" ref="DR20:DS20" si="51">DR16+DR18</f>
        <v>5670</v>
      </c>
      <c r="DS20" s="493">
        <f t="shared" si="51"/>
        <v>5816</v>
      </c>
      <c r="DT20" s="493">
        <f t="shared" ref="DT20:DU20" si="52">DT16+DT18</f>
        <v>4641</v>
      </c>
      <c r="DU20" s="493">
        <f t="shared" si="52"/>
        <v>7581</v>
      </c>
      <c r="DV20" s="493">
        <f t="shared" ref="DV20:DW20" si="53">DV16+DV18</f>
        <v>9123</v>
      </c>
      <c r="DW20" s="493">
        <f t="shared" si="53"/>
        <v>9177</v>
      </c>
      <c r="DX20" s="493">
        <f t="shared" ref="DX20:EC20" si="54">DX16+DX18</f>
        <v>8447</v>
      </c>
      <c r="DY20" s="493">
        <f t="shared" si="54"/>
        <v>8263</v>
      </c>
      <c r="DZ20" s="493">
        <f t="shared" si="54"/>
        <v>7865</v>
      </c>
      <c r="EA20" s="493">
        <f t="shared" si="54"/>
        <v>8258</v>
      </c>
      <c r="EB20" s="493">
        <f t="shared" si="54"/>
        <v>7143</v>
      </c>
      <c r="EC20" s="493">
        <f t="shared" si="54"/>
        <v>7197</v>
      </c>
      <c r="ED20" s="493">
        <f t="shared" ref="ED20:EF20" si="55">ED16+ED18</f>
        <v>7853</v>
      </c>
      <c r="EE20" s="493">
        <f t="shared" ref="EE20" si="56">EE16+EE18</f>
        <v>7643</v>
      </c>
      <c r="EF20" s="493">
        <f t="shared" si="55"/>
        <v>8633</v>
      </c>
      <c r="EG20" s="493">
        <f t="shared" ref="EG20:EH20" si="57">EG16+EG18</f>
        <v>6976</v>
      </c>
      <c r="EH20" s="493">
        <f t="shared" si="57"/>
        <v>7179</v>
      </c>
      <c r="EI20" s="493">
        <f t="shared" ref="EI20:EJ20" si="58">EI16+EI18</f>
        <v>6780</v>
      </c>
      <c r="EJ20" s="493">
        <f t="shared" si="58"/>
        <v>8151</v>
      </c>
      <c r="EK20" s="493">
        <f t="shared" ref="EK20:EL20" si="59">EK16+EK18</f>
        <v>8095</v>
      </c>
      <c r="EL20" s="493">
        <f t="shared" si="59"/>
        <v>7261</v>
      </c>
      <c r="EM20" s="887">
        <f t="shared" ref="EM20:EN20" si="60">EM16+EM18</f>
        <v>7441</v>
      </c>
      <c r="EN20" s="887">
        <f t="shared" si="60"/>
        <v>7088</v>
      </c>
      <c r="EO20" s="887">
        <f t="shared" ref="EO20:EP20" si="61">EO16+EO18</f>
        <v>5442</v>
      </c>
      <c r="EP20" s="887">
        <f t="shared" si="61"/>
        <v>6081</v>
      </c>
      <c r="EQ20" s="887">
        <f t="shared" ref="EQ20:ER20" si="62">EQ16+EQ18</f>
        <v>6256</v>
      </c>
      <c r="ER20" s="887">
        <f t="shared" si="62"/>
        <v>8513</v>
      </c>
      <c r="ES20" s="887">
        <f t="shared" ref="ES20:ET20" si="63">ES16+ES18</f>
        <v>6406</v>
      </c>
      <c r="ET20" s="887">
        <f t="shared" si="63"/>
        <v>6157</v>
      </c>
      <c r="EU20" s="887">
        <f t="shared" ref="EU20:EV20" si="64">EU16+EU18</f>
        <v>8459</v>
      </c>
      <c r="EV20" s="887">
        <f t="shared" si="64"/>
        <v>8958</v>
      </c>
      <c r="EW20" s="887">
        <f t="shared" ref="EW20:EX20" si="65">EW16+EW18</f>
        <v>7526</v>
      </c>
      <c r="EX20" s="887">
        <f t="shared" si="65"/>
        <v>6851</v>
      </c>
      <c r="EY20" s="887">
        <f t="shared" ref="EY20:EZ20" si="66">EY16+EY18</f>
        <v>7169</v>
      </c>
      <c r="EZ20" s="887">
        <f t="shared" si="66"/>
        <v>8555</v>
      </c>
      <c r="FA20" s="887">
        <f t="shared" ref="FA20:FB20" si="67">FA16+FA18</f>
        <v>6946</v>
      </c>
      <c r="FB20" s="887">
        <f t="shared" si="67"/>
        <v>8078</v>
      </c>
      <c r="FC20" s="887">
        <f t="shared" ref="FC20:FD20" si="68">FC16+FC18</f>
        <v>7504</v>
      </c>
      <c r="FD20" s="887">
        <f t="shared" si="68"/>
        <v>8345</v>
      </c>
      <c r="FE20" s="887">
        <f t="shared" ref="FE20:FF20" si="69">FE16+FE18</f>
        <v>6839</v>
      </c>
      <c r="FF20" s="887">
        <f t="shared" si="69"/>
        <v>6864</v>
      </c>
      <c r="FG20" s="887">
        <f t="shared" ref="FG20:FH20" si="70">FG16+FG18</f>
        <v>7036</v>
      </c>
      <c r="FH20" s="887">
        <f t="shared" si="70"/>
        <v>6500</v>
      </c>
      <c r="FI20" s="887">
        <f t="shared" ref="FI20:FJ20" si="71">FI16+FI18</f>
        <v>6500</v>
      </c>
      <c r="FJ20" s="887">
        <f t="shared" si="71"/>
        <v>5739</v>
      </c>
      <c r="FK20" s="887">
        <f t="shared" ref="FK20:FL20" si="72">FK16+FK18</f>
        <v>4636</v>
      </c>
      <c r="FL20" s="887">
        <f t="shared" si="72"/>
        <v>6538</v>
      </c>
      <c r="FM20" s="887">
        <f t="shared" ref="FM20:FN20" si="73">FM16+FM18</f>
        <v>6519</v>
      </c>
      <c r="FN20" s="887">
        <f t="shared" si="73"/>
        <v>7549</v>
      </c>
      <c r="FO20" s="887">
        <f t="shared" ref="FO20:FP20" si="74">FO16+FO18</f>
        <v>6783</v>
      </c>
      <c r="FP20" s="887">
        <f t="shared" si="74"/>
        <v>8683</v>
      </c>
      <c r="FQ20" s="887">
        <f t="shared" ref="FQ20:FR20" si="75">FQ16+FQ18</f>
        <v>7410</v>
      </c>
      <c r="FR20" s="887">
        <f t="shared" si="75"/>
        <v>5453</v>
      </c>
      <c r="FS20" s="887">
        <f t="shared" ref="FS20:FT20" si="76">FS16+FS18</f>
        <v>8278</v>
      </c>
      <c r="FT20" s="887">
        <f t="shared" si="76"/>
        <v>7959</v>
      </c>
      <c r="FU20" s="887">
        <f t="shared" ref="FU20:FV20" si="77">FU16+FU18</f>
        <v>7139</v>
      </c>
      <c r="FV20" s="887">
        <f t="shared" si="77"/>
        <v>7017</v>
      </c>
      <c r="FW20" s="887">
        <f t="shared" ref="FW20:FX20" si="78">FW16+FW18</f>
        <v>7310</v>
      </c>
      <c r="FX20" s="887">
        <f t="shared" si="78"/>
        <v>8319</v>
      </c>
      <c r="FY20" s="887">
        <f t="shared" ref="FY20:FZ20" si="79">FY16+FY18</f>
        <v>5803</v>
      </c>
      <c r="FZ20" s="493">
        <f t="shared" si="79"/>
        <v>7022</v>
      </c>
      <c r="GA20" s="493">
        <f t="shared" ref="GA20:GB20" si="80">GA16+GA18</f>
        <v>7009</v>
      </c>
      <c r="GB20" s="493">
        <f t="shared" si="80"/>
        <v>7762</v>
      </c>
      <c r="GC20" s="493">
        <f t="shared" ref="GC20" si="81">GC16+GC18</f>
        <v>6670</v>
      </c>
      <c r="GD20" s="493">
        <f t="shared" ref="GD20:GE20" si="82">GD16+GD18</f>
        <v>6027</v>
      </c>
      <c r="GE20" s="493">
        <f t="shared" si="82"/>
        <v>6714</v>
      </c>
      <c r="GF20" s="493">
        <f t="shared" ref="GF20:GG20" si="83">GF16+GF18</f>
        <v>7457</v>
      </c>
      <c r="GG20" s="493">
        <f t="shared" si="83"/>
        <v>8465</v>
      </c>
      <c r="GH20" s="493">
        <f t="shared" ref="GH20" si="84">GH16+GH18</f>
        <v>8099</v>
      </c>
      <c r="GI20" s="493">
        <f>GI16+GI18+100</f>
        <v>8062</v>
      </c>
      <c r="GJ20" s="493">
        <f>GJ16+GJ18+100</f>
        <v>8174</v>
      </c>
      <c r="GK20" s="493">
        <f>GK16+GK18+100</f>
        <v>7271</v>
      </c>
      <c r="GL20" s="493">
        <f t="shared" ref="GL20:GP20" si="85">GL16+GL18+700</f>
        <v>7162</v>
      </c>
      <c r="GM20" s="493">
        <f t="shared" si="85"/>
        <v>7483</v>
      </c>
      <c r="GN20" s="493">
        <f t="shared" si="85"/>
        <v>7967</v>
      </c>
      <c r="GO20" s="493">
        <f t="shared" si="85"/>
        <v>7214</v>
      </c>
      <c r="GP20" s="493">
        <f t="shared" si="85"/>
        <v>7140</v>
      </c>
      <c r="GQ20" s="493">
        <f t="shared" ref="GQ20:GR20" si="86">GQ16+GQ18+700</f>
        <v>8355</v>
      </c>
      <c r="GR20" s="493">
        <f t="shared" si="86"/>
        <v>7396</v>
      </c>
      <c r="GS20" s="493">
        <f t="shared" ref="GS20" si="87">GS16+GS18+700</f>
        <v>8405</v>
      </c>
      <c r="GT20" s="493">
        <f>GT16+GT18+100</f>
        <v>7229</v>
      </c>
      <c r="GU20" s="493">
        <f>GU16+GU18+100</f>
        <v>7770</v>
      </c>
    </row>
    <row r="21" spans="1:203" ht="15.75" thickBot="1" x14ac:dyDescent="0.25">
      <c r="A21" s="485" t="s">
        <v>165</v>
      </c>
      <c r="B21" s="494">
        <f>B13+B17-B16</f>
        <v>0</v>
      </c>
      <c r="C21" s="494">
        <f>B21+C13+C14+C17+C19-(C16+C18)</f>
        <v>0</v>
      </c>
      <c r="D21" s="494">
        <f>C21+D13+D14+D17+D19-(D16+D18)</f>
        <v>0</v>
      </c>
      <c r="E21" s="494">
        <f>D21+E13+E14+E17+E19-(E16+E18)</f>
        <v>0</v>
      </c>
      <c r="F21" s="494">
        <f>(E21+F13+F14-(F20))*(1-F11)</f>
        <v>746.58499999999992</v>
      </c>
      <c r="G21" s="494">
        <f t="shared" ref="G21:AE21" si="88">(F21+G13+G14-(G20))*(1-G11)</f>
        <v>5104.3215500000006</v>
      </c>
      <c r="H21" s="494">
        <f t="shared" si="88"/>
        <v>6202.0361511499987</v>
      </c>
      <c r="I21" s="494">
        <f t="shared" si="88"/>
        <v>5114.7500101291989</v>
      </c>
      <c r="J21" s="494">
        <f t="shared" si="88"/>
        <v>6293.1929583363299</v>
      </c>
      <c r="K21" s="494">
        <f t="shared" si="88"/>
        <v>6271.4582688150676</v>
      </c>
      <c r="L21" s="494">
        <f t="shared" si="88"/>
        <v>5536.1479300412457</v>
      </c>
      <c r="M21" s="494">
        <f t="shared" si="88"/>
        <v>5214.7917736543995</v>
      </c>
      <c r="N21" s="494">
        <f t="shared" si="88"/>
        <v>5364.4395885858439</v>
      </c>
      <c r="O21" s="494">
        <f t="shared" si="88"/>
        <v>5655.7357500458465</v>
      </c>
      <c r="P21" s="494">
        <f t="shared" si="88"/>
        <v>4503.5190580377766</v>
      </c>
      <c r="Q21" s="494">
        <f t="shared" si="88"/>
        <v>4406.2361654882588</v>
      </c>
      <c r="R21" s="494">
        <f t="shared" si="88"/>
        <v>4496.9296875066029</v>
      </c>
      <c r="S21" s="494">
        <f t="shared" si="88"/>
        <v>4831.3399914118199</v>
      </c>
      <c r="T21" s="494">
        <f t="shared" si="88"/>
        <v>5573.2798729834576</v>
      </c>
      <c r="U21" s="494">
        <f t="shared" si="88"/>
        <v>5253.5650581327327</v>
      </c>
      <c r="V21" s="494">
        <f t="shared" si="88"/>
        <v>6588.8692138896276</v>
      </c>
      <c r="W21" s="494">
        <f t="shared" si="88"/>
        <v>5572.7088323547687</v>
      </c>
      <c r="X21" s="494">
        <f t="shared" si="88"/>
        <v>5836.171957351522</v>
      </c>
      <c r="Y21" s="494">
        <f t="shared" si="88"/>
        <v>6006.8574910069246</v>
      </c>
      <c r="Z21" s="494">
        <f t="shared" si="88"/>
        <v>8046.5694325177619</v>
      </c>
      <c r="AA21" s="494">
        <f t="shared" si="88"/>
        <v>12048.377589028021</v>
      </c>
      <c r="AB21" s="494">
        <f t="shared" si="88"/>
        <v>13419.607426400471</v>
      </c>
      <c r="AC21" s="494">
        <f t="shared" si="88"/>
        <v>14155.411767099489</v>
      </c>
      <c r="AD21" s="494">
        <f t="shared" si="88"/>
        <v>11915.343107816387</v>
      </c>
      <c r="AE21" s="494">
        <f t="shared" si="88"/>
        <v>10449.077163376876</v>
      </c>
      <c r="AF21" s="494">
        <f t="shared" ref="AF21" si="89">(AE21+AF13+AF14-(AF20))*(1-AF11)</f>
        <v>7563.5096231252792</v>
      </c>
      <c r="AG21" s="494">
        <f t="shared" ref="AG21:AP21" si="90">(AF21+AG13+AG14-(AG20))*(1-AG11)</f>
        <v>6215.6141072817909</v>
      </c>
      <c r="AH21" s="494">
        <f t="shared" si="90"/>
        <v>7778.3812775227652</v>
      </c>
      <c r="AI21" s="494">
        <f t="shared" si="90"/>
        <v>6005.9431658507801</v>
      </c>
      <c r="AJ21" s="494">
        <f t="shared" si="90"/>
        <v>4349.1557370025357</v>
      </c>
      <c r="AK21" s="494">
        <f t="shared" si="90"/>
        <v>4938.482105975103</v>
      </c>
      <c r="AL21" s="494">
        <f t="shared" si="90"/>
        <v>5327.3950405951855</v>
      </c>
      <c r="AM21" s="494">
        <f t="shared" si="90"/>
        <v>5030.6502043435266</v>
      </c>
      <c r="AN21" s="494">
        <f t="shared" si="90"/>
        <v>5755.9762704225013</v>
      </c>
      <c r="AO21" s="494">
        <f t="shared" si="90"/>
        <v>5820.3405417464519</v>
      </c>
      <c r="AP21" s="494">
        <f t="shared" si="90"/>
        <v>6062.9212685883722</v>
      </c>
      <c r="AQ21" s="494">
        <f t="shared" ref="AQ21" si="91">(AP21+AQ13+AQ14-(AQ20))*(1-AQ11)</f>
        <v>7894.6066764366997</v>
      </c>
      <c r="AR21" s="494">
        <f t="shared" ref="AR21" si="92">(AQ21+AR13+AR14-(AR20))*(1-AR11)</f>
        <v>7578.0198346194729</v>
      </c>
      <c r="AS21" s="494">
        <f t="shared" ref="AS21" si="93">(AR21+AS13+AS14-(AS20))*(1-AS11)</f>
        <v>7871.8124230649246</v>
      </c>
      <c r="AT21" s="494">
        <f t="shared" ref="AT21" si="94">(AS21+AT13+AT14-(AT20))*(1-AT11)</f>
        <v>10347.147061451629</v>
      </c>
      <c r="AU21" s="494">
        <f t="shared" ref="AU21" si="95">(AT21+AU13+AU14-(AU20))*(1-AU11)</f>
        <v>12023.28779631211</v>
      </c>
      <c r="AV21" s="494">
        <f t="shared" ref="AV21" si="96">(AU21+AV13+AV14-(AV20))*(1-AV11)</f>
        <v>11025.62508586444</v>
      </c>
      <c r="AW21" s="494">
        <f t="shared" ref="AW21" si="97">(AV21+AW13+AW14-(AW20))*(1-AW11)</f>
        <v>14283.236319550198</v>
      </c>
      <c r="AX21" s="494">
        <f t="shared" ref="AX21" si="98">(AW21+AX13+AX14-(AX20))*(1-AX11)</f>
        <v>14577.963672587564</v>
      </c>
      <c r="AY21" s="494">
        <f t="shared" ref="AY21" si="99">(AX21+AY13+AY14-(AY20))*(1-AY11)</f>
        <v>15112.465993557329</v>
      </c>
      <c r="AZ21" s="494">
        <f t="shared" ref="AZ21" si="100">(AY21+AZ13+AZ14-(AZ20))*(1-AZ11)</f>
        <v>15686.408580710566</v>
      </c>
      <c r="BA21" s="494">
        <f t="shared" ref="BA21" si="101">(AZ21+BA13+BA14-(BA20))*(1-BA11)</f>
        <v>16457.789185348141</v>
      </c>
      <c r="BB21" s="494">
        <f t="shared" ref="BB21" si="102">(BA21+BB13+BB14-(BB20))*(1-BB11)</f>
        <v>17547.115958808929</v>
      </c>
      <c r="BC21" s="494">
        <f t="shared" ref="BC21" si="103">(BB21+BC13+BC14-(BC20))*(1-BC11)</f>
        <v>18833.130289440691</v>
      </c>
      <c r="BD21" s="494">
        <f t="shared" ref="BD21" si="104">(BC21+BD13+BD14-(BD20))*(1-BD11)</f>
        <v>18074.506316183604</v>
      </c>
      <c r="BE21" s="494">
        <f t="shared" ref="BE21" si="105">(BD21+BE13+BE14-(BE20))*(1-BE11)</f>
        <v>17175.581154005824</v>
      </c>
      <c r="BF21" s="494">
        <f t="shared" ref="BF21" si="106">(BE21+BF13+BF14-(BF20))*(1-BF11)</f>
        <v>15775.594682440857</v>
      </c>
      <c r="BG21" s="494">
        <f t="shared" ref="BG21:BK21" si="107">(BF21+BG13+BG14-(BG20))*(1-BG11)</f>
        <v>13438.289400311342</v>
      </c>
      <c r="BH21" s="494">
        <f t="shared" si="107"/>
        <v>14212.507967250627</v>
      </c>
      <c r="BI21" s="494">
        <f t="shared" si="107"/>
        <v>15031.605303063639</v>
      </c>
      <c r="BJ21" s="494">
        <f t="shared" si="107"/>
        <v>15481.719243967329</v>
      </c>
      <c r="BK21" s="494">
        <f t="shared" si="107"/>
        <v>13568.143060809243</v>
      </c>
      <c r="BL21" s="494">
        <f t="shared" ref="BL21" si="108">(BK21+BL13+BL14-(BL20))*(1-BL11)</f>
        <v>12115.409880681149</v>
      </c>
      <c r="BM21" s="494">
        <f t="shared" ref="BM21:BW21" si="109">(BL21+BM13+BM14-(BM20))*(1-BM11)</f>
        <v>11916.58197132331</v>
      </c>
      <c r="BN21" s="494">
        <f t="shared" si="109"/>
        <v>12476.890970821867</v>
      </c>
      <c r="BO21" s="494">
        <f t="shared" si="109"/>
        <v>13022.966449569958</v>
      </c>
      <c r="BP21" s="494">
        <f t="shared" si="109"/>
        <v>13588.498287344786</v>
      </c>
      <c r="BQ21" s="494">
        <f t="shared" si="109"/>
        <v>12052.577585346797</v>
      </c>
      <c r="BR21" s="494">
        <f t="shared" si="109"/>
        <v>12140.710732057638</v>
      </c>
      <c r="BS21" s="494">
        <f t="shared" si="109"/>
        <v>11878.692436392532</v>
      </c>
      <c r="BT21" s="494">
        <f t="shared" si="109"/>
        <v>9235.9974902782687</v>
      </c>
      <c r="BU21" s="494">
        <f t="shared" si="109"/>
        <v>7648.0928792851382</v>
      </c>
      <c r="BV21" s="494">
        <f t="shared" si="109"/>
        <v>6885.8032538930975</v>
      </c>
      <c r="BW21" s="494">
        <f t="shared" si="109"/>
        <v>7382.2704714462316</v>
      </c>
      <c r="BX21" s="494">
        <f t="shared" ref="BX21" si="110">(BW21+BX13+BX14-(BX20))*(1-BX11)</f>
        <v>8202.5953101582199</v>
      </c>
      <c r="BY21" s="494">
        <f t="shared" ref="BY21:CH21" si="111">(BX21+BY13+BY14-(BY20))*(1-BY11)</f>
        <v>8635.4267995649607</v>
      </c>
      <c r="BZ21" s="494">
        <f t="shared" si="111"/>
        <v>10706.962779630216</v>
      </c>
      <c r="CA21" s="494">
        <f t="shared" si="111"/>
        <v>14068.373548787531</v>
      </c>
      <c r="CB21" s="494">
        <f t="shared" si="111"/>
        <v>14116.349901627887</v>
      </c>
      <c r="CC21" s="494">
        <f t="shared" si="111"/>
        <v>13685.12211618696</v>
      </c>
      <c r="CD21" s="494">
        <f t="shared" si="111"/>
        <v>11833.095554526542</v>
      </c>
      <c r="CE21" s="494">
        <f t="shared" si="111"/>
        <v>10996.910743574928</v>
      </c>
      <c r="CF21" s="494">
        <f t="shared" si="111"/>
        <v>10305.373399807964</v>
      </c>
      <c r="CG21" s="494">
        <f t="shared" si="111"/>
        <v>11081.46501643696</v>
      </c>
      <c r="CH21" s="494">
        <f t="shared" si="111"/>
        <v>11536.634383445435</v>
      </c>
      <c r="CI21" s="494">
        <f t="shared" ref="CI21" si="112">(CH21+CI13+CI14-(CI20))*(1-CI11)</f>
        <v>12576.374000725929</v>
      </c>
      <c r="CJ21" s="494">
        <f t="shared" ref="CJ21" si="113">(CI21+CJ13+CJ14-(CJ20))*(1-CJ11)</f>
        <v>12486.176208574936</v>
      </c>
      <c r="CK21" s="494">
        <f t="shared" ref="CK21:CM21" si="114">(CJ21+CK13+CK14-(CK20))*(1-CK11)</f>
        <v>12906.549777288696</v>
      </c>
      <c r="CL21" s="494">
        <f t="shared" si="114"/>
        <v>12093.417310695391</v>
      </c>
      <c r="CM21" s="494">
        <f t="shared" si="114"/>
        <v>12317.594281323696</v>
      </c>
      <c r="CN21" s="494">
        <f t="shared" ref="CN21" si="115">(CM21+CN13+CN14-(CN20))*(1-CN11)</f>
        <v>12261.963630623963</v>
      </c>
      <c r="CO21" s="494">
        <f t="shared" ref="CO21" si="116">(CN21+CO13+CO14-(CO20))*(1-CO11)</f>
        <v>11550.628722336607</v>
      </c>
      <c r="CP21" s="494">
        <f t="shared" ref="CP21" si="117">(CO21+CP13+CP14-(CP20))*(1-CP11)</f>
        <v>13122.167904378553</v>
      </c>
      <c r="CQ21" s="494">
        <f t="shared" ref="CQ21:DN21" si="118">(CP21+CQ13+CQ14-(CQ20))*(1-CQ11)</f>
        <v>12067.495506259764</v>
      </c>
      <c r="CR21" s="494">
        <f t="shared" si="118"/>
        <v>12927.221180320801</v>
      </c>
      <c r="CS21" s="494">
        <f t="shared" si="118"/>
        <v>12381.610215075889</v>
      </c>
      <c r="CT21" s="494">
        <f t="shared" si="118"/>
        <v>12430.220887116024</v>
      </c>
      <c r="CU21" s="494">
        <f t="shared" si="118"/>
        <v>13261.693276226522</v>
      </c>
      <c r="CV21" s="494">
        <f t="shared" si="118"/>
        <v>13923.090083079338</v>
      </c>
      <c r="CW21" s="494">
        <f t="shared" si="118"/>
        <v>13748.898912777502</v>
      </c>
      <c r="CX21" s="494">
        <f t="shared" si="118"/>
        <v>17782.9510432442</v>
      </c>
      <c r="CY21" s="494">
        <f t="shared" si="118"/>
        <v>14558.833967011653</v>
      </c>
      <c r="CZ21" s="494">
        <f t="shared" si="118"/>
        <v>14018.880223036233</v>
      </c>
      <c r="DA21" s="494">
        <f t="shared" si="118"/>
        <v>11917.875075379741</v>
      </c>
      <c r="DB21" s="494">
        <f t="shared" si="118"/>
        <v>13478.946316183414</v>
      </c>
      <c r="DC21" s="494">
        <f t="shared" si="118"/>
        <v>13562.512758241404</v>
      </c>
      <c r="DD21" s="494">
        <f t="shared" si="118"/>
        <v>13048.408201735954</v>
      </c>
      <c r="DE21" s="494">
        <f t="shared" si="118"/>
        <v>13695.402401124167</v>
      </c>
      <c r="DF21" s="494">
        <f t="shared" si="118"/>
        <v>12410.883308187018</v>
      </c>
      <c r="DG21" s="494">
        <f t="shared" si="118"/>
        <v>13635.091727745512</v>
      </c>
      <c r="DH21" s="494">
        <f t="shared" si="118"/>
        <v>14642.406179054778</v>
      </c>
      <c r="DI21" s="494">
        <f t="shared" si="118"/>
        <v>14908.195874642533</v>
      </c>
      <c r="DJ21" s="494">
        <f t="shared" si="118"/>
        <v>14091.713132557212</v>
      </c>
      <c r="DK21" s="494">
        <f t="shared" si="118"/>
        <v>13342.307556650347</v>
      </c>
      <c r="DL21" s="494">
        <f t="shared" si="118"/>
        <v>12341.903725418808</v>
      </c>
      <c r="DM21" s="494">
        <f t="shared" si="118"/>
        <v>11216.404796995645</v>
      </c>
      <c r="DN21" s="494">
        <f t="shared" si="118"/>
        <v>8907.4802693261245</v>
      </c>
      <c r="DO21" s="494">
        <f t="shared" ref="DO21" si="119">(DN21+DO13+DO14-(DO20))*(1-DO11)</f>
        <v>10876.190038353619</v>
      </c>
      <c r="DP21" s="494">
        <f t="shared" ref="DP21" si="120">(DO21+DP13+DP14-(DP20))*(1-DP11)</f>
        <v>9846.0650843264903</v>
      </c>
      <c r="DQ21" s="494">
        <f t="shared" ref="DQ21" si="121">(DP21+DQ13+DQ14-(DQ20))*(1-DQ11)</f>
        <v>9899.978161652778</v>
      </c>
      <c r="DR21" s="494">
        <f t="shared" ref="DR21" si="122">(DQ21+DR13+DR14-(DR20))*(1-DR11)</f>
        <v>9562.1604546792369</v>
      </c>
      <c r="DS21" s="494">
        <f t="shared" ref="DS21" si="123">(DR21+DS13+DS14-(DS20))*(1-DS11)</f>
        <v>7803.4592746615772</v>
      </c>
      <c r="DT21" s="494">
        <f t="shared" ref="DT21" si="124">(DS21+DT13+DT14-(DT20))*(1-DT11)</f>
        <v>5876.3038358994818</v>
      </c>
      <c r="DU21" s="494">
        <f t="shared" ref="DU21" si="125">(DT21+DU13+DU14-(DU20))*(1-DU11)</f>
        <v>6121.8138947710413</v>
      </c>
      <c r="DV21" s="494">
        <f t="shared" ref="DV21" si="126">(DU21+DV13+DV14-(DV20))*(1-DV11)</f>
        <v>5118.1027882390481</v>
      </c>
      <c r="DW21" s="494">
        <f t="shared" ref="DW21" si="127">(DV21+DW13+DW14-(DW20))*(1-DW11)</f>
        <v>2958.1831261445777</v>
      </c>
      <c r="DX21" s="494">
        <f t="shared" ref="DX21" si="128">(DW21+DX13+DX14-(DX20))*(1-DX11)</f>
        <v>2888.8623629085528</v>
      </c>
      <c r="DY21" s="494">
        <f t="shared" ref="DY21" si="129">(DX21+DY13+DY14-(DY20))*(1-DY11)</f>
        <v>3105.4126771660631</v>
      </c>
      <c r="DZ21" s="494">
        <f t="shared" ref="DZ21" si="130">(DY21+DZ13+DZ14-(DZ20))*(1-DZ11)</f>
        <v>3210.9191248824891</v>
      </c>
      <c r="EA21" s="494">
        <f t="shared" ref="EA21" si="131">(DZ21+EA13+EA14-(EA20))*(1-EA11)</f>
        <v>3304.4530135247637</v>
      </c>
      <c r="EB21" s="494">
        <f t="shared" ref="EB21" si="132">(EA21+EB13+EB14-(EB20))*(1-EB11)</f>
        <v>3420.6075699216635</v>
      </c>
      <c r="EC21" s="494">
        <f t="shared" ref="EC21" si="133">(EB21+EC13+EC14-(EC20))*(1-EC11)</f>
        <v>3926.5221246695501</v>
      </c>
      <c r="ED21" s="494">
        <f t="shared" ref="ED21" si="134">(EC21+ED13+ED14-(ED20))*(1-ED11)</f>
        <v>3818.9187705871791</v>
      </c>
      <c r="EE21" s="494">
        <f t="shared" ref="EE21" si="135">(ED21+EE13+EE14-(EE20))*(1-EE11)</f>
        <v>3508.317249181433</v>
      </c>
      <c r="EF21" s="494">
        <f t="shared" ref="EF21" si="136">(EE21+EF13+EF14-(EF20))*(1-EF11)</f>
        <v>2963.3654133255009</v>
      </c>
      <c r="EG21" s="494">
        <f t="shared" ref="EG21" si="137">(EF21+EG13+EG14-(EG20))*(1-EG11)</f>
        <v>3245.7615637264403</v>
      </c>
      <c r="EH21" s="494">
        <f t="shared" ref="EH21" si="138">(EG21+EH13+EH14-(EH20))*(1-EH11)</f>
        <v>4565.5914109346686</v>
      </c>
      <c r="EI21" s="494">
        <f t="shared" ref="EI21" si="139">(EH21+EI13+EI14-(EI20))*(1-EI11)</f>
        <v>5629.8804416225084</v>
      </c>
      <c r="EJ21" s="494">
        <f t="shared" ref="EJ21" si="140">(EI21+EJ13+EJ14-(EJ20))*(1-EJ11)</f>
        <v>3712.3832668613172</v>
      </c>
      <c r="EK21" s="494">
        <f t="shared" ref="EK21" si="141">(EJ21+EK13+EK14-(EK20))*(1-EK11)</f>
        <v>5567.1257903746018</v>
      </c>
      <c r="EL21" s="494">
        <f t="shared" ref="EL21" si="142">(EK21+EL13+EL14-(EL20))*(1-EL11)</f>
        <v>7291.2505634162771</v>
      </c>
      <c r="EM21" s="494">
        <f t="shared" ref="EM21" si="143">(EL21+EM13+EM14-(EM20))*(1-EM11)</f>
        <v>6376.2554845379982</v>
      </c>
      <c r="EN21" s="494">
        <f t="shared" ref="EN21" si="144">(EM21+EN13+EN14-(EN20))*(1-EN11)</f>
        <v>3217.4797167026786</v>
      </c>
      <c r="EO21" s="494">
        <f t="shared" ref="EO21" si="145">(EN21+EO13+EO14-(EO20))*(1-EO11)</f>
        <v>4904.6055898484656</v>
      </c>
      <c r="EP21" s="494">
        <f t="shared" ref="EP21" si="146">(EO21+EP13+EP14-(EP20))*(1-EP11)</f>
        <v>6392.0059470158931</v>
      </c>
      <c r="EQ21" s="494">
        <f t="shared" ref="EQ21" si="147">(EP21+EQ13+EQ14-(EQ20))*(1-EQ11)</f>
        <v>7693.4151739038261</v>
      </c>
      <c r="ER21" s="494">
        <f t="shared" ref="ER21" si="148">(EQ21+ER13+ER14-(ER20))*(1-ER11)</f>
        <v>5738.881201296329</v>
      </c>
      <c r="ES21" s="494">
        <f t="shared" ref="ES21" si="149">(ER21+ES13+ES14-(ES20))*(1-ES11)</f>
        <v>6340.5501797219713</v>
      </c>
      <c r="ET21" s="494">
        <f t="shared" ref="ET21" si="150">(ES21+ET13+ET14-(ET20))*(1-ET11)</f>
        <v>7578.7941805493656</v>
      </c>
      <c r="EU21" s="494">
        <f t="shared" ref="EU21" si="151">(ET21+EU13+EU14-(EU20))*(1-EU11)</f>
        <v>6795.7278632654743</v>
      </c>
      <c r="EV21" s="494">
        <f t="shared" ref="EV21" si="152">(EU21+EV13+EV14-(EV20))*(1-EV11)</f>
        <v>6737.0059624083078</v>
      </c>
      <c r="EW21" s="494">
        <f t="shared" ref="EW21" si="153">(EV21+EW13+EW14-(EW20))*(1-EW11)</f>
        <v>5513.1951872952277</v>
      </c>
      <c r="EX21" s="494">
        <f t="shared" ref="EX21" si="154">(EW21+EX13+EX14-(EX20))*(1-EX11)</f>
        <v>5501.9317648197994</v>
      </c>
      <c r="EY21" s="494">
        <f t="shared" ref="EY21" si="155">(EX21+EY13+EY14-(EY20))*(1-EY11)</f>
        <v>5816.7399530414232</v>
      </c>
      <c r="EZ21" s="494">
        <f t="shared" ref="EZ21" si="156">(EY21+EZ13+EZ14-(EZ20))*(1-EZ11)</f>
        <v>5806.0111586764515</v>
      </c>
      <c r="FA21" s="494">
        <f t="shared" ref="FA21" si="157">(EZ21+FA13+FA14-(FA20))*(1-FA11)</f>
        <v>5833.5298196352769</v>
      </c>
      <c r="FB21" s="494">
        <f t="shared" ref="FB21" si="158">(FA21+FB13+FB14-(FB20))*(1-FB11)</f>
        <v>5779.0009430826913</v>
      </c>
      <c r="FC21" s="494">
        <f t="shared" ref="FC21" si="159">(FB21+FC13+FC14-(FC20))*(1-FC11)</f>
        <v>5906.560829912768</v>
      </c>
      <c r="FD21" s="494">
        <f t="shared" ref="FD21" si="160">(FC21+FD13+FD14-(FD20))*(1-FD11)</f>
        <v>6073.3735303232352</v>
      </c>
      <c r="FE21" s="494">
        <f t="shared" ref="FE21" si="161">(FD21+FE13+FE14-(FE20))*(1-FE11)</f>
        <v>5844.4518390328303</v>
      </c>
      <c r="FF21" s="494">
        <f t="shared" ref="FF21" si="162">(FE21+FF13+FF14-(FF20))*(1-FF11)</f>
        <v>6043.1453591537265</v>
      </c>
      <c r="FG21" s="494">
        <f t="shared" ref="FG21" si="163">(FF21+FG13+FG14-(FG20))*(1-FG11)</f>
        <v>4474.0021892595105</v>
      </c>
      <c r="FH21" s="494">
        <f t="shared" ref="FH21" si="164">(FG21+FH13+FH14-(FH20))*(1-FH11)</f>
        <v>4864.1269156020717</v>
      </c>
      <c r="FI21" s="494">
        <f t="shared" ref="FI21" si="165">(FH21+FI13+FI14-(FI20))*(1-FI11)</f>
        <v>5205.4860511518127</v>
      </c>
      <c r="FJ21" s="494">
        <f t="shared" ref="FJ21" si="166">(FI21+FJ13+FJ14-(FJ20))*(1-FJ11)</f>
        <v>5839.2277250135949</v>
      </c>
      <c r="FK21" s="494">
        <f t="shared" ref="FK21" si="167">(FJ21+FK13+FK14-(FK20))*(1-FK11)</f>
        <v>6327.7081207618285</v>
      </c>
      <c r="FL21" s="494">
        <f t="shared" ref="FL21" si="168">(FK21+FL13+FL14-(FL20))*(1-FL11)</f>
        <v>5599.7446056665995</v>
      </c>
      <c r="FM21" s="494">
        <f t="shared" ref="FM21" si="169">(FL21+FM13+FM14-(FM20))*(1-FM11)</f>
        <v>3679.0552529866077</v>
      </c>
      <c r="FN21" s="494">
        <f t="shared" ref="FN21" si="170">(FM21+FN13+FN14-(FN20))*(1-FN11)</f>
        <v>4641.1686226282145</v>
      </c>
      <c r="FO21" s="494">
        <f t="shared" ref="FO21" si="171">(FN21+FO13+FO14-(FO20))*(1-FO11)</f>
        <v>4549.7483879128285</v>
      </c>
      <c r="FP21" s="494">
        <f t="shared" ref="FP21" si="172">(FO21+FP13+FP14-(FP20))*(1-FP11)</f>
        <v>3572.2360652424177</v>
      </c>
      <c r="FQ21" s="494">
        <f t="shared" ref="FQ21" si="173">(FP21+FQ13+FQ14-(FQ20))*(1-FQ11)</f>
        <v>4832.0200980657519</v>
      </c>
      <c r="FR21" s="494">
        <f t="shared" ref="FR21" si="174">(FQ21+FR13+FR14-(FR20))*(1-FR11)</f>
        <v>5751.9180882591772</v>
      </c>
      <c r="FS21" s="494">
        <f t="shared" ref="FS21" si="175">(FR21+FS13+FS14-(FS20))*(1-FS11)</f>
        <v>4188.6325081093719</v>
      </c>
      <c r="FT21" s="494">
        <f t="shared" ref="FT21" si="176">(FS21+FT13+FT14-(FT20))*(1-FT11)</f>
        <v>4800.0766071362468</v>
      </c>
      <c r="FU21" s="494">
        <f t="shared" ref="FU21" si="177">(FT21+FU13+FU14-(FU20))*(1-FU11)</f>
        <v>4246.5366482085346</v>
      </c>
      <c r="FV21" s="494">
        <f t="shared" ref="FV21" si="178">(FU21+FV13+FV14-(FV20))*(1-FV11)</f>
        <v>4843.7568839414243</v>
      </c>
      <c r="FW21" s="494">
        <f t="shared" ref="FW21" si="179">(FV21+FW13+FW14-(FW20))*(1-FW11)</f>
        <v>4914.6622734487455</v>
      </c>
      <c r="FX21" s="494">
        <f t="shared" ref="FX21" si="180">(FW21+FX13+FX14-(FX20))*(1-FX11)</f>
        <v>5444.2211120021402</v>
      </c>
      <c r="FY21" s="494">
        <f t="shared" ref="FY21" si="181">(FX21+FY13+FY14-(FY20))*(1-FY11)</f>
        <v>4872.5778952419159</v>
      </c>
      <c r="FZ21" s="494">
        <f t="shared" ref="FZ21" si="182">(FY21+FZ13+FZ14-(FZ20))*(1-FZ11)</f>
        <v>6363.1243267653063</v>
      </c>
      <c r="GA21" s="494">
        <f t="shared" ref="GA21:GD21" si="183">(FZ21+GA13+GA14-(GA20))*(1-GA11)</f>
        <v>6399.4694075534699</v>
      </c>
      <c r="GB21" s="494">
        <f t="shared" si="183"/>
        <v>7141.625119760356</v>
      </c>
      <c r="GC21" s="494">
        <f t="shared" si="183"/>
        <v>6560.1732309879153</v>
      </c>
      <c r="GD21" s="494">
        <f t="shared" si="183"/>
        <v>8236.2141755792454</v>
      </c>
      <c r="GE21" s="494">
        <f>(GD21+GE13+GE14-(GE20))*(1-GE11)-2000</f>
        <v>7130.1884745097377</v>
      </c>
      <c r="GF21" s="494">
        <f>(GE21+GF13+GF14-(GF20))*(1-GF11)-1800</f>
        <v>7136.5658575685684</v>
      </c>
      <c r="GG21" s="494">
        <f>(GF21+GG13+GG14-(GG20))*(1-GG11)+4000</f>
        <v>9176.6579546603389</v>
      </c>
      <c r="GH21" s="494">
        <f>(GG21+GH13+GH14-(GH20))*(1-GH11)+200</f>
        <v>8771.2007103277974</v>
      </c>
      <c r="GI21" s="494">
        <f t="shared" ref="GI21:GU21" si="184">(GH21+GI13+GI14-(GI20))*(1-GI11)+400</f>
        <v>7327.9846179851838</v>
      </c>
      <c r="GJ21" s="494">
        <f t="shared" si="184"/>
        <v>6046.3615407370362</v>
      </c>
      <c r="GK21" s="494">
        <f t="shared" si="184"/>
        <v>5420.1913481449064</v>
      </c>
      <c r="GL21" s="494">
        <f t="shared" si="184"/>
        <v>5737.6043431082426</v>
      </c>
      <c r="GM21" s="494">
        <f t="shared" si="184"/>
        <v>4174.7558870818775</v>
      </c>
      <c r="GN21" s="494">
        <f t="shared" si="184"/>
        <v>4620.1627395028709</v>
      </c>
      <c r="GO21" s="494">
        <f t="shared" si="184"/>
        <v>4146.8464655525831</v>
      </c>
      <c r="GP21" s="494">
        <f t="shared" si="184"/>
        <v>3583.377586669561</v>
      </c>
      <c r="GQ21" s="494">
        <f t="shared" si="184"/>
        <v>3919.3960521359099</v>
      </c>
      <c r="GR21" s="494">
        <f t="shared" si="184"/>
        <v>4645.6564469223185</v>
      </c>
      <c r="GS21" s="494">
        <f t="shared" si="184"/>
        <v>3691.5025199954762</v>
      </c>
      <c r="GT21" s="494">
        <f t="shared" si="184"/>
        <v>6057.8522679959287</v>
      </c>
      <c r="GU21" s="494">
        <f t="shared" si="184"/>
        <v>5293.7277798563555</v>
      </c>
    </row>
    <row r="22" spans="1:203" ht="15.75" hidden="1" customHeight="1" x14ac:dyDescent="0.2">
      <c r="A22" s="485" t="s">
        <v>165</v>
      </c>
      <c r="B22" s="494">
        <f t="shared" ref="B22:P22" si="185">B15+B21</f>
        <v>0</v>
      </c>
      <c r="C22" s="494">
        <f t="shared" si="185"/>
        <v>0</v>
      </c>
      <c r="D22" s="494">
        <f t="shared" si="185"/>
        <v>0</v>
      </c>
      <c r="E22" s="494">
        <f t="shared" si="185"/>
        <v>0</v>
      </c>
      <c r="F22" s="494">
        <f t="shared" si="185"/>
        <v>1234.925</v>
      </c>
      <c r="G22" s="494">
        <f t="shared" si="185"/>
        <v>6461.8635500000009</v>
      </c>
      <c r="H22" s="494">
        <f t="shared" si="185"/>
        <v>9024.2433511499985</v>
      </c>
      <c r="I22" s="494">
        <f t="shared" si="185"/>
        <v>7421.9276101291989</v>
      </c>
      <c r="J22" s="494">
        <f t="shared" si="185"/>
        <v>9383.709158336329</v>
      </c>
      <c r="K22" s="494">
        <f t="shared" si="185"/>
        <v>7586.3139688150668</v>
      </c>
      <c r="L22" s="494">
        <f t="shared" si="185"/>
        <v>7036.1536300412445</v>
      </c>
      <c r="M22" s="494">
        <f t="shared" si="185"/>
        <v>5910.6684736543984</v>
      </c>
      <c r="N22" s="494">
        <f t="shared" si="185"/>
        <v>4440.4842885858425</v>
      </c>
      <c r="O22" s="494">
        <f t="shared" si="185"/>
        <v>3922.3644500458449</v>
      </c>
      <c r="P22" s="494">
        <f t="shared" si="185"/>
        <v>2731.5557580377749</v>
      </c>
      <c r="Q22" s="494">
        <f t="shared" ref="Q22:R22" si="186">Q15+Q21</f>
        <v>2242.1052654882574</v>
      </c>
      <c r="R22" s="494">
        <f t="shared" si="186"/>
        <v>1495.1269875066014</v>
      </c>
      <c r="S22" s="494">
        <f t="shared" ref="S22" si="187">S15+S21</f>
        <v>2049.5492914118181</v>
      </c>
      <c r="BA22" s="614"/>
      <c r="DY22" s="795"/>
    </row>
    <row r="23" spans="1:203" ht="31.5" thickBot="1" x14ac:dyDescent="0.25">
      <c r="Z23" s="480" t="s">
        <v>174</v>
      </c>
      <c r="AQ23" s="480" t="s">
        <v>182</v>
      </c>
      <c r="AU23" s="582" t="s">
        <v>183</v>
      </c>
      <c r="AV23" s="582" t="s">
        <v>183</v>
      </c>
      <c r="AY23" s="582" t="s">
        <v>183</v>
      </c>
      <c r="BL23" s="642" t="s">
        <v>194</v>
      </c>
      <c r="BO23" s="655"/>
      <c r="BP23" s="642" t="s">
        <v>196</v>
      </c>
      <c r="BZ23" s="680" t="s">
        <v>199</v>
      </c>
      <c r="CH23" s="704" t="s">
        <v>201</v>
      </c>
    </row>
    <row r="24" spans="1:203" x14ac:dyDescent="0.2">
      <c r="Z24" s="480" t="s">
        <v>175</v>
      </c>
    </row>
  </sheetData>
  <mergeCells count="15">
    <mergeCell ref="A2:A5"/>
    <mergeCell ref="B2:E3"/>
    <mergeCell ref="B4:E5"/>
    <mergeCell ref="B6:E7"/>
    <mergeCell ref="B9:E9"/>
    <mergeCell ref="O9:S9"/>
    <mergeCell ref="BN9:BU9"/>
    <mergeCell ref="H9:K9"/>
    <mergeCell ref="L9:M9"/>
    <mergeCell ref="AF9:AX9"/>
    <mergeCell ref="BV9:CD9"/>
    <mergeCell ref="BG9:BM9"/>
    <mergeCell ref="AY9:BF9"/>
    <mergeCell ref="T9:AE9"/>
    <mergeCell ref="CE9:DL9"/>
  </mergeCells>
  <phoneticPr fontId="12"/>
  <pageMargins left="0.7" right="0.7" top="0.75" bottom="0.75" header="0.3" footer="0.3"/>
  <pageSetup orientation="portrait" r:id="rId1"/>
  <ignoredErrors>
    <ignoredError sqref="GH21" formula="1"/>
  </ignoredError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EW318"/>
  <sheetViews>
    <sheetView topLeftCell="A152" zoomScale="130" zoomScaleNormal="130" workbookViewId="0">
      <selection activeCell="C194" sqref="C194"/>
    </sheetView>
  </sheetViews>
  <sheetFormatPr defaultRowHeight="15" x14ac:dyDescent="0.2"/>
  <cols>
    <col min="1" max="1" width="11.43359375" customWidth="1"/>
    <col min="2" max="2" width="25.55859375" bestFit="1" customWidth="1"/>
    <col min="3" max="3" width="103.71484375" customWidth="1"/>
  </cols>
  <sheetData>
    <row r="1" spans="1:7" ht="27.75" customHeight="1" x14ac:dyDescent="0.2">
      <c r="A1" s="735" t="s">
        <v>5</v>
      </c>
      <c r="B1" s="736" t="s">
        <v>204</v>
      </c>
      <c r="C1" s="144" t="s">
        <v>219</v>
      </c>
      <c r="D1" s="740"/>
      <c r="E1" s="740"/>
      <c r="F1" s="740"/>
      <c r="G1" s="740"/>
    </row>
    <row r="2" spans="1:7" ht="18.75" x14ac:dyDescent="0.2">
      <c r="A2" s="739">
        <v>42767</v>
      </c>
      <c r="B2" s="456">
        <v>9094</v>
      </c>
      <c r="C2" s="738"/>
    </row>
    <row r="3" spans="1:7" ht="18.75" x14ac:dyDescent="0.2">
      <c r="A3" s="739">
        <v>42768</v>
      </c>
      <c r="B3" s="434">
        <v>8844</v>
      </c>
      <c r="C3" s="738"/>
    </row>
    <row r="4" spans="1:7" ht="18.75" x14ac:dyDescent="0.2">
      <c r="A4" s="739">
        <v>42769</v>
      </c>
      <c r="B4" s="437">
        <v>7947</v>
      </c>
      <c r="C4" s="738" t="s">
        <v>205</v>
      </c>
    </row>
    <row r="5" spans="1:7" ht="27.75" x14ac:dyDescent="0.2">
      <c r="A5" s="739">
        <v>42770</v>
      </c>
      <c r="B5" s="437">
        <v>6355</v>
      </c>
      <c r="C5" s="738" t="s">
        <v>206</v>
      </c>
    </row>
    <row r="6" spans="1:7" ht="81" x14ac:dyDescent="0.2">
      <c r="A6" s="739">
        <v>42771</v>
      </c>
      <c r="B6" s="437">
        <v>6939</v>
      </c>
      <c r="C6" s="738" t="s">
        <v>213</v>
      </c>
    </row>
    <row r="7" spans="1:7" ht="18.75" x14ac:dyDescent="0.2">
      <c r="A7" s="739">
        <v>42772</v>
      </c>
      <c r="B7" s="437">
        <v>7529</v>
      </c>
      <c r="C7" s="738" t="s">
        <v>207</v>
      </c>
    </row>
    <row r="8" spans="1:7" ht="18.75" x14ac:dyDescent="0.2">
      <c r="A8" s="739">
        <v>42773</v>
      </c>
      <c r="B8" s="434">
        <v>8460</v>
      </c>
      <c r="C8" s="738"/>
    </row>
    <row r="9" spans="1:7" ht="18.75" x14ac:dyDescent="0.2">
      <c r="A9" s="739">
        <v>42774</v>
      </c>
      <c r="B9" s="434">
        <v>8452</v>
      </c>
      <c r="C9" s="738"/>
    </row>
    <row r="10" spans="1:7" ht="18.75" x14ac:dyDescent="0.2">
      <c r="A10" s="739">
        <v>42775</v>
      </c>
      <c r="B10" s="434">
        <v>8307</v>
      </c>
      <c r="C10" s="738"/>
    </row>
    <row r="11" spans="1:7" ht="18.75" x14ac:dyDescent="0.2">
      <c r="A11" s="739">
        <v>42776</v>
      </c>
      <c r="B11" s="456">
        <v>9016</v>
      </c>
      <c r="C11" s="738"/>
    </row>
    <row r="12" spans="1:7" ht="18.75" x14ac:dyDescent="0.2">
      <c r="A12" s="739">
        <v>42777</v>
      </c>
      <c r="B12" s="434">
        <v>8400</v>
      </c>
      <c r="C12" s="738"/>
    </row>
    <row r="13" spans="1:7" ht="54.75" x14ac:dyDescent="0.2">
      <c r="A13" s="739">
        <v>42778</v>
      </c>
      <c r="B13" s="437">
        <v>7777</v>
      </c>
      <c r="C13" s="738" t="s">
        <v>214</v>
      </c>
    </row>
    <row r="14" spans="1:7" ht="18.75" x14ac:dyDescent="0.2">
      <c r="A14" s="739">
        <v>42779</v>
      </c>
      <c r="B14" s="434">
        <v>8390</v>
      </c>
      <c r="C14" s="738"/>
    </row>
    <row r="15" spans="1:7" ht="18.75" x14ac:dyDescent="0.2">
      <c r="A15" s="739">
        <v>42780</v>
      </c>
      <c r="B15" s="434">
        <v>8272</v>
      </c>
      <c r="C15" s="738"/>
    </row>
    <row r="16" spans="1:7" ht="168.75" customHeight="1" x14ac:dyDescent="0.2">
      <c r="A16" s="739">
        <v>42781</v>
      </c>
      <c r="B16" s="437">
        <v>6555</v>
      </c>
      <c r="C16" s="738" t="s">
        <v>209</v>
      </c>
    </row>
    <row r="17" spans="1:3" ht="41.25" x14ac:dyDescent="0.2">
      <c r="A17" s="739">
        <v>42782</v>
      </c>
      <c r="B17" s="437">
        <v>4939</v>
      </c>
      <c r="C17" s="738" t="s">
        <v>208</v>
      </c>
    </row>
    <row r="18" spans="1:3" ht="121.5" x14ac:dyDescent="0.2">
      <c r="A18" s="739">
        <v>42783</v>
      </c>
      <c r="B18" s="437">
        <v>5121</v>
      </c>
      <c r="C18" s="738" t="s">
        <v>211</v>
      </c>
    </row>
    <row r="19" spans="1:3" ht="164.25" customHeight="1" x14ac:dyDescent="0.2">
      <c r="A19" s="739">
        <v>42784</v>
      </c>
      <c r="B19" s="437">
        <v>6576</v>
      </c>
      <c r="C19" s="738" t="s">
        <v>210</v>
      </c>
    </row>
    <row r="20" spans="1:3" ht="18.75" x14ac:dyDescent="0.2">
      <c r="A20" s="739">
        <v>42785</v>
      </c>
      <c r="B20" s="456">
        <v>9475</v>
      </c>
      <c r="C20" s="738"/>
    </row>
    <row r="21" spans="1:3" ht="18.75" x14ac:dyDescent="0.2">
      <c r="A21" s="739">
        <v>42786</v>
      </c>
      <c r="B21" s="456">
        <v>9073</v>
      </c>
      <c r="C21" s="738"/>
    </row>
    <row r="22" spans="1:3" ht="18.75" x14ac:dyDescent="0.2">
      <c r="A22" s="739">
        <v>42787</v>
      </c>
      <c r="B22" s="456">
        <v>9467</v>
      </c>
      <c r="C22" s="738"/>
    </row>
    <row r="23" spans="1:3" ht="18.75" x14ac:dyDescent="0.2">
      <c r="A23" s="739">
        <v>42788</v>
      </c>
      <c r="B23" s="434">
        <v>8565</v>
      </c>
      <c r="C23" s="738"/>
    </row>
    <row r="24" spans="1:3" ht="18.75" x14ac:dyDescent="0.2">
      <c r="A24" s="739">
        <v>42789</v>
      </c>
      <c r="B24" s="434">
        <v>8237</v>
      </c>
      <c r="C24" s="738"/>
    </row>
    <row r="25" spans="1:3" ht="18.75" x14ac:dyDescent="0.2">
      <c r="A25" s="739">
        <v>42790</v>
      </c>
      <c r="B25" s="434">
        <v>8059</v>
      </c>
      <c r="C25" s="738"/>
    </row>
    <row r="26" spans="1:3" ht="41.25" x14ac:dyDescent="0.2">
      <c r="A26" s="739">
        <v>42791</v>
      </c>
      <c r="B26" s="437">
        <v>6739</v>
      </c>
      <c r="C26" s="738" t="s">
        <v>212</v>
      </c>
    </row>
    <row r="27" spans="1:3" ht="18.75" x14ac:dyDescent="0.2">
      <c r="A27" s="739">
        <v>42792</v>
      </c>
      <c r="B27" s="434">
        <v>8814</v>
      </c>
      <c r="C27" s="738"/>
    </row>
    <row r="28" spans="1:3" ht="136.5" customHeight="1" x14ac:dyDescent="0.2">
      <c r="A28" s="739">
        <v>42793</v>
      </c>
      <c r="B28" s="437">
        <v>7924</v>
      </c>
      <c r="C28" s="738" t="s">
        <v>215</v>
      </c>
    </row>
    <row r="29" spans="1:3" ht="18.75" x14ac:dyDescent="0.2">
      <c r="A29" s="739">
        <v>42794</v>
      </c>
      <c r="B29" s="434">
        <v>8338</v>
      </c>
      <c r="C29" s="738"/>
    </row>
    <row r="30" spans="1:3" ht="18.75" x14ac:dyDescent="0.2">
      <c r="A30" s="739">
        <v>42795</v>
      </c>
      <c r="B30" s="437">
        <v>7848</v>
      </c>
      <c r="C30" s="738" t="s">
        <v>216</v>
      </c>
    </row>
    <row r="31" spans="1:3" ht="18.75" x14ac:dyDescent="0.2">
      <c r="A31" s="739">
        <v>42796</v>
      </c>
      <c r="B31" s="434">
        <v>8601</v>
      </c>
      <c r="C31" s="738"/>
    </row>
    <row r="32" spans="1:3" ht="62.25" customHeight="1" x14ac:dyDescent="0.2">
      <c r="A32" s="739">
        <v>42797</v>
      </c>
      <c r="B32" s="437">
        <v>7556</v>
      </c>
      <c r="C32" s="738" t="s">
        <v>218</v>
      </c>
    </row>
    <row r="33" spans="1:3" ht="68.25" x14ac:dyDescent="0.2">
      <c r="A33" s="739">
        <v>42798</v>
      </c>
      <c r="B33" s="437">
        <v>7039</v>
      </c>
      <c r="C33" s="738" t="s">
        <v>217</v>
      </c>
    </row>
    <row r="34" spans="1:3" ht="18.75" x14ac:dyDescent="0.2">
      <c r="A34" s="739">
        <v>42799</v>
      </c>
      <c r="B34" s="434">
        <v>8623</v>
      </c>
      <c r="C34" s="738"/>
    </row>
    <row r="35" spans="1:3" ht="84" customHeight="1" x14ac:dyDescent="0.2">
      <c r="A35" s="739">
        <v>42800</v>
      </c>
      <c r="B35" s="437">
        <v>7689</v>
      </c>
      <c r="C35" s="738" t="s">
        <v>220</v>
      </c>
    </row>
    <row r="36" spans="1:3" ht="27.75" x14ac:dyDescent="0.2">
      <c r="A36" s="739">
        <v>42802</v>
      </c>
      <c r="B36" s="437">
        <v>6716</v>
      </c>
      <c r="C36" s="738" t="s">
        <v>222</v>
      </c>
    </row>
    <row r="37" spans="1:3" ht="68.25" x14ac:dyDescent="0.2">
      <c r="A37" s="739">
        <v>42803</v>
      </c>
      <c r="B37" s="437">
        <v>7816</v>
      </c>
      <c r="C37" s="738" t="s">
        <v>224</v>
      </c>
    </row>
    <row r="38" spans="1:3" ht="27.75" x14ac:dyDescent="0.2">
      <c r="A38" s="739">
        <v>42804</v>
      </c>
      <c r="B38" s="437">
        <v>6430</v>
      </c>
      <c r="C38" s="738" t="s">
        <v>223</v>
      </c>
    </row>
    <row r="39" spans="1:3" ht="42" thickBot="1" x14ac:dyDescent="0.25">
      <c r="A39" s="739">
        <v>42806</v>
      </c>
      <c r="B39" s="916">
        <v>8382</v>
      </c>
      <c r="C39" s="754" t="s">
        <v>244</v>
      </c>
    </row>
    <row r="40" spans="1:3" ht="20.25" customHeight="1" thickBot="1" x14ac:dyDescent="0.25">
      <c r="A40" s="753">
        <v>42807</v>
      </c>
      <c r="B40" s="825">
        <v>8866</v>
      </c>
      <c r="C40" s="755"/>
    </row>
    <row r="41" spans="1:3" ht="47.25" customHeight="1" thickBot="1" x14ac:dyDescent="0.25">
      <c r="A41" s="753">
        <v>42808</v>
      </c>
      <c r="B41" s="825">
        <v>8513</v>
      </c>
      <c r="C41" s="757" t="s">
        <v>245</v>
      </c>
    </row>
    <row r="42" spans="1:3" ht="28.5" thickBot="1" x14ac:dyDescent="0.25">
      <c r="A42" s="753">
        <v>42809</v>
      </c>
      <c r="B42" s="758">
        <v>7840</v>
      </c>
      <c r="C42" s="757" t="s">
        <v>246</v>
      </c>
    </row>
    <row r="43" spans="1:3" ht="45" thickBot="1" x14ac:dyDescent="0.25">
      <c r="A43" s="753">
        <v>42810</v>
      </c>
      <c r="B43" s="758">
        <v>5759</v>
      </c>
      <c r="C43" s="757" t="s">
        <v>249</v>
      </c>
    </row>
    <row r="44" spans="1:3" ht="31.5" thickBot="1" x14ac:dyDescent="0.25">
      <c r="A44" s="753">
        <v>42811</v>
      </c>
      <c r="B44" s="758">
        <v>7020</v>
      </c>
      <c r="C44" s="757" t="s">
        <v>248</v>
      </c>
    </row>
    <row r="45" spans="1:3" ht="31.5" thickBot="1" x14ac:dyDescent="0.25">
      <c r="A45" s="753">
        <v>42812</v>
      </c>
      <c r="B45" s="758">
        <v>7815</v>
      </c>
      <c r="C45" s="757" t="s">
        <v>247</v>
      </c>
    </row>
    <row r="46" spans="1:3" ht="72" thickBot="1" x14ac:dyDescent="0.25">
      <c r="A46" s="753">
        <v>42813</v>
      </c>
      <c r="B46" s="758">
        <v>7360</v>
      </c>
      <c r="C46" s="757" t="s">
        <v>250</v>
      </c>
    </row>
    <row r="47" spans="1:3" ht="42" thickBot="1" x14ac:dyDescent="0.25">
      <c r="A47" s="753">
        <v>42815</v>
      </c>
      <c r="B47" s="758">
        <v>7889</v>
      </c>
      <c r="C47" s="757" t="s">
        <v>251</v>
      </c>
    </row>
    <row r="48" spans="1:3" ht="102.75" customHeight="1" thickBot="1" x14ac:dyDescent="0.25">
      <c r="A48" s="753">
        <v>42816</v>
      </c>
      <c r="B48" s="758">
        <v>7712</v>
      </c>
      <c r="C48" s="757" t="s">
        <v>252</v>
      </c>
    </row>
    <row r="49" spans="1:3" ht="103.5" customHeight="1" thickBot="1" x14ac:dyDescent="0.25">
      <c r="A49" s="753">
        <v>42817</v>
      </c>
      <c r="B49" s="758">
        <v>7971</v>
      </c>
      <c r="C49" s="757" t="s">
        <v>253</v>
      </c>
    </row>
    <row r="50" spans="1:3" ht="29.25" customHeight="1" thickBot="1" x14ac:dyDescent="0.25">
      <c r="A50" s="753">
        <v>42818</v>
      </c>
      <c r="B50" s="825">
        <v>8116</v>
      </c>
      <c r="C50" s="757" t="s">
        <v>254</v>
      </c>
    </row>
    <row r="51" spans="1:3" ht="34.5" customHeight="1" thickBot="1" x14ac:dyDescent="0.25">
      <c r="A51" s="753">
        <v>42819</v>
      </c>
      <c r="B51" s="825">
        <v>8109</v>
      </c>
      <c r="C51" s="757" t="s">
        <v>255</v>
      </c>
    </row>
    <row r="52" spans="1:3" ht="19.5" thickBot="1" x14ac:dyDescent="0.25">
      <c r="A52" s="753">
        <v>42820</v>
      </c>
      <c r="B52" s="825">
        <v>8110</v>
      </c>
      <c r="C52" s="757" t="s">
        <v>256</v>
      </c>
    </row>
    <row r="53" spans="1:3" ht="58.5" customHeight="1" thickBot="1" x14ac:dyDescent="0.25">
      <c r="A53" s="753">
        <v>42821</v>
      </c>
      <c r="B53" s="758">
        <v>7509</v>
      </c>
      <c r="C53" s="757" t="s">
        <v>257</v>
      </c>
    </row>
    <row r="54" spans="1:3" ht="19.5" thickBot="1" x14ac:dyDescent="0.25">
      <c r="A54" s="753">
        <v>42822</v>
      </c>
      <c r="B54" s="825">
        <v>8159</v>
      </c>
      <c r="C54" s="757"/>
    </row>
    <row r="55" spans="1:3" ht="65.25" customHeight="1" thickBot="1" x14ac:dyDescent="0.25">
      <c r="A55" s="753">
        <v>42823</v>
      </c>
      <c r="B55" s="758">
        <v>6064</v>
      </c>
      <c r="C55" s="757" t="s">
        <v>258</v>
      </c>
    </row>
    <row r="56" spans="1:3" ht="33.75" customHeight="1" thickBot="1" x14ac:dyDescent="0.25">
      <c r="A56" s="753">
        <v>42824</v>
      </c>
      <c r="B56" s="758">
        <v>7405</v>
      </c>
      <c r="C56" s="757" t="s">
        <v>259</v>
      </c>
    </row>
    <row r="57" spans="1:3" ht="31.5" thickBot="1" x14ac:dyDescent="0.25">
      <c r="A57" s="753">
        <v>42825</v>
      </c>
      <c r="B57" s="758">
        <v>6567</v>
      </c>
      <c r="C57" s="757" t="s">
        <v>261</v>
      </c>
    </row>
    <row r="58" spans="1:3" ht="31.5" thickBot="1" x14ac:dyDescent="0.25">
      <c r="A58" s="753">
        <v>42826</v>
      </c>
      <c r="B58" s="758">
        <v>6479</v>
      </c>
      <c r="C58" s="757" t="s">
        <v>262</v>
      </c>
    </row>
    <row r="59" spans="1:3" ht="19.5" thickBot="1" x14ac:dyDescent="0.25">
      <c r="A59" s="753">
        <v>42827</v>
      </c>
      <c r="B59" s="758">
        <v>5557</v>
      </c>
      <c r="C59" s="757" t="s">
        <v>263</v>
      </c>
    </row>
    <row r="60" spans="1:3" ht="19.5" thickBot="1" x14ac:dyDescent="0.25">
      <c r="A60" s="753">
        <v>42828</v>
      </c>
      <c r="B60" s="758">
        <v>7015</v>
      </c>
      <c r="C60" s="757" t="s">
        <v>264</v>
      </c>
    </row>
    <row r="61" spans="1:3" ht="28.5" thickBot="1" x14ac:dyDescent="0.25">
      <c r="A61" s="753">
        <v>42829</v>
      </c>
      <c r="B61" s="758">
        <v>7400</v>
      </c>
      <c r="C61" s="757" t="s">
        <v>265</v>
      </c>
    </row>
    <row r="62" spans="1:3" ht="19.5" thickBot="1" x14ac:dyDescent="0.25">
      <c r="A62" s="753">
        <v>42830</v>
      </c>
      <c r="B62" s="827">
        <v>9105</v>
      </c>
      <c r="C62" s="757" t="s">
        <v>266</v>
      </c>
    </row>
    <row r="63" spans="1:3" ht="19.5" thickBot="1" x14ac:dyDescent="0.25">
      <c r="A63" s="753">
        <v>42831</v>
      </c>
      <c r="B63" s="827">
        <v>9052</v>
      </c>
      <c r="C63" s="757" t="s">
        <v>267</v>
      </c>
    </row>
    <row r="64" spans="1:3" ht="19.5" thickBot="1" x14ac:dyDescent="0.25">
      <c r="A64" s="753">
        <v>42832</v>
      </c>
      <c r="B64" s="825">
        <v>8169</v>
      </c>
      <c r="C64" s="757" t="s">
        <v>268</v>
      </c>
    </row>
    <row r="65" spans="1:7" ht="19.5" thickBot="1" x14ac:dyDescent="0.25">
      <c r="A65" s="753">
        <v>42833</v>
      </c>
      <c r="B65" s="825">
        <v>8056</v>
      </c>
      <c r="C65" s="757" t="s">
        <v>270</v>
      </c>
    </row>
    <row r="66" spans="1:7" ht="19.5" thickBot="1" x14ac:dyDescent="0.25">
      <c r="A66" s="799">
        <v>42834</v>
      </c>
      <c r="B66" s="826">
        <v>8439</v>
      </c>
      <c r="C66" s="800" t="s">
        <v>271</v>
      </c>
    </row>
    <row r="67" spans="1:7" ht="15.75" customHeight="1" x14ac:dyDescent="0.2">
      <c r="A67" s="1176">
        <v>42835</v>
      </c>
      <c r="B67" s="1178">
        <v>7879</v>
      </c>
      <c r="C67" s="1180" t="s">
        <v>272</v>
      </c>
    </row>
    <row r="68" spans="1:7" x14ac:dyDescent="0.2">
      <c r="A68" s="1177"/>
      <c r="B68" s="1179"/>
      <c r="C68" s="1181"/>
    </row>
    <row r="69" spans="1:7" x14ac:dyDescent="0.2">
      <c r="A69" s="1177"/>
      <c r="B69" s="1179"/>
      <c r="C69" s="1181"/>
    </row>
    <row r="70" spans="1:7" ht="43.5" customHeight="1" x14ac:dyDescent="0.2">
      <c r="A70" s="802">
        <v>42836</v>
      </c>
      <c r="B70" s="823">
        <v>8442</v>
      </c>
      <c r="C70" s="817" t="s">
        <v>279</v>
      </c>
    </row>
    <row r="71" spans="1:7" ht="42" customHeight="1" x14ac:dyDescent="0.2">
      <c r="A71" s="804" t="s">
        <v>274</v>
      </c>
      <c r="B71" s="823">
        <v>8396</v>
      </c>
      <c r="C71" s="822" t="s">
        <v>279</v>
      </c>
    </row>
    <row r="72" spans="1:7" ht="18.75" x14ac:dyDescent="0.2">
      <c r="A72" s="739">
        <v>42838</v>
      </c>
      <c r="B72" s="823">
        <v>8183</v>
      </c>
      <c r="C72" s="811" t="s">
        <v>279</v>
      </c>
    </row>
    <row r="73" spans="1:7" ht="27.75" x14ac:dyDescent="0.2">
      <c r="A73" s="739">
        <v>42839</v>
      </c>
      <c r="B73" s="809">
        <v>7607</v>
      </c>
      <c r="C73" s="824" t="s">
        <v>278</v>
      </c>
    </row>
    <row r="74" spans="1:7" ht="34.5" customHeight="1" x14ac:dyDescent="0.2">
      <c r="A74" s="739">
        <v>42840</v>
      </c>
      <c r="B74" s="809">
        <v>7784</v>
      </c>
      <c r="C74" s="824" t="s">
        <v>278</v>
      </c>
    </row>
    <row r="75" spans="1:7" ht="45" customHeight="1" x14ac:dyDescent="0.2">
      <c r="A75" s="816">
        <v>42841</v>
      </c>
      <c r="B75" s="809">
        <v>7134</v>
      </c>
      <c r="C75" s="824" t="s">
        <v>278</v>
      </c>
    </row>
    <row r="76" spans="1:7" ht="46.5" customHeight="1" x14ac:dyDescent="0.2">
      <c r="A76" s="816">
        <v>42842</v>
      </c>
      <c r="B76" s="809">
        <v>7143</v>
      </c>
      <c r="C76" s="824" t="s">
        <v>280</v>
      </c>
      <c r="G76" s="821"/>
    </row>
    <row r="77" spans="1:7" ht="82.5" customHeight="1" x14ac:dyDescent="0.2">
      <c r="A77" s="816">
        <v>42843</v>
      </c>
      <c r="B77" s="829">
        <v>7055</v>
      </c>
      <c r="C77" s="738" t="s">
        <v>283</v>
      </c>
    </row>
    <row r="78" spans="1:7" ht="87.75" customHeight="1" x14ac:dyDescent="0.2">
      <c r="A78" s="816">
        <v>42844</v>
      </c>
      <c r="B78" s="833">
        <v>7409</v>
      </c>
      <c r="C78" s="836" t="s">
        <v>284</v>
      </c>
    </row>
    <row r="79" spans="1:7" ht="135" x14ac:dyDescent="0.2">
      <c r="A79" s="856">
        <v>42845</v>
      </c>
      <c r="B79" s="835">
        <v>7170</v>
      </c>
      <c r="C79" s="836" t="s">
        <v>286</v>
      </c>
    </row>
    <row r="80" spans="1:7" ht="27.75" x14ac:dyDescent="0.2">
      <c r="A80" s="856">
        <v>42846</v>
      </c>
      <c r="B80" s="839">
        <v>7810</v>
      </c>
      <c r="C80" s="738" t="s">
        <v>285</v>
      </c>
    </row>
    <row r="81" spans="1:3" ht="50.25" customHeight="1" x14ac:dyDescent="0.2">
      <c r="A81" s="857">
        <v>42847</v>
      </c>
      <c r="B81" s="859">
        <v>8079</v>
      </c>
      <c r="C81" s="844" t="s">
        <v>287</v>
      </c>
    </row>
    <row r="82" spans="1:3" ht="66" customHeight="1" x14ac:dyDescent="0.2">
      <c r="A82" s="856">
        <v>42848</v>
      </c>
      <c r="B82" s="843">
        <v>6913</v>
      </c>
      <c r="C82" s="836" t="s">
        <v>288</v>
      </c>
    </row>
    <row r="83" spans="1:3" ht="94.5" customHeight="1" x14ac:dyDescent="0.2">
      <c r="A83" s="856">
        <v>42849</v>
      </c>
      <c r="B83" s="847">
        <v>6685</v>
      </c>
      <c r="C83" s="849" t="s">
        <v>289</v>
      </c>
    </row>
    <row r="84" spans="1:3" ht="74.25" customHeight="1" x14ac:dyDescent="0.2">
      <c r="A84" s="855">
        <v>42850</v>
      </c>
      <c r="B84" s="852">
        <v>6640</v>
      </c>
      <c r="C84" s="836" t="s">
        <v>292</v>
      </c>
    </row>
    <row r="85" spans="1:3" ht="59.25" customHeight="1" x14ac:dyDescent="0.2">
      <c r="A85" s="858">
        <v>42851</v>
      </c>
      <c r="B85" s="854">
        <v>8101</v>
      </c>
      <c r="C85" s="836" t="s">
        <v>294</v>
      </c>
    </row>
    <row r="86" spans="1:3" ht="54.75" x14ac:dyDescent="0.2">
      <c r="A86" s="858">
        <v>42852</v>
      </c>
      <c r="B86" s="861">
        <v>7922</v>
      </c>
      <c r="C86" s="836" t="s">
        <v>297</v>
      </c>
    </row>
    <row r="87" spans="1:3" ht="54.75" x14ac:dyDescent="0.2">
      <c r="A87" s="858">
        <v>42853</v>
      </c>
      <c r="B87" s="863">
        <v>7645</v>
      </c>
      <c r="C87" s="836" t="s">
        <v>299</v>
      </c>
    </row>
    <row r="88" spans="1:3" ht="45.75" customHeight="1" x14ac:dyDescent="0.2">
      <c r="A88" s="856">
        <v>42854</v>
      </c>
      <c r="B88" s="865">
        <v>7166</v>
      </c>
      <c r="C88" s="836" t="s">
        <v>301</v>
      </c>
    </row>
    <row r="89" spans="1:3" ht="70.5" customHeight="1" x14ac:dyDescent="0.2">
      <c r="A89" s="856">
        <v>42855</v>
      </c>
      <c r="B89" s="867">
        <v>6894</v>
      </c>
      <c r="C89" s="836" t="s">
        <v>303</v>
      </c>
    </row>
    <row r="90" spans="1:3" ht="68.25" customHeight="1" x14ac:dyDescent="0.2">
      <c r="A90" s="856">
        <v>42856</v>
      </c>
      <c r="B90" s="875">
        <v>7646</v>
      </c>
      <c r="C90" s="836" t="s">
        <v>304</v>
      </c>
    </row>
    <row r="91" spans="1:3" ht="75" customHeight="1" x14ac:dyDescent="0.2">
      <c r="A91" s="816">
        <v>42857</v>
      </c>
      <c r="B91" s="875">
        <v>6574</v>
      </c>
      <c r="C91" s="836" t="s">
        <v>306</v>
      </c>
    </row>
    <row r="92" spans="1:3" ht="60.75" customHeight="1" x14ac:dyDescent="0.2">
      <c r="A92" s="816">
        <v>42858</v>
      </c>
      <c r="B92" s="877">
        <v>5131</v>
      </c>
      <c r="C92" s="836" t="s">
        <v>309</v>
      </c>
    </row>
    <row r="93" spans="1:3" ht="41.25" x14ac:dyDescent="0.2">
      <c r="A93" s="816">
        <v>42859</v>
      </c>
      <c r="B93" s="879">
        <v>5599</v>
      </c>
      <c r="C93" s="836" t="s">
        <v>310</v>
      </c>
    </row>
    <row r="94" spans="1:3" ht="41.25" x14ac:dyDescent="0.2">
      <c r="A94" s="816">
        <v>42860</v>
      </c>
      <c r="B94" s="883">
        <v>6249</v>
      </c>
      <c r="C94" s="836" t="s">
        <v>312</v>
      </c>
    </row>
    <row r="95" spans="1:3" ht="50.25" customHeight="1" x14ac:dyDescent="0.2">
      <c r="A95" s="816">
        <v>42861</v>
      </c>
      <c r="B95" s="889">
        <v>7921</v>
      </c>
      <c r="C95" s="836" t="s">
        <v>314</v>
      </c>
    </row>
    <row r="96" spans="1:3" ht="49.5" customHeight="1" x14ac:dyDescent="0.2">
      <c r="A96" s="816">
        <v>42862</v>
      </c>
      <c r="B96" s="865">
        <v>6241</v>
      </c>
      <c r="C96" s="836" t="s">
        <v>317</v>
      </c>
    </row>
    <row r="97" spans="1:153" ht="83.25" customHeight="1" x14ac:dyDescent="0.2">
      <c r="A97" s="856">
        <v>42863</v>
      </c>
      <c r="B97" s="897">
        <v>5958</v>
      </c>
      <c r="C97" s="836" t="s">
        <v>318</v>
      </c>
    </row>
    <row r="98" spans="1:153" ht="64.5" customHeight="1" x14ac:dyDescent="0.2">
      <c r="A98" s="856">
        <v>42864</v>
      </c>
      <c r="B98" s="899">
        <v>7943</v>
      </c>
      <c r="C98" s="836" t="s">
        <v>320</v>
      </c>
    </row>
    <row r="99" spans="1:153" ht="46.5" customHeight="1" x14ac:dyDescent="0.2">
      <c r="A99" s="816">
        <v>42865</v>
      </c>
      <c r="B99" s="917">
        <v>8362</v>
      </c>
      <c r="C99" s="836" t="s">
        <v>321</v>
      </c>
    </row>
    <row r="100" spans="1:153" ht="27.75" x14ac:dyDescent="0.2">
      <c r="A100" s="816">
        <v>42866</v>
      </c>
      <c r="B100" s="903">
        <v>7582</v>
      </c>
      <c r="C100" s="836" t="s">
        <v>323</v>
      </c>
    </row>
    <row r="101" spans="1:153" ht="41.25" x14ac:dyDescent="0.2">
      <c r="A101" s="816">
        <v>42867</v>
      </c>
      <c r="B101" s="903">
        <v>6612</v>
      </c>
      <c r="C101" s="836" t="s">
        <v>322</v>
      </c>
    </row>
    <row r="102" spans="1:153" ht="49.5" customHeight="1" x14ac:dyDescent="0.2">
      <c r="A102" s="816">
        <v>42868</v>
      </c>
      <c r="B102" s="904">
        <v>7136</v>
      </c>
      <c r="C102" s="836" t="s">
        <v>324</v>
      </c>
    </row>
    <row r="103" spans="1:153" ht="53.25" customHeight="1" x14ac:dyDescent="0.2">
      <c r="A103" s="816">
        <v>42869</v>
      </c>
      <c r="B103" s="865">
        <v>7960</v>
      </c>
      <c r="C103" s="836" t="s">
        <v>325</v>
      </c>
    </row>
    <row r="104" spans="1:153" ht="49.5" customHeight="1" x14ac:dyDescent="0.2">
      <c r="A104" s="905">
        <v>42870</v>
      </c>
      <c r="B104" s="906">
        <v>6911</v>
      </c>
      <c r="C104" s="907" t="s">
        <v>326</v>
      </c>
    </row>
    <row r="105" spans="1:153" s="50" customFormat="1" ht="41.25" customHeight="1" x14ac:dyDescent="0.2">
      <c r="A105" s="816">
        <v>42871</v>
      </c>
      <c r="B105" s="908">
        <v>7858</v>
      </c>
      <c r="C105" s="836" t="s">
        <v>327</v>
      </c>
      <c r="D105" s="699"/>
      <c r="E105" s="699"/>
      <c r="F105" s="699"/>
      <c r="G105" s="699"/>
      <c r="H105" s="699"/>
      <c r="I105" s="699"/>
      <c r="J105" s="699"/>
      <c r="K105" s="699"/>
      <c r="L105" s="699"/>
      <c r="M105" s="699"/>
      <c r="N105" s="699"/>
      <c r="O105" s="699"/>
      <c r="P105" s="699"/>
      <c r="Q105" s="699"/>
      <c r="R105" s="699"/>
      <c r="S105" s="699"/>
      <c r="T105" s="699"/>
      <c r="U105" s="699"/>
      <c r="V105" s="699"/>
      <c r="W105" s="699"/>
      <c r="X105" s="699"/>
      <c r="Y105" s="699"/>
      <c r="Z105" s="699"/>
      <c r="AA105" s="699"/>
      <c r="AB105" s="699"/>
      <c r="AC105" s="699"/>
      <c r="AD105" s="699"/>
      <c r="AE105" s="699"/>
      <c r="AF105" s="699"/>
      <c r="AG105" s="699"/>
      <c r="AH105" s="699"/>
      <c r="AI105" s="699"/>
      <c r="AJ105" s="699"/>
      <c r="AK105" s="699"/>
      <c r="AL105" s="699"/>
      <c r="AM105" s="699"/>
      <c r="AN105" s="699"/>
      <c r="AO105" s="699"/>
      <c r="AP105" s="699"/>
      <c r="AQ105" s="699"/>
      <c r="AR105" s="699"/>
      <c r="AS105" s="699"/>
      <c r="AT105" s="699"/>
      <c r="AU105" s="699"/>
      <c r="AV105" s="699"/>
      <c r="AW105" s="699"/>
      <c r="AX105" s="699"/>
      <c r="AY105" s="699"/>
      <c r="AZ105" s="699"/>
      <c r="BA105" s="699"/>
      <c r="BB105" s="699"/>
      <c r="BC105" s="699"/>
      <c r="BD105" s="699"/>
      <c r="BE105" s="699"/>
      <c r="BF105" s="699"/>
      <c r="BG105" s="699"/>
      <c r="BH105" s="699"/>
      <c r="BI105" s="699"/>
      <c r="BJ105" s="699"/>
      <c r="BK105" s="699"/>
      <c r="BL105" s="699"/>
      <c r="BM105" s="699"/>
      <c r="BN105" s="699"/>
      <c r="BO105" s="699"/>
      <c r="BP105" s="699"/>
      <c r="BQ105" s="699"/>
      <c r="BR105" s="699"/>
      <c r="BS105" s="699"/>
      <c r="BT105" s="699"/>
      <c r="BU105" s="699"/>
      <c r="BV105" s="699"/>
      <c r="BW105" s="699"/>
      <c r="BX105" s="699"/>
      <c r="BY105" s="699"/>
      <c r="BZ105" s="699"/>
      <c r="CA105" s="699"/>
      <c r="CB105" s="699"/>
      <c r="CC105" s="699"/>
      <c r="CD105" s="699"/>
      <c r="CE105" s="699"/>
      <c r="CF105" s="699"/>
      <c r="CG105" s="699"/>
      <c r="CH105" s="699"/>
      <c r="CI105" s="699"/>
      <c r="CJ105" s="699"/>
      <c r="CK105" s="699"/>
      <c r="CL105" s="699"/>
      <c r="CM105" s="699"/>
      <c r="CN105" s="699"/>
      <c r="CO105" s="699"/>
      <c r="CP105" s="699"/>
      <c r="CQ105" s="699"/>
      <c r="CR105" s="699"/>
      <c r="CS105" s="699"/>
      <c r="CT105" s="699"/>
      <c r="CU105" s="699"/>
      <c r="CV105" s="699"/>
      <c r="CW105" s="699"/>
      <c r="CX105" s="699"/>
      <c r="CY105" s="699"/>
      <c r="CZ105" s="699"/>
      <c r="DA105" s="699"/>
      <c r="DB105" s="699"/>
      <c r="DC105" s="699"/>
      <c r="DD105" s="699"/>
      <c r="DE105" s="699"/>
      <c r="DF105" s="699"/>
      <c r="DG105" s="699"/>
      <c r="DH105" s="699"/>
      <c r="DI105" s="699"/>
      <c r="DJ105" s="699"/>
      <c r="DK105" s="699"/>
      <c r="DL105" s="699"/>
      <c r="DM105" s="699"/>
      <c r="DN105" s="699"/>
      <c r="DO105" s="699"/>
      <c r="DP105" s="699"/>
      <c r="DQ105" s="699"/>
      <c r="DR105" s="699"/>
      <c r="DS105" s="699"/>
      <c r="DT105" s="699"/>
      <c r="DU105" s="699"/>
      <c r="DV105" s="699"/>
      <c r="DW105" s="699"/>
      <c r="DX105" s="699"/>
      <c r="DY105" s="699"/>
      <c r="DZ105" s="699"/>
      <c r="EA105" s="699"/>
      <c r="EB105" s="699"/>
      <c r="EC105" s="699"/>
      <c r="ED105" s="699"/>
      <c r="EE105" s="699"/>
      <c r="EF105" s="699"/>
      <c r="EG105" s="699"/>
      <c r="EH105" s="699"/>
      <c r="EI105" s="699"/>
      <c r="EJ105" s="699"/>
      <c r="EK105" s="699"/>
      <c r="EL105" s="699"/>
      <c r="EM105" s="699"/>
      <c r="EN105" s="699"/>
      <c r="EO105" s="699"/>
      <c r="EP105" s="699"/>
      <c r="EQ105" s="699"/>
      <c r="ER105" s="699"/>
      <c r="ES105" s="699"/>
      <c r="ET105" s="699"/>
      <c r="EU105" s="699"/>
      <c r="EV105" s="699"/>
      <c r="EW105" s="699"/>
    </row>
    <row r="106" spans="1:153" ht="60" customHeight="1" x14ac:dyDescent="0.2">
      <c r="A106" s="816">
        <v>42872</v>
      </c>
      <c r="B106" s="909">
        <v>7660</v>
      </c>
      <c r="C106" s="836" t="s">
        <v>327</v>
      </c>
    </row>
    <row r="107" spans="1:153" ht="64.5" customHeight="1" x14ac:dyDescent="0.2">
      <c r="A107" s="913">
        <v>42873</v>
      </c>
      <c r="B107" s="917">
        <v>8352</v>
      </c>
      <c r="C107" s="836" t="s">
        <v>330</v>
      </c>
    </row>
    <row r="108" spans="1:153" ht="62.25" customHeight="1" x14ac:dyDescent="0.2">
      <c r="A108" s="913">
        <v>42874</v>
      </c>
      <c r="B108" s="911">
        <v>7108</v>
      </c>
      <c r="C108" s="836" t="s">
        <v>328</v>
      </c>
    </row>
    <row r="109" spans="1:153" ht="66.75" customHeight="1" x14ac:dyDescent="0.2">
      <c r="A109" s="914">
        <v>42875</v>
      </c>
      <c r="B109" s="915">
        <v>7092</v>
      </c>
      <c r="C109" s="907" t="s">
        <v>329</v>
      </c>
    </row>
    <row r="110" spans="1:153" ht="77.25" customHeight="1" x14ac:dyDescent="0.2">
      <c r="A110" s="816">
        <v>42876</v>
      </c>
      <c r="B110" s="918">
        <v>7039</v>
      </c>
      <c r="C110" s="836" t="s">
        <v>332</v>
      </c>
    </row>
    <row r="111" spans="1:153" ht="108.75" customHeight="1" x14ac:dyDescent="0.2">
      <c r="A111" s="816">
        <v>42877</v>
      </c>
      <c r="B111" s="920">
        <v>6982</v>
      </c>
      <c r="C111" s="836" t="s">
        <v>333</v>
      </c>
    </row>
    <row r="112" spans="1:153" ht="118.5" customHeight="1" x14ac:dyDescent="0.2">
      <c r="A112" s="816">
        <v>42878</v>
      </c>
      <c r="B112" s="921">
        <v>5649</v>
      </c>
      <c r="C112" s="836" t="s">
        <v>334</v>
      </c>
    </row>
    <row r="113" spans="1:3" ht="77.25" customHeight="1" x14ac:dyDescent="0.2">
      <c r="A113" s="816">
        <v>42879</v>
      </c>
      <c r="B113" s="922">
        <v>5779</v>
      </c>
      <c r="C113" s="836" t="s">
        <v>335</v>
      </c>
    </row>
    <row r="114" spans="1:3" ht="70.5" customHeight="1" x14ac:dyDescent="0.2">
      <c r="A114" s="816">
        <v>42880</v>
      </c>
      <c r="B114" s="865">
        <v>4389</v>
      </c>
      <c r="C114" s="836" t="s">
        <v>336</v>
      </c>
    </row>
    <row r="115" spans="1:3" ht="81" customHeight="1" x14ac:dyDescent="0.2">
      <c r="A115" s="816">
        <v>42881</v>
      </c>
      <c r="B115" s="865">
        <v>6883</v>
      </c>
      <c r="C115" s="836" t="s">
        <v>337</v>
      </c>
    </row>
    <row r="116" spans="1:3" ht="57" customHeight="1" x14ac:dyDescent="0.2">
      <c r="A116" s="816">
        <v>42882</v>
      </c>
      <c r="B116" s="865">
        <v>6857</v>
      </c>
      <c r="C116" s="836" t="s">
        <v>338</v>
      </c>
    </row>
    <row r="117" spans="1:3" ht="57" customHeight="1" x14ac:dyDescent="0.2">
      <c r="A117" s="816">
        <v>42883</v>
      </c>
      <c r="B117" s="865">
        <v>7606</v>
      </c>
      <c r="C117" s="836" t="s">
        <v>341</v>
      </c>
    </row>
    <row r="118" spans="1:3" ht="75.75" customHeight="1" x14ac:dyDescent="0.2">
      <c r="A118" s="816">
        <v>42884</v>
      </c>
      <c r="B118" s="865">
        <v>7482</v>
      </c>
      <c r="C118" s="836" t="s">
        <v>342</v>
      </c>
    </row>
    <row r="119" spans="1:3" ht="61.5" customHeight="1" x14ac:dyDescent="0.2">
      <c r="A119" s="816">
        <v>42885</v>
      </c>
      <c r="B119" s="929">
        <v>7845</v>
      </c>
      <c r="C119" s="836" t="s">
        <v>343</v>
      </c>
    </row>
    <row r="120" spans="1:3" ht="61.5" customHeight="1" x14ac:dyDescent="0.2">
      <c r="A120" s="816">
        <v>42886</v>
      </c>
      <c r="B120" s="865">
        <v>7300</v>
      </c>
      <c r="C120" s="836" t="s">
        <v>344</v>
      </c>
    </row>
    <row r="121" spans="1:3" ht="91.5" customHeight="1" x14ac:dyDescent="0.2">
      <c r="A121" s="816">
        <v>42887</v>
      </c>
      <c r="B121" s="932">
        <v>5657</v>
      </c>
      <c r="C121" s="836" t="s">
        <v>346</v>
      </c>
    </row>
    <row r="122" spans="1:3" ht="59.25" customHeight="1" x14ac:dyDescent="0.2">
      <c r="A122" s="816">
        <v>42888</v>
      </c>
      <c r="B122" s="917">
        <v>8230</v>
      </c>
      <c r="C122" s="836" t="s">
        <v>345</v>
      </c>
    </row>
    <row r="123" spans="1:3" ht="59.25" customHeight="1" x14ac:dyDescent="0.2">
      <c r="A123" s="816">
        <v>42889</v>
      </c>
      <c r="B123" s="932">
        <v>7965</v>
      </c>
      <c r="C123" s="836" t="s">
        <v>347</v>
      </c>
    </row>
    <row r="124" spans="1:3" ht="60.75" customHeight="1" x14ac:dyDescent="0.2">
      <c r="A124" s="816">
        <v>42890</v>
      </c>
      <c r="B124" s="933">
        <v>7923</v>
      </c>
      <c r="C124" s="836" t="s">
        <v>348</v>
      </c>
    </row>
    <row r="125" spans="1:3" ht="75" customHeight="1" x14ac:dyDescent="0.2">
      <c r="A125" s="816">
        <v>42891</v>
      </c>
      <c r="B125" s="934">
        <v>7433</v>
      </c>
      <c r="C125" s="836" t="s">
        <v>350</v>
      </c>
    </row>
    <row r="126" spans="1:3" ht="74.25" customHeight="1" x14ac:dyDescent="0.2">
      <c r="A126" s="816">
        <v>42892</v>
      </c>
      <c r="B126" s="917">
        <v>8092</v>
      </c>
      <c r="C126" s="836" t="s">
        <v>351</v>
      </c>
    </row>
    <row r="127" spans="1:3" ht="71.25" customHeight="1" x14ac:dyDescent="0.2">
      <c r="A127" s="816">
        <v>42893</v>
      </c>
      <c r="B127" s="865">
        <v>7980</v>
      </c>
      <c r="C127" s="938" t="s">
        <v>352</v>
      </c>
    </row>
    <row r="128" spans="1:3" ht="54.75" x14ac:dyDescent="0.2">
      <c r="A128" s="816">
        <v>42894</v>
      </c>
      <c r="B128" s="865">
        <v>6934</v>
      </c>
      <c r="C128" s="938" t="s">
        <v>353</v>
      </c>
    </row>
    <row r="129" spans="1:3" ht="68.25" x14ac:dyDescent="0.2">
      <c r="A129" s="816">
        <v>42895</v>
      </c>
      <c r="B129" s="865">
        <v>7607</v>
      </c>
      <c r="C129" s="938" t="s">
        <v>354</v>
      </c>
    </row>
    <row r="130" spans="1:3" ht="37.5" customHeight="1" x14ac:dyDescent="0.2">
      <c r="A130" s="816">
        <v>42896</v>
      </c>
      <c r="B130" s="945">
        <v>7026</v>
      </c>
      <c r="C130" s="50" t="s">
        <v>358</v>
      </c>
    </row>
    <row r="131" spans="1:3" ht="68.25" customHeight="1" x14ac:dyDescent="0.2">
      <c r="A131" s="816">
        <v>42897</v>
      </c>
      <c r="B131" s="917">
        <v>8128</v>
      </c>
      <c r="C131" s="836" t="s">
        <v>359</v>
      </c>
    </row>
    <row r="132" spans="1:3" ht="110.25" customHeight="1" x14ac:dyDescent="0.2">
      <c r="A132" s="816">
        <v>42898</v>
      </c>
      <c r="B132" s="948">
        <v>6767</v>
      </c>
      <c r="C132" s="836" t="s">
        <v>360</v>
      </c>
    </row>
    <row r="133" spans="1:3" ht="90.75" customHeight="1" x14ac:dyDescent="0.2">
      <c r="A133" s="816">
        <v>42899</v>
      </c>
      <c r="B133" s="950">
        <v>6178</v>
      </c>
      <c r="C133" s="836" t="s">
        <v>361</v>
      </c>
    </row>
    <row r="134" spans="1:3" ht="81" x14ac:dyDescent="0.2">
      <c r="A134" s="816">
        <v>42901</v>
      </c>
      <c r="B134" s="951">
        <v>7113</v>
      </c>
      <c r="C134" s="836" t="s">
        <v>362</v>
      </c>
    </row>
    <row r="135" spans="1:3" ht="45.75" customHeight="1" x14ac:dyDescent="0.2">
      <c r="A135" s="816">
        <v>42902</v>
      </c>
      <c r="B135" s="468">
        <v>9033</v>
      </c>
      <c r="C135" s="836" t="s">
        <v>363</v>
      </c>
    </row>
    <row r="136" spans="1:3" ht="61.5" customHeight="1" x14ac:dyDescent="0.2">
      <c r="A136" s="816">
        <v>42903</v>
      </c>
      <c r="B136" s="955">
        <v>8335</v>
      </c>
      <c r="C136" s="836" t="s">
        <v>364</v>
      </c>
    </row>
    <row r="137" spans="1:3" ht="48" customHeight="1" x14ac:dyDescent="0.2">
      <c r="A137" s="816">
        <v>42904</v>
      </c>
      <c r="B137" s="955">
        <v>8176</v>
      </c>
      <c r="C137" s="836" t="s">
        <v>365</v>
      </c>
    </row>
    <row r="138" spans="1:3" ht="27.75" x14ac:dyDescent="0.2">
      <c r="A138" s="816">
        <v>42905</v>
      </c>
      <c r="B138" s="956">
        <v>8648</v>
      </c>
      <c r="C138" s="836" t="s">
        <v>367</v>
      </c>
    </row>
    <row r="139" spans="1:3" ht="44.25" customHeight="1" x14ac:dyDescent="0.2">
      <c r="A139" s="816">
        <v>42906</v>
      </c>
      <c r="B139" s="613">
        <v>7934</v>
      </c>
      <c r="C139" s="738" t="s">
        <v>368</v>
      </c>
    </row>
    <row r="140" spans="1:3" ht="57" customHeight="1" x14ac:dyDescent="0.2">
      <c r="A140" s="958">
        <v>42907</v>
      </c>
      <c r="B140" s="613">
        <v>7104</v>
      </c>
      <c r="C140" s="836" t="s">
        <v>369</v>
      </c>
    </row>
    <row r="141" spans="1:3" ht="27.75" x14ac:dyDescent="0.2">
      <c r="A141" s="816">
        <v>42908</v>
      </c>
      <c r="B141" s="613">
        <v>7672</v>
      </c>
      <c r="C141" s="738" t="s">
        <v>370</v>
      </c>
    </row>
    <row r="142" spans="1:3" ht="41.25" x14ac:dyDescent="0.2">
      <c r="A142" s="816">
        <v>42909</v>
      </c>
      <c r="B142" s="613">
        <v>7409</v>
      </c>
      <c r="C142" s="738" t="s">
        <v>371</v>
      </c>
    </row>
    <row r="143" spans="1:3" ht="42" customHeight="1" x14ac:dyDescent="0.2">
      <c r="A143" s="816">
        <v>42910</v>
      </c>
      <c r="B143" s="613">
        <v>7721</v>
      </c>
      <c r="C143" s="738" t="s">
        <v>372</v>
      </c>
    </row>
    <row r="144" spans="1:3" ht="27.75" x14ac:dyDescent="0.2">
      <c r="A144" s="816">
        <v>42911</v>
      </c>
      <c r="B144" s="613">
        <v>7085</v>
      </c>
      <c r="C144" s="738" t="s">
        <v>374</v>
      </c>
    </row>
    <row r="145" spans="1:3" ht="24" customHeight="1" x14ac:dyDescent="0.2">
      <c r="A145" s="816">
        <v>42912</v>
      </c>
      <c r="B145" s="613">
        <v>8087</v>
      </c>
      <c r="C145" s="738" t="s">
        <v>373</v>
      </c>
    </row>
    <row r="146" spans="1:3" ht="31.5" customHeight="1" x14ac:dyDescent="0.2">
      <c r="A146" s="816">
        <v>42913</v>
      </c>
      <c r="B146" s="613">
        <v>7349</v>
      </c>
      <c r="C146" s="738" t="s">
        <v>375</v>
      </c>
    </row>
    <row r="147" spans="1:3" ht="27.75" x14ac:dyDescent="0.2">
      <c r="A147" s="816">
        <v>42914</v>
      </c>
      <c r="B147" s="613">
        <v>8375</v>
      </c>
      <c r="C147" s="738" t="s">
        <v>376</v>
      </c>
    </row>
    <row r="148" spans="1:3" ht="41.25" x14ac:dyDescent="0.2">
      <c r="A148" s="816">
        <v>42915</v>
      </c>
      <c r="B148" s="613">
        <v>7721</v>
      </c>
      <c r="C148" s="738" t="s">
        <v>377</v>
      </c>
    </row>
    <row r="149" spans="1:3" ht="41.25" x14ac:dyDescent="0.2">
      <c r="A149" s="816">
        <v>42916</v>
      </c>
      <c r="B149" s="613">
        <v>7046</v>
      </c>
      <c r="C149" s="738" t="s">
        <v>378</v>
      </c>
    </row>
    <row r="150" spans="1:3" ht="49.5" customHeight="1" x14ac:dyDescent="0.2">
      <c r="A150" s="856">
        <v>42917</v>
      </c>
      <c r="B150" s="967">
        <v>6820</v>
      </c>
      <c r="C150" s="836" t="s">
        <v>379</v>
      </c>
    </row>
    <row r="151" spans="1:3" ht="54.75" x14ac:dyDescent="0.2">
      <c r="A151" s="856">
        <v>42922</v>
      </c>
      <c r="B151" s="968">
        <v>7877</v>
      </c>
      <c r="C151" s="836" t="s">
        <v>380</v>
      </c>
    </row>
    <row r="152" spans="1:3" ht="68.25" x14ac:dyDescent="0.2">
      <c r="A152" s="856">
        <v>42928</v>
      </c>
      <c r="B152" s="969">
        <v>7877</v>
      </c>
      <c r="C152" s="836" t="s">
        <v>381</v>
      </c>
    </row>
    <row r="153" spans="1:3" ht="39" customHeight="1" x14ac:dyDescent="0.2">
      <c r="A153" s="816">
        <v>42934</v>
      </c>
      <c r="B153" s="971">
        <v>7628</v>
      </c>
      <c r="C153" s="972" t="s">
        <v>382</v>
      </c>
    </row>
    <row r="154" spans="1:3" ht="26.25" customHeight="1" x14ac:dyDescent="0.2">
      <c r="A154" s="816">
        <v>42936</v>
      </c>
      <c r="B154" s="468">
        <v>9867</v>
      </c>
      <c r="C154" s="972" t="s">
        <v>383</v>
      </c>
    </row>
    <row r="155" spans="1:3" x14ac:dyDescent="0.2">
      <c r="A155" s="816">
        <v>42937</v>
      </c>
      <c r="B155" s="975">
        <v>9579</v>
      </c>
      <c r="C155" s="938" t="s">
        <v>279</v>
      </c>
    </row>
    <row r="156" spans="1:3" x14ac:dyDescent="0.2">
      <c r="A156" s="816">
        <v>42938</v>
      </c>
      <c r="B156" s="974">
        <v>8591</v>
      </c>
      <c r="C156" s="938" t="s">
        <v>279</v>
      </c>
    </row>
    <row r="157" spans="1:3" x14ac:dyDescent="0.2">
      <c r="A157" s="816">
        <v>42939</v>
      </c>
      <c r="B157" s="976">
        <v>4054</v>
      </c>
      <c r="C157" s="50" t="s">
        <v>384</v>
      </c>
    </row>
    <row r="158" spans="1:3" x14ac:dyDescent="0.2">
      <c r="A158" s="816">
        <v>42940</v>
      </c>
      <c r="B158" s="977">
        <v>9926</v>
      </c>
      <c r="C158" s="50" t="s">
        <v>385</v>
      </c>
    </row>
    <row r="159" spans="1:3" x14ac:dyDescent="0.2">
      <c r="A159" s="816">
        <v>42941</v>
      </c>
      <c r="B159" s="974">
        <v>8278</v>
      </c>
      <c r="C159" s="50" t="s">
        <v>386</v>
      </c>
    </row>
    <row r="160" spans="1:3" ht="30" customHeight="1" x14ac:dyDescent="0.2">
      <c r="A160" s="816">
        <v>42943</v>
      </c>
      <c r="B160" s="975">
        <v>9255</v>
      </c>
      <c r="C160" s="738" t="s">
        <v>387</v>
      </c>
    </row>
    <row r="161" spans="1:3" ht="31.5" customHeight="1" x14ac:dyDescent="0.2">
      <c r="A161" s="816">
        <v>42944</v>
      </c>
      <c r="B161" s="983">
        <v>10019</v>
      </c>
      <c r="C161" s="836" t="s">
        <v>388</v>
      </c>
    </row>
    <row r="162" spans="1:3" ht="40.5" customHeight="1" x14ac:dyDescent="0.2">
      <c r="A162" s="816">
        <v>42945</v>
      </c>
      <c r="B162" s="984">
        <v>8666</v>
      </c>
      <c r="C162" s="836" t="s">
        <v>279</v>
      </c>
    </row>
    <row r="163" spans="1:3" ht="30.75" customHeight="1" x14ac:dyDescent="0.2">
      <c r="A163" s="816">
        <v>42946</v>
      </c>
      <c r="B163" s="983">
        <v>9189</v>
      </c>
      <c r="C163" s="836" t="s">
        <v>389</v>
      </c>
    </row>
    <row r="164" spans="1:3" ht="30" customHeight="1" x14ac:dyDescent="0.2">
      <c r="A164" s="816">
        <v>42947</v>
      </c>
      <c r="B164" s="983">
        <v>9520</v>
      </c>
      <c r="C164" s="822" t="s">
        <v>391</v>
      </c>
    </row>
    <row r="165" spans="1:3" ht="47.25" customHeight="1" x14ac:dyDescent="0.2">
      <c r="A165" s="981">
        <v>42948</v>
      </c>
      <c r="B165" s="980">
        <v>8545</v>
      </c>
      <c r="C165" s="982" t="s">
        <v>392</v>
      </c>
    </row>
    <row r="166" spans="1:3" ht="33.75" customHeight="1" x14ac:dyDescent="0.2">
      <c r="A166" s="816">
        <v>42949</v>
      </c>
      <c r="B166" s="985">
        <v>7736</v>
      </c>
      <c r="C166" s="836" t="s">
        <v>393</v>
      </c>
    </row>
    <row r="167" spans="1:3" ht="41.25" x14ac:dyDescent="0.2">
      <c r="A167" s="816">
        <v>42950</v>
      </c>
      <c r="B167" s="985">
        <v>7819</v>
      </c>
      <c r="C167" s="836" t="s">
        <v>394</v>
      </c>
    </row>
    <row r="168" spans="1:3" ht="27.75" x14ac:dyDescent="0.2">
      <c r="A168" s="816">
        <v>42951</v>
      </c>
      <c r="B168" s="985">
        <v>9160</v>
      </c>
      <c r="C168" s="986" t="s">
        <v>395</v>
      </c>
    </row>
    <row r="169" spans="1:3" ht="27.75" x14ac:dyDescent="0.2">
      <c r="A169" s="905">
        <v>42952</v>
      </c>
      <c r="B169" s="987">
        <v>6755</v>
      </c>
      <c r="C169" s="986" t="s">
        <v>396</v>
      </c>
    </row>
    <row r="170" spans="1:3" ht="37.5" customHeight="1" x14ac:dyDescent="0.2">
      <c r="A170" s="816">
        <v>42953</v>
      </c>
      <c r="B170" s="984">
        <v>8826</v>
      </c>
      <c r="C170" s="972" t="s">
        <v>279</v>
      </c>
    </row>
    <row r="171" spans="1:3" ht="36.75" customHeight="1" x14ac:dyDescent="0.2">
      <c r="A171" s="989">
        <v>42954</v>
      </c>
      <c r="B171" s="988">
        <v>7483</v>
      </c>
      <c r="C171" s="50" t="s">
        <v>397</v>
      </c>
    </row>
    <row r="172" spans="1:3" ht="60" customHeight="1" x14ac:dyDescent="0.2">
      <c r="A172" s="816">
        <v>42955</v>
      </c>
      <c r="B172" s="983">
        <v>9642</v>
      </c>
      <c r="C172" s="836" t="s">
        <v>398</v>
      </c>
    </row>
    <row r="173" spans="1:3" ht="42.75" customHeight="1" x14ac:dyDescent="0.2">
      <c r="A173" s="816">
        <v>42956</v>
      </c>
      <c r="B173" s="984">
        <v>8036</v>
      </c>
      <c r="C173" s="972" t="s">
        <v>400</v>
      </c>
    </row>
    <row r="174" spans="1:3" ht="33" customHeight="1" x14ac:dyDescent="0.2">
      <c r="A174" s="816">
        <v>42957</v>
      </c>
      <c r="B174" s="984">
        <v>8899</v>
      </c>
      <c r="C174" s="972" t="s">
        <v>401</v>
      </c>
    </row>
    <row r="175" spans="1:3" ht="51" customHeight="1" x14ac:dyDescent="0.2">
      <c r="A175" s="981">
        <v>42958</v>
      </c>
      <c r="B175" s="990">
        <v>8093</v>
      </c>
      <c r="C175" s="982" t="s">
        <v>402</v>
      </c>
    </row>
    <row r="176" spans="1:3" ht="77.25" customHeight="1" x14ac:dyDescent="0.2">
      <c r="A176" s="989">
        <v>42959</v>
      </c>
      <c r="B176" s="985">
        <v>7420</v>
      </c>
      <c r="C176" s="836" t="s">
        <v>403</v>
      </c>
    </row>
    <row r="177" spans="1:3" ht="25.5" customHeight="1" x14ac:dyDescent="0.2">
      <c r="A177" s="816">
        <v>42960</v>
      </c>
      <c r="B177" s="988">
        <v>8957</v>
      </c>
      <c r="C177" s="972" t="s">
        <v>404</v>
      </c>
    </row>
    <row r="178" spans="1:3" ht="87" customHeight="1" x14ac:dyDescent="0.2">
      <c r="A178" s="816">
        <v>42961</v>
      </c>
      <c r="B178" s="988">
        <v>7176</v>
      </c>
      <c r="C178" s="836" t="s">
        <v>405</v>
      </c>
    </row>
    <row r="179" spans="1:3" ht="41.25" x14ac:dyDescent="0.2">
      <c r="A179" s="816">
        <v>42962</v>
      </c>
      <c r="B179" s="984">
        <v>8846</v>
      </c>
      <c r="C179" s="836" t="s">
        <v>406</v>
      </c>
    </row>
    <row r="180" spans="1:3" ht="48.75" customHeight="1" x14ac:dyDescent="0.2">
      <c r="A180" s="816">
        <v>42963</v>
      </c>
      <c r="B180" s="468">
        <v>9317</v>
      </c>
      <c r="C180" s="972" t="s">
        <v>408</v>
      </c>
    </row>
    <row r="181" spans="1:3" ht="73.5" customHeight="1" x14ac:dyDescent="0.2">
      <c r="A181" s="816">
        <v>42964</v>
      </c>
      <c r="B181" s="992">
        <v>7266</v>
      </c>
      <c r="C181" s="836" t="s">
        <v>410</v>
      </c>
    </row>
    <row r="182" spans="1:3" ht="45.75" customHeight="1" x14ac:dyDescent="0.2">
      <c r="A182" s="816">
        <v>42965</v>
      </c>
      <c r="B182" s="993">
        <v>8883</v>
      </c>
      <c r="C182" s="836" t="s">
        <v>411</v>
      </c>
    </row>
    <row r="183" spans="1:3" ht="84.75" customHeight="1" x14ac:dyDescent="0.2">
      <c r="A183" s="816">
        <v>42966</v>
      </c>
      <c r="B183" s="995">
        <v>8815</v>
      </c>
      <c r="C183" s="836" t="s">
        <v>413</v>
      </c>
    </row>
    <row r="184" spans="1:3" ht="33.75" customHeight="1" x14ac:dyDescent="0.2">
      <c r="A184" s="816">
        <v>42967</v>
      </c>
      <c r="B184" s="994">
        <v>7562</v>
      </c>
      <c r="C184" s="997" t="s">
        <v>414</v>
      </c>
    </row>
    <row r="185" spans="1:3" ht="47.25" customHeight="1" x14ac:dyDescent="0.2">
      <c r="A185" s="816">
        <v>42968</v>
      </c>
      <c r="B185" s="995">
        <v>8493</v>
      </c>
      <c r="C185" s="836" t="s">
        <v>415</v>
      </c>
    </row>
    <row r="186" spans="1:3" ht="31.5" customHeight="1" x14ac:dyDescent="0.2">
      <c r="A186" s="816">
        <v>42969</v>
      </c>
      <c r="B186" s="995">
        <v>8789</v>
      </c>
      <c r="C186" s="996" t="s">
        <v>416</v>
      </c>
    </row>
    <row r="187" spans="1:3" ht="36" customHeight="1" x14ac:dyDescent="0.2">
      <c r="A187" s="816">
        <v>42970</v>
      </c>
      <c r="B187" s="995">
        <v>8634</v>
      </c>
      <c r="C187" s="836" t="s">
        <v>417</v>
      </c>
    </row>
    <row r="188" spans="1:3" ht="43.5" customHeight="1" x14ac:dyDescent="0.2">
      <c r="A188" s="913">
        <v>42971</v>
      </c>
      <c r="B188" s="998">
        <v>7842</v>
      </c>
      <c r="C188" s="999" t="s">
        <v>418</v>
      </c>
    </row>
    <row r="189" spans="1:3" ht="48" customHeight="1" x14ac:dyDescent="0.2">
      <c r="A189" s="816">
        <v>42972</v>
      </c>
      <c r="B189" s="994">
        <v>6873</v>
      </c>
      <c r="C189" s="836" t="s">
        <v>419</v>
      </c>
    </row>
    <row r="190" spans="1:3" ht="32.25" customHeight="1" x14ac:dyDescent="0.2">
      <c r="A190" s="816">
        <v>42973</v>
      </c>
      <c r="B190" s="994">
        <v>6793</v>
      </c>
      <c r="C190" s="836" t="s">
        <v>420</v>
      </c>
    </row>
    <row r="191" spans="1:3" ht="27" customHeight="1" x14ac:dyDescent="0.2">
      <c r="A191" s="816">
        <v>42974</v>
      </c>
      <c r="B191" s="1000">
        <v>8651</v>
      </c>
      <c r="C191" s="972" t="s">
        <v>421</v>
      </c>
    </row>
    <row r="192" spans="1:3" ht="51" customHeight="1" x14ac:dyDescent="0.2">
      <c r="A192" s="816">
        <v>42975</v>
      </c>
      <c r="B192" s="1000">
        <v>8843</v>
      </c>
      <c r="C192" s="836" t="s">
        <v>422</v>
      </c>
    </row>
    <row r="193" spans="1:3" ht="60" customHeight="1" x14ac:dyDescent="0.2">
      <c r="A193" s="816">
        <v>42976</v>
      </c>
      <c r="B193" s="1003">
        <v>8131</v>
      </c>
      <c r="C193" s="836" t="s">
        <v>424</v>
      </c>
    </row>
    <row r="194" spans="1:3" ht="42" customHeight="1" x14ac:dyDescent="0.2">
      <c r="A194" s="816">
        <v>42977</v>
      </c>
      <c r="B194" s="1002">
        <v>7787</v>
      </c>
      <c r="C194" s="836" t="s">
        <v>425</v>
      </c>
    </row>
    <row r="195" spans="1:3" x14ac:dyDescent="0.2">
      <c r="A195" s="816">
        <v>42978</v>
      </c>
      <c r="B195" s="50"/>
      <c r="C195" s="50"/>
    </row>
    <row r="196" spans="1:3" x14ac:dyDescent="0.2">
      <c r="A196" s="816">
        <v>42979</v>
      </c>
      <c r="B196" s="50"/>
      <c r="C196" s="50"/>
    </row>
    <row r="197" spans="1:3" x14ac:dyDescent="0.2">
      <c r="A197" s="816">
        <v>42980</v>
      </c>
    </row>
    <row r="198" spans="1:3" x14ac:dyDescent="0.2">
      <c r="A198" s="816">
        <v>42981</v>
      </c>
    </row>
    <row r="199" spans="1:3" x14ac:dyDescent="0.2">
      <c r="A199" s="816">
        <v>42982</v>
      </c>
    </row>
    <row r="200" spans="1:3" x14ac:dyDescent="0.2">
      <c r="A200" s="816">
        <v>42983</v>
      </c>
    </row>
    <row r="201" spans="1:3" x14ac:dyDescent="0.2">
      <c r="A201" s="816">
        <v>42984</v>
      </c>
    </row>
    <row r="202" spans="1:3" x14ac:dyDescent="0.2">
      <c r="A202" s="816">
        <v>42985</v>
      </c>
    </row>
    <row r="203" spans="1:3" x14ac:dyDescent="0.2">
      <c r="A203" s="816">
        <v>42986</v>
      </c>
    </row>
    <row r="204" spans="1:3" x14ac:dyDescent="0.2">
      <c r="A204" s="816">
        <v>42987</v>
      </c>
    </row>
    <row r="205" spans="1:3" x14ac:dyDescent="0.2">
      <c r="A205" s="816">
        <v>42988</v>
      </c>
    </row>
    <row r="206" spans="1:3" x14ac:dyDescent="0.2">
      <c r="A206" s="816">
        <v>42989</v>
      </c>
    </row>
    <row r="207" spans="1:3" x14ac:dyDescent="0.2">
      <c r="A207" s="816">
        <v>42990</v>
      </c>
    </row>
    <row r="208" spans="1:3" x14ac:dyDescent="0.2">
      <c r="A208" s="816">
        <v>42991</v>
      </c>
    </row>
    <row r="209" spans="1:1" x14ac:dyDescent="0.2">
      <c r="A209" s="816">
        <v>42992</v>
      </c>
    </row>
    <row r="210" spans="1:1" x14ac:dyDescent="0.2">
      <c r="A210" s="816">
        <v>42993</v>
      </c>
    </row>
    <row r="211" spans="1:1" x14ac:dyDescent="0.2">
      <c r="A211" s="816">
        <v>42994</v>
      </c>
    </row>
    <row r="212" spans="1:1" x14ac:dyDescent="0.2">
      <c r="A212" s="816">
        <v>42995</v>
      </c>
    </row>
    <row r="213" spans="1:1" x14ac:dyDescent="0.2">
      <c r="A213" s="816">
        <v>42996</v>
      </c>
    </row>
    <row r="214" spans="1:1" x14ac:dyDescent="0.2">
      <c r="A214" s="816">
        <v>42997</v>
      </c>
    </row>
    <row r="215" spans="1:1" x14ac:dyDescent="0.2">
      <c r="A215" s="816">
        <v>42998</v>
      </c>
    </row>
    <row r="216" spans="1:1" x14ac:dyDescent="0.2">
      <c r="A216" s="816">
        <v>42999</v>
      </c>
    </row>
    <row r="217" spans="1:1" x14ac:dyDescent="0.2">
      <c r="A217" s="816">
        <v>43000</v>
      </c>
    </row>
    <row r="218" spans="1:1" x14ac:dyDescent="0.2">
      <c r="A218" s="816">
        <v>43001</v>
      </c>
    </row>
    <row r="219" spans="1:1" x14ac:dyDescent="0.2">
      <c r="A219" s="816">
        <v>43002</v>
      </c>
    </row>
    <row r="220" spans="1:1" x14ac:dyDescent="0.2">
      <c r="A220" s="816">
        <v>43003</v>
      </c>
    </row>
    <row r="221" spans="1:1" x14ac:dyDescent="0.2">
      <c r="A221" s="816">
        <v>43004</v>
      </c>
    </row>
    <row r="222" spans="1:1" x14ac:dyDescent="0.2">
      <c r="A222" s="816">
        <v>43005</v>
      </c>
    </row>
    <row r="223" spans="1:1" x14ac:dyDescent="0.2">
      <c r="A223" s="816">
        <v>43006</v>
      </c>
    </row>
    <row r="224" spans="1:1" x14ac:dyDescent="0.2">
      <c r="A224" s="816">
        <v>43007</v>
      </c>
    </row>
    <row r="225" spans="1:1" x14ac:dyDescent="0.2">
      <c r="A225" s="816">
        <v>43008</v>
      </c>
    </row>
    <row r="226" spans="1:1" x14ac:dyDescent="0.2">
      <c r="A226" s="816">
        <v>43009</v>
      </c>
    </row>
    <row r="227" spans="1:1" x14ac:dyDescent="0.2">
      <c r="A227" s="816">
        <v>43010</v>
      </c>
    </row>
    <row r="228" spans="1:1" x14ac:dyDescent="0.2">
      <c r="A228" s="816">
        <v>43011</v>
      </c>
    </row>
    <row r="229" spans="1:1" x14ac:dyDescent="0.2">
      <c r="A229" s="816">
        <v>43012</v>
      </c>
    </row>
    <row r="230" spans="1:1" x14ac:dyDescent="0.2">
      <c r="A230" s="816">
        <v>43013</v>
      </c>
    </row>
    <row r="231" spans="1:1" x14ac:dyDescent="0.2">
      <c r="A231" s="816">
        <v>43014</v>
      </c>
    </row>
    <row r="232" spans="1:1" x14ac:dyDescent="0.2">
      <c r="A232" s="816">
        <v>43015</v>
      </c>
    </row>
    <row r="233" spans="1:1" x14ac:dyDescent="0.2">
      <c r="A233" s="816">
        <v>43016</v>
      </c>
    </row>
    <row r="234" spans="1:1" x14ac:dyDescent="0.2">
      <c r="A234" s="816">
        <v>43017</v>
      </c>
    </row>
    <row r="235" spans="1:1" x14ac:dyDescent="0.2">
      <c r="A235" s="816">
        <v>43018</v>
      </c>
    </row>
    <row r="236" spans="1:1" x14ac:dyDescent="0.2">
      <c r="A236" s="816">
        <v>43019</v>
      </c>
    </row>
    <row r="237" spans="1:1" x14ac:dyDescent="0.2">
      <c r="A237" s="816">
        <v>43020</v>
      </c>
    </row>
    <row r="238" spans="1:1" x14ac:dyDescent="0.2">
      <c r="A238" s="816">
        <v>43021</v>
      </c>
    </row>
    <row r="239" spans="1:1" x14ac:dyDescent="0.2">
      <c r="A239" s="816">
        <v>43022</v>
      </c>
    </row>
    <row r="240" spans="1:1" x14ac:dyDescent="0.2">
      <c r="A240" s="816">
        <v>43023</v>
      </c>
    </row>
    <row r="241" spans="1:1" x14ac:dyDescent="0.2">
      <c r="A241" s="816">
        <v>43024</v>
      </c>
    </row>
    <row r="242" spans="1:1" x14ac:dyDescent="0.2">
      <c r="A242" s="816">
        <v>43025</v>
      </c>
    </row>
    <row r="243" spans="1:1" x14ac:dyDescent="0.2">
      <c r="A243" s="816">
        <v>43026</v>
      </c>
    </row>
    <row r="244" spans="1:1" x14ac:dyDescent="0.2">
      <c r="A244" s="816">
        <v>43027</v>
      </c>
    </row>
    <row r="245" spans="1:1" x14ac:dyDescent="0.2">
      <c r="A245" s="816">
        <v>43028</v>
      </c>
    </row>
    <row r="246" spans="1:1" x14ac:dyDescent="0.2">
      <c r="A246" s="816">
        <v>43029</v>
      </c>
    </row>
    <row r="247" spans="1:1" x14ac:dyDescent="0.2">
      <c r="A247" s="816">
        <v>43030</v>
      </c>
    </row>
    <row r="248" spans="1:1" x14ac:dyDescent="0.2">
      <c r="A248" s="816">
        <v>43031</v>
      </c>
    </row>
    <row r="249" spans="1:1" x14ac:dyDescent="0.2">
      <c r="A249" s="816">
        <v>43032</v>
      </c>
    </row>
    <row r="250" spans="1:1" x14ac:dyDescent="0.2">
      <c r="A250" s="816">
        <v>43033</v>
      </c>
    </row>
    <row r="251" spans="1:1" x14ac:dyDescent="0.2">
      <c r="A251" s="816">
        <v>43034</v>
      </c>
    </row>
    <row r="252" spans="1:1" x14ac:dyDescent="0.2">
      <c r="A252" s="816">
        <v>43035</v>
      </c>
    </row>
    <row r="253" spans="1:1" x14ac:dyDescent="0.2">
      <c r="A253" s="816">
        <v>43036</v>
      </c>
    </row>
    <row r="254" spans="1:1" x14ac:dyDescent="0.2">
      <c r="A254" s="816">
        <v>43037</v>
      </c>
    </row>
    <row r="255" spans="1:1" x14ac:dyDescent="0.2">
      <c r="A255" s="816">
        <v>43038</v>
      </c>
    </row>
    <row r="256" spans="1:1" x14ac:dyDescent="0.2">
      <c r="A256" s="816">
        <v>43039</v>
      </c>
    </row>
    <row r="257" spans="1:1" x14ac:dyDescent="0.2">
      <c r="A257" s="816">
        <v>43040</v>
      </c>
    </row>
    <row r="258" spans="1:1" x14ac:dyDescent="0.2">
      <c r="A258" s="816">
        <v>43041</v>
      </c>
    </row>
    <row r="259" spans="1:1" x14ac:dyDescent="0.2">
      <c r="A259" s="816">
        <v>43042</v>
      </c>
    </row>
    <row r="260" spans="1:1" x14ac:dyDescent="0.2">
      <c r="A260" s="816">
        <v>43043</v>
      </c>
    </row>
    <row r="261" spans="1:1" x14ac:dyDescent="0.2">
      <c r="A261" s="816">
        <v>43044</v>
      </c>
    </row>
    <row r="262" spans="1:1" x14ac:dyDescent="0.2">
      <c r="A262" s="816">
        <v>43045</v>
      </c>
    </row>
    <row r="263" spans="1:1" x14ac:dyDescent="0.2">
      <c r="A263" s="816">
        <v>43046</v>
      </c>
    </row>
    <row r="264" spans="1:1" x14ac:dyDescent="0.2">
      <c r="A264" s="816">
        <v>43047</v>
      </c>
    </row>
    <row r="265" spans="1:1" x14ac:dyDescent="0.2">
      <c r="A265" s="816">
        <v>43048</v>
      </c>
    </row>
    <row r="266" spans="1:1" x14ac:dyDescent="0.2">
      <c r="A266" s="816">
        <v>43049</v>
      </c>
    </row>
    <row r="267" spans="1:1" x14ac:dyDescent="0.2">
      <c r="A267" s="816">
        <v>43050</v>
      </c>
    </row>
    <row r="268" spans="1:1" x14ac:dyDescent="0.2">
      <c r="A268" s="816">
        <v>43051</v>
      </c>
    </row>
    <row r="269" spans="1:1" x14ac:dyDescent="0.2">
      <c r="A269" s="816">
        <v>43052</v>
      </c>
    </row>
    <row r="270" spans="1:1" x14ac:dyDescent="0.2">
      <c r="A270" s="816">
        <v>43053</v>
      </c>
    </row>
    <row r="271" spans="1:1" x14ac:dyDescent="0.2">
      <c r="A271" s="816">
        <v>43054</v>
      </c>
    </row>
    <row r="272" spans="1:1" x14ac:dyDescent="0.2">
      <c r="A272" s="816">
        <v>43055</v>
      </c>
    </row>
    <row r="273" spans="1:1" x14ac:dyDescent="0.2">
      <c r="A273" s="816">
        <v>43056</v>
      </c>
    </row>
    <row r="274" spans="1:1" x14ac:dyDescent="0.2">
      <c r="A274" s="816">
        <v>43057</v>
      </c>
    </row>
    <row r="275" spans="1:1" x14ac:dyDescent="0.2">
      <c r="A275" s="816">
        <v>43058</v>
      </c>
    </row>
    <row r="276" spans="1:1" x14ac:dyDescent="0.2">
      <c r="A276" s="816">
        <v>43059</v>
      </c>
    </row>
    <row r="277" spans="1:1" x14ac:dyDescent="0.2">
      <c r="A277" s="816">
        <v>43060</v>
      </c>
    </row>
    <row r="278" spans="1:1" x14ac:dyDescent="0.2">
      <c r="A278" s="816">
        <v>43061</v>
      </c>
    </row>
    <row r="279" spans="1:1" x14ac:dyDescent="0.2">
      <c r="A279" s="816">
        <v>43062</v>
      </c>
    </row>
    <row r="280" spans="1:1" x14ac:dyDescent="0.2">
      <c r="A280" s="816">
        <v>43063</v>
      </c>
    </row>
    <row r="281" spans="1:1" x14ac:dyDescent="0.2">
      <c r="A281" s="816">
        <v>43064</v>
      </c>
    </row>
    <row r="282" spans="1:1" x14ac:dyDescent="0.2">
      <c r="A282" s="816">
        <v>43065</v>
      </c>
    </row>
    <row r="283" spans="1:1" x14ac:dyDescent="0.2">
      <c r="A283" s="816">
        <v>43066</v>
      </c>
    </row>
    <row r="284" spans="1:1" x14ac:dyDescent="0.2">
      <c r="A284" s="816">
        <v>43067</v>
      </c>
    </row>
    <row r="285" spans="1:1" x14ac:dyDescent="0.2">
      <c r="A285" s="816">
        <v>43068</v>
      </c>
    </row>
    <row r="286" spans="1:1" x14ac:dyDescent="0.2">
      <c r="A286" s="816">
        <v>43069</v>
      </c>
    </row>
    <row r="287" spans="1:1" x14ac:dyDescent="0.2">
      <c r="A287" s="816">
        <v>43070</v>
      </c>
    </row>
    <row r="288" spans="1:1" x14ac:dyDescent="0.2">
      <c r="A288" s="816">
        <v>43071</v>
      </c>
    </row>
    <row r="289" spans="1:1" x14ac:dyDescent="0.2">
      <c r="A289" s="816">
        <v>43072</v>
      </c>
    </row>
    <row r="290" spans="1:1" x14ac:dyDescent="0.2">
      <c r="A290" s="816">
        <v>43073</v>
      </c>
    </row>
    <row r="291" spans="1:1" x14ac:dyDescent="0.2">
      <c r="A291" s="816">
        <v>43074</v>
      </c>
    </row>
    <row r="292" spans="1:1" x14ac:dyDescent="0.2">
      <c r="A292" s="816">
        <v>43075</v>
      </c>
    </row>
    <row r="293" spans="1:1" x14ac:dyDescent="0.2">
      <c r="A293" s="816">
        <v>43076</v>
      </c>
    </row>
    <row r="294" spans="1:1" x14ac:dyDescent="0.2">
      <c r="A294" s="816">
        <v>43077</v>
      </c>
    </row>
    <row r="295" spans="1:1" x14ac:dyDescent="0.2">
      <c r="A295" s="816">
        <v>43078</v>
      </c>
    </row>
    <row r="296" spans="1:1" x14ac:dyDescent="0.2">
      <c r="A296" s="816">
        <v>43079</v>
      </c>
    </row>
    <row r="297" spans="1:1" x14ac:dyDescent="0.2">
      <c r="A297" s="816">
        <v>43080</v>
      </c>
    </row>
    <row r="298" spans="1:1" x14ac:dyDescent="0.2">
      <c r="A298" s="816">
        <v>43081</v>
      </c>
    </row>
    <row r="299" spans="1:1" x14ac:dyDescent="0.2">
      <c r="A299" s="816">
        <v>43082</v>
      </c>
    </row>
    <row r="300" spans="1:1" x14ac:dyDescent="0.2">
      <c r="A300" s="816">
        <v>43083</v>
      </c>
    </row>
    <row r="301" spans="1:1" x14ac:dyDescent="0.2">
      <c r="A301" s="816">
        <v>43084</v>
      </c>
    </row>
    <row r="302" spans="1:1" x14ac:dyDescent="0.2">
      <c r="A302" s="816">
        <v>43085</v>
      </c>
    </row>
    <row r="303" spans="1:1" x14ac:dyDescent="0.2">
      <c r="A303" s="816">
        <v>43086</v>
      </c>
    </row>
    <row r="304" spans="1:1" x14ac:dyDescent="0.2">
      <c r="A304" s="816">
        <v>43087</v>
      </c>
    </row>
    <row r="305" spans="1:1" x14ac:dyDescent="0.2">
      <c r="A305" s="816">
        <v>43088</v>
      </c>
    </row>
    <row r="306" spans="1:1" x14ac:dyDescent="0.2">
      <c r="A306" s="816">
        <v>43089</v>
      </c>
    </row>
    <row r="307" spans="1:1" x14ac:dyDescent="0.2">
      <c r="A307" s="816">
        <v>43090</v>
      </c>
    </row>
    <row r="308" spans="1:1" x14ac:dyDescent="0.2">
      <c r="A308" s="816">
        <v>43091</v>
      </c>
    </row>
    <row r="309" spans="1:1" x14ac:dyDescent="0.2">
      <c r="A309" s="816">
        <v>43092</v>
      </c>
    </row>
    <row r="310" spans="1:1" x14ac:dyDescent="0.2">
      <c r="A310" s="816">
        <v>43093</v>
      </c>
    </row>
    <row r="311" spans="1:1" x14ac:dyDescent="0.2">
      <c r="A311" s="816">
        <v>43094</v>
      </c>
    </row>
    <row r="312" spans="1:1" x14ac:dyDescent="0.2">
      <c r="A312" s="816">
        <v>43095</v>
      </c>
    </row>
    <row r="313" spans="1:1" x14ac:dyDescent="0.2">
      <c r="A313" s="816">
        <v>43096</v>
      </c>
    </row>
    <row r="314" spans="1:1" x14ac:dyDescent="0.2">
      <c r="A314" s="816">
        <v>43097</v>
      </c>
    </row>
    <row r="315" spans="1:1" x14ac:dyDescent="0.2">
      <c r="A315" s="816">
        <v>43098</v>
      </c>
    </row>
    <row r="316" spans="1:1" x14ac:dyDescent="0.2">
      <c r="A316" s="816">
        <v>43099</v>
      </c>
    </row>
    <row r="317" spans="1:1" x14ac:dyDescent="0.2">
      <c r="A317" s="816">
        <v>43100</v>
      </c>
    </row>
    <row r="318" spans="1:1" x14ac:dyDescent="0.2">
      <c r="A318" s="816"/>
    </row>
  </sheetData>
  <mergeCells count="3">
    <mergeCell ref="A67:A69"/>
    <mergeCell ref="B67:B69"/>
    <mergeCell ref="C67:C69"/>
  </mergeCells>
  <phoneticPr fontId="12"/>
  <pageMargins left="0.7" right="0.7" top="0.75" bottom="0.75" header="0.3" footer="0.3"/>
  <pageSetup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JC191"/>
  <sheetViews>
    <sheetView tabSelected="1" zoomScale="60" zoomScaleNormal="60" zoomScaleSheetLayoutView="100" workbookViewId="0">
      <pane xSplit="4" ySplit="16" topLeftCell="BGJ17" activePane="bottomRight" state="frozen"/>
      <selection activeCell="E1" sqref="E1"/>
      <selection pane="bottomLeft" activeCell="E16" sqref="E16"/>
      <selection pane="topRight" activeCell="F1" sqref="F1"/>
      <selection pane="bottomRight" activeCell="BGM13" sqref="BGM13"/>
    </sheetView>
  </sheetViews>
  <sheetFormatPr defaultRowHeight="15.75" x14ac:dyDescent="0.2"/>
  <cols>
    <col min="1" max="1" width="12.9140625" hidden="1" customWidth="1"/>
    <col min="2" max="2" width="13.85546875" hidden="1" customWidth="1"/>
    <col min="3" max="3" width="12.10546875" hidden="1" customWidth="1"/>
    <col min="4" max="4" width="16.8125" hidden="1" customWidth="1"/>
    <col min="5" max="1403" width="13.31640625" hidden="1" customWidth="1"/>
    <col min="1404" max="1404" width="13.31640625" style="1035" hidden="1" customWidth="1"/>
    <col min="1405" max="1504" width="11.703125" style="1035" hidden="1" customWidth="1"/>
    <col min="1505" max="1505" width="11.97265625" style="1035" hidden="1" customWidth="1"/>
    <col min="1506" max="1506" width="13.71875" style="1035" hidden="1" customWidth="1"/>
    <col min="1507" max="1507" width="12.64453125" style="1035" hidden="1" customWidth="1"/>
    <col min="1508" max="1508" width="11.56640625" style="1035" hidden="1" customWidth="1"/>
    <col min="1509" max="1509" width="11.703125" style="1035" hidden="1" customWidth="1"/>
    <col min="1510" max="1510" width="12.10546875" style="1035" hidden="1" customWidth="1"/>
    <col min="1511" max="1518" width="11.703125" style="1035" hidden="1" customWidth="1"/>
    <col min="1519" max="1526" width="11.97265625" style="1035" hidden="1" customWidth="1"/>
    <col min="1527" max="1532" width="11.97265625" style="1035" bestFit="1" customWidth="1"/>
    <col min="1533" max="1533" width="11.97265625" style="1035" customWidth="1"/>
    <col min="1534" max="1534" width="11.703125" customWidth="1"/>
    <col min="1535" max="1535" width="11.43359375" customWidth="1"/>
    <col min="1536" max="1536" width="11.97265625" style="1035" customWidth="1"/>
    <col min="1537" max="1537" width="12.64453125" style="1035" customWidth="1"/>
    <col min="1538" max="1538" width="11.56640625" style="1035" customWidth="1"/>
    <col min="1539" max="1581" width="11.703125" style="1035" customWidth="1"/>
    <col min="1582" max="1615" width="9.14453125" style="1035"/>
  </cols>
  <sheetData>
    <row r="1" spans="1:1615" ht="23.25" customHeight="1" thickBot="1" x14ac:dyDescent="0.25">
      <c r="A1" s="1"/>
      <c r="B1" s="1"/>
      <c r="C1" s="1"/>
      <c r="D1" s="1"/>
      <c r="E1" s="1151"/>
      <c r="F1" s="1151"/>
      <c r="G1" s="1151"/>
      <c r="H1" s="1151"/>
      <c r="I1" s="1151"/>
      <c r="J1" s="1151"/>
      <c r="K1" s="1151"/>
      <c r="L1" s="1151"/>
      <c r="M1" s="1151"/>
      <c r="N1" s="1151"/>
      <c r="O1" s="1151"/>
      <c r="P1" s="1151"/>
      <c r="Q1" s="1151"/>
      <c r="R1" s="1151"/>
      <c r="S1" s="1151"/>
      <c r="T1" s="1151"/>
      <c r="U1" s="1151"/>
      <c r="V1" s="1151"/>
      <c r="W1" s="1151"/>
      <c r="X1" s="1151"/>
      <c r="Y1" s="1151"/>
      <c r="Z1" s="1151"/>
      <c r="AA1" s="1151"/>
      <c r="AB1" s="1151"/>
      <c r="AC1" s="1151"/>
      <c r="AD1" s="1151"/>
      <c r="AE1" s="1151"/>
      <c r="AF1" s="1151"/>
      <c r="AG1" s="1151"/>
      <c r="AH1" s="1151"/>
      <c r="AI1" s="1151"/>
      <c r="AJ1" s="1151"/>
      <c r="AK1" s="1151"/>
      <c r="AL1" s="1151"/>
      <c r="AM1" s="1151"/>
      <c r="AN1" s="1151"/>
      <c r="AO1" s="1151"/>
      <c r="AP1" s="1151"/>
      <c r="AQ1" s="1151"/>
      <c r="AR1" s="1151"/>
      <c r="AS1" s="1151"/>
      <c r="AT1" s="1151"/>
      <c r="AU1" s="1151"/>
      <c r="AV1" s="1151"/>
      <c r="AW1" s="1151"/>
      <c r="AX1" s="1151"/>
      <c r="AY1" s="1151"/>
      <c r="AZ1" s="1151"/>
      <c r="BA1" s="1151"/>
      <c r="BB1" s="1151"/>
      <c r="BC1" s="1151"/>
      <c r="BD1" s="1151"/>
      <c r="BE1" s="1151"/>
      <c r="BF1" s="1151"/>
      <c r="BG1" s="1151"/>
      <c r="BH1" s="1151"/>
      <c r="BI1" s="1151"/>
      <c r="BJ1" s="1151"/>
      <c r="BK1" s="1151"/>
      <c r="BL1" s="1151"/>
      <c r="BM1" s="1151"/>
      <c r="BN1" s="1151"/>
      <c r="BO1" s="1151"/>
      <c r="BP1" s="1151"/>
      <c r="BQ1" s="1151"/>
      <c r="BR1" s="1151"/>
      <c r="BS1" s="1151"/>
      <c r="BT1" s="1151"/>
      <c r="BU1" s="1151"/>
      <c r="BV1" s="1151"/>
      <c r="BW1" s="1151"/>
      <c r="BX1" s="1151"/>
      <c r="BY1" s="1151"/>
      <c r="BZ1" s="1151"/>
      <c r="CA1" s="1151"/>
      <c r="CB1" s="1151"/>
      <c r="CC1" s="1151"/>
      <c r="CD1" s="1151"/>
      <c r="CE1" s="1151"/>
      <c r="CF1" s="1151"/>
      <c r="CG1" s="1151"/>
      <c r="CH1" s="1151"/>
      <c r="CI1" s="1151"/>
      <c r="CJ1" s="1151"/>
      <c r="CK1" s="1151"/>
      <c r="CL1" s="1151"/>
      <c r="CM1" s="1151"/>
      <c r="CN1" s="1151"/>
      <c r="CO1" s="1151"/>
      <c r="CP1" s="1151"/>
      <c r="CQ1" s="1151"/>
      <c r="CR1" s="1151"/>
      <c r="CS1" s="1151"/>
      <c r="CT1" s="1151"/>
      <c r="CU1" s="1151"/>
      <c r="CV1" s="1151"/>
      <c r="CW1" s="1151"/>
      <c r="CX1" s="1151"/>
      <c r="CY1" s="1151"/>
      <c r="CZ1" s="1151"/>
      <c r="DA1" s="1151"/>
      <c r="DB1" s="1151"/>
      <c r="DC1" s="1151"/>
      <c r="DD1" s="1151"/>
      <c r="DE1" s="1151"/>
      <c r="DF1" s="1151"/>
      <c r="DG1" s="1151"/>
      <c r="DH1" s="1151"/>
      <c r="DI1" s="1151"/>
      <c r="DJ1" s="1151"/>
      <c r="DK1" s="1151"/>
      <c r="DL1" s="1151"/>
      <c r="DM1" s="1151"/>
      <c r="DN1" s="1151"/>
      <c r="DO1" s="1151"/>
      <c r="DP1" s="1151"/>
      <c r="DQ1" s="1151"/>
      <c r="DR1" s="1151"/>
      <c r="DS1" s="1151"/>
      <c r="DT1" s="1151"/>
      <c r="DU1" s="1151"/>
      <c r="DV1" s="1151"/>
      <c r="DW1" s="1151"/>
      <c r="DX1" s="1151"/>
      <c r="DY1" s="1151"/>
      <c r="DZ1" s="1151"/>
      <c r="EA1" s="1151"/>
      <c r="EB1" s="1151"/>
      <c r="EC1" s="1151"/>
      <c r="ED1" s="1151"/>
      <c r="EE1" s="1151"/>
      <c r="EF1" s="1151"/>
      <c r="EG1" s="1151"/>
      <c r="EH1" s="1151"/>
      <c r="EI1" s="1151"/>
      <c r="EJ1" s="1151"/>
      <c r="EK1" s="1151"/>
      <c r="EL1" s="1151"/>
      <c r="EM1" s="1151"/>
      <c r="EN1" s="1151"/>
      <c r="EO1" s="1151"/>
      <c r="EP1" s="1151"/>
      <c r="EQ1" s="1151"/>
      <c r="ER1" s="1151"/>
      <c r="ES1" s="1151"/>
      <c r="ET1" s="1151"/>
      <c r="EU1" s="1151"/>
      <c r="EV1" s="1151"/>
      <c r="EW1" s="1151"/>
      <c r="EX1" s="1151"/>
      <c r="EY1" s="1151"/>
      <c r="EZ1" s="1151"/>
      <c r="FA1" s="1151"/>
      <c r="FB1" s="1151"/>
      <c r="FC1" s="1151"/>
      <c r="FD1" s="1151"/>
      <c r="FE1" s="1151"/>
      <c r="FF1" s="1151"/>
      <c r="FG1" s="1151"/>
      <c r="FH1" s="1151"/>
      <c r="FI1" s="1151"/>
      <c r="FJ1" s="1151"/>
      <c r="FK1" s="7"/>
      <c r="FL1" s="7"/>
      <c r="FM1" s="7"/>
      <c r="FN1" s="7"/>
      <c r="FO1" s="7"/>
      <c r="FP1" s="7"/>
      <c r="FQ1" s="7"/>
      <c r="FR1" s="7"/>
      <c r="FS1" s="7"/>
      <c r="FT1" s="7"/>
      <c r="FU1" s="7"/>
      <c r="FV1" s="7"/>
      <c r="FW1" s="7"/>
      <c r="FX1" s="7"/>
      <c r="FY1" s="7"/>
      <c r="FZ1" s="7"/>
      <c r="GA1" s="7"/>
      <c r="GB1" s="7"/>
      <c r="GC1" s="7"/>
      <c r="GD1" s="7"/>
      <c r="GE1" s="7"/>
      <c r="GF1" s="7"/>
      <c r="GG1" s="7"/>
      <c r="GH1" s="7"/>
      <c r="GI1" s="7"/>
      <c r="GJ1" s="7"/>
      <c r="GK1" s="7"/>
      <c r="GL1" s="7"/>
      <c r="GM1" s="7"/>
      <c r="GN1" s="7"/>
      <c r="GO1" s="7"/>
      <c r="GP1" s="7"/>
      <c r="GQ1" s="7"/>
      <c r="GR1" s="7"/>
      <c r="GS1" s="7"/>
      <c r="GT1" s="7"/>
      <c r="GU1" s="7"/>
      <c r="GV1" s="7"/>
      <c r="GW1" s="7"/>
      <c r="GX1" s="7"/>
      <c r="GY1" s="7"/>
      <c r="GZ1" s="7"/>
      <c r="HA1" s="7"/>
      <c r="HB1" s="7"/>
      <c r="HC1" s="7"/>
      <c r="HD1" s="7"/>
      <c r="HE1" s="7"/>
      <c r="HF1" s="7"/>
      <c r="HG1" s="7"/>
      <c r="HH1" s="7"/>
      <c r="HI1" s="7"/>
      <c r="HJ1" s="8"/>
      <c r="HK1" s="7"/>
      <c r="HL1" s="1"/>
      <c r="KO1" s="23"/>
      <c r="KW1">
        <v>46.25</v>
      </c>
      <c r="OB1" s="137"/>
      <c r="OC1" s="137" t="s">
        <v>11</v>
      </c>
      <c r="OD1" s="137"/>
      <c r="OE1" s="137"/>
      <c r="OF1" s="137"/>
      <c r="OG1" s="137"/>
      <c r="OH1" s="137"/>
      <c r="OI1" s="137"/>
      <c r="OJ1" s="141">
        <v>0</v>
      </c>
      <c r="OK1" s="139" t="s">
        <v>9</v>
      </c>
      <c r="OL1" s="140">
        <v>1.0077456597039305</v>
      </c>
      <c r="OM1" s="140" t="s">
        <v>8</v>
      </c>
      <c r="ON1" s="137"/>
      <c r="PH1" s="137" t="s">
        <v>11</v>
      </c>
      <c r="PI1" s="137"/>
      <c r="PJ1" s="137"/>
      <c r="PK1" s="137"/>
      <c r="PL1" s="137"/>
      <c r="PM1" s="137"/>
      <c r="PN1" s="137"/>
      <c r="PO1" s="138">
        <v>0</v>
      </c>
      <c r="PP1" s="139" t="s">
        <v>9</v>
      </c>
      <c r="PQ1" s="140">
        <v>1.0077456597039305</v>
      </c>
      <c r="PR1" s="140" t="s">
        <v>8</v>
      </c>
      <c r="PS1" s="137" t="s">
        <v>81</v>
      </c>
      <c r="PT1" s="137"/>
      <c r="PU1" s="137"/>
      <c r="PV1" s="137"/>
      <c r="PW1" s="137"/>
      <c r="PX1" s="137"/>
      <c r="PY1" s="137"/>
      <c r="QS1">
        <f>1983+7583</f>
        <v>9566</v>
      </c>
      <c r="QT1" t="s">
        <v>89</v>
      </c>
      <c r="UT1" s="352" t="s">
        <v>135</v>
      </c>
      <c r="UU1" s="352">
        <v>2150</v>
      </c>
      <c r="UV1" s="352">
        <v>4013</v>
      </c>
      <c r="UW1" s="352">
        <v>2418</v>
      </c>
      <c r="UX1" s="352">
        <v>2473</v>
      </c>
      <c r="UY1" s="352">
        <v>2308</v>
      </c>
      <c r="UZ1" s="352">
        <v>6790</v>
      </c>
      <c r="VA1" s="352">
        <v>5940</v>
      </c>
      <c r="VB1" s="352">
        <v>5857</v>
      </c>
      <c r="VC1" s="352">
        <v>7232</v>
      </c>
      <c r="VD1" s="352">
        <v>7596</v>
      </c>
      <c r="VE1" s="352">
        <v>5967</v>
      </c>
      <c r="VF1" s="352">
        <v>7210</v>
      </c>
      <c r="YZ1" s="1174"/>
      <c r="ZA1" s="1174"/>
      <c r="ZB1" s="1174"/>
      <c r="ZC1" s="1174"/>
      <c r="ADQ1">
        <f>0.105+1-0.96</f>
        <v>0.14500000000000002</v>
      </c>
      <c r="ADR1">
        <f>ADQ1*ADP13</f>
        <v>2493.0417306989434</v>
      </c>
      <c r="ADS1" s="23">
        <f>ADP13-ADR1</f>
        <v>14700.349515500664</v>
      </c>
      <c r="AHN1" s="1300"/>
      <c r="AHO1" s="1301"/>
      <c r="AOE1" s="1034">
        <v>2018</v>
      </c>
      <c r="AWI1" s="1174"/>
      <c r="AWJ1" s="1174"/>
      <c r="AWK1" s="1174"/>
      <c r="AWL1" s="1174"/>
      <c r="AWM1" s="1174"/>
      <c r="AWN1" s="1174"/>
      <c r="AWO1" s="1174"/>
      <c r="AWP1" s="1174"/>
      <c r="AWQ1" s="1174"/>
      <c r="AWR1" s="1174"/>
      <c r="AWS1" s="1174"/>
      <c r="AWT1" s="1174"/>
      <c r="AWU1" s="1174"/>
      <c r="AWV1" s="1174"/>
      <c r="AWW1" s="1174"/>
      <c r="AWX1" s="1174"/>
      <c r="AWY1" s="1174"/>
      <c r="AWZ1" s="1174"/>
      <c r="AXA1" s="1174"/>
      <c r="AXB1" s="1174"/>
      <c r="AXC1" s="1174"/>
      <c r="AXD1" s="1174"/>
      <c r="AXE1" s="1174"/>
      <c r="AXF1" s="1174"/>
      <c r="AXG1" s="1174"/>
      <c r="AXH1" s="1174"/>
      <c r="AXI1" s="1174"/>
      <c r="AXJ1" s="1174"/>
      <c r="AXK1" s="1174"/>
      <c r="AXL1" s="1174"/>
      <c r="AXM1" s="1174"/>
      <c r="AXN1" s="1174"/>
      <c r="AXO1" s="1174"/>
      <c r="AXP1" s="1174"/>
      <c r="AXQ1" s="1174"/>
      <c r="AXR1" s="1174"/>
      <c r="AXS1" s="1174"/>
      <c r="AXT1" s="1174"/>
      <c r="AXU1" s="1174"/>
      <c r="AXV1" s="1174"/>
      <c r="AXW1" s="1174"/>
      <c r="AXX1" s="1174"/>
      <c r="AXY1" s="1174"/>
      <c r="AXZ1" s="1174"/>
      <c r="AYA1" s="1174"/>
      <c r="AYB1" s="1174"/>
      <c r="AYC1" s="1174"/>
      <c r="AYD1" s="1174"/>
      <c r="AYE1" s="1174"/>
      <c r="AYF1" s="1174"/>
      <c r="AYG1" s="1174"/>
      <c r="AYH1" s="1174"/>
      <c r="AYI1" s="1174"/>
      <c r="AYJ1" s="1174"/>
      <c r="AYK1" s="1174"/>
      <c r="AYL1" s="1174"/>
      <c r="AYM1" s="1174"/>
      <c r="AYN1" s="1174"/>
      <c r="AYO1" s="1174"/>
      <c r="AYP1" s="1174"/>
      <c r="AYQ1" s="1174"/>
      <c r="AYR1" s="1174"/>
      <c r="AYS1" s="1174"/>
      <c r="AYT1" s="1174"/>
      <c r="AYU1" s="1174"/>
      <c r="AYV1" s="1174"/>
      <c r="AYW1" s="1174"/>
      <c r="AYX1" s="1174"/>
      <c r="AYY1" s="1174"/>
    </row>
    <row r="2" spans="1:1615" ht="24.6" hidden="1" customHeight="1" thickBot="1" x14ac:dyDescent="0.25">
      <c r="A2" s="1"/>
      <c r="B2" s="1"/>
      <c r="C2" s="1"/>
      <c r="D2" s="1"/>
      <c r="E2" s="1128"/>
      <c r="F2" s="1128"/>
      <c r="G2" s="1128"/>
      <c r="H2" s="1287" t="s">
        <v>11</v>
      </c>
      <c r="I2" s="1287"/>
      <c r="J2" s="1287"/>
      <c r="K2" s="1287"/>
      <c r="L2" s="1287"/>
      <c r="M2" s="1287"/>
      <c r="N2" s="1287"/>
      <c r="O2" s="1010">
        <v>90.429199999999994</v>
      </c>
      <c r="P2" s="1011" t="s">
        <v>9</v>
      </c>
      <c r="Q2" s="1012">
        <v>1.018502</v>
      </c>
      <c r="R2" s="1012" t="s">
        <v>8</v>
      </c>
      <c r="S2" s="1013" t="s">
        <v>10</v>
      </c>
      <c r="T2" s="1013"/>
      <c r="U2" s="1013"/>
      <c r="V2" s="1013"/>
      <c r="W2" s="1013"/>
      <c r="X2" s="1013"/>
      <c r="Y2" s="1013"/>
      <c r="Z2" s="1013">
        <v>91.152000000000001</v>
      </c>
      <c r="AA2" s="1014">
        <v>91.152000000000001</v>
      </c>
      <c r="AB2" s="1013"/>
      <c r="AC2" s="1013"/>
      <c r="AD2" s="1013"/>
      <c r="AE2" s="1013"/>
      <c r="AF2" s="1013"/>
      <c r="AG2" s="1013"/>
      <c r="AH2" s="1013"/>
      <c r="AI2" s="1013"/>
      <c r="AJ2" s="1013"/>
      <c r="AK2" s="1013"/>
      <c r="AL2" s="1013"/>
      <c r="AM2" s="1013"/>
      <c r="AN2" s="1013"/>
      <c r="AO2" s="1013"/>
      <c r="AP2" s="1013"/>
      <c r="AQ2" s="1013"/>
      <c r="AR2" s="1013"/>
      <c r="AS2" s="1013"/>
      <c r="AT2" s="1013"/>
      <c r="AU2" s="1013"/>
      <c r="AV2" s="1013"/>
      <c r="AW2" s="1013"/>
      <c r="AX2" s="1013"/>
      <c r="AY2" s="1013"/>
      <c r="AZ2" s="1013"/>
      <c r="BA2" s="1013"/>
      <c r="BB2" s="1013"/>
      <c r="BC2" s="1013"/>
      <c r="BD2" s="1013"/>
      <c r="BE2" s="1013"/>
      <c r="BF2" s="1013"/>
      <c r="BG2" s="1013"/>
      <c r="BH2" s="1013"/>
      <c r="BI2" s="1013"/>
      <c r="BJ2" s="1013"/>
      <c r="BK2" s="1013"/>
      <c r="BL2" s="1013"/>
      <c r="BM2" s="1013"/>
      <c r="BN2" s="1013"/>
      <c r="BO2" s="1013"/>
      <c r="BP2" s="1013"/>
      <c r="BQ2" s="1013"/>
      <c r="BR2" s="1013"/>
      <c r="BS2" s="1013"/>
      <c r="BT2" s="1013"/>
      <c r="BU2" s="1013"/>
      <c r="BV2" s="1013"/>
      <c r="BW2" s="1013"/>
      <c r="BX2" s="1013"/>
      <c r="BY2" s="1013"/>
      <c r="BZ2" s="1013"/>
      <c r="CA2" s="1013"/>
      <c r="CB2" s="1013"/>
      <c r="CC2" s="1013"/>
      <c r="CD2" s="1013"/>
      <c r="CE2" s="1013"/>
      <c r="CF2" s="1013"/>
      <c r="CG2" s="1013"/>
      <c r="CH2" s="1013"/>
      <c r="CI2" s="1013"/>
      <c r="CJ2" s="1013"/>
      <c r="CK2" s="1013"/>
      <c r="CL2" s="1013"/>
      <c r="CM2" s="1013"/>
      <c r="CN2" s="1013"/>
      <c r="CO2" s="1013"/>
      <c r="CP2" s="1013"/>
      <c r="CQ2" s="1013"/>
      <c r="CR2" s="1013"/>
      <c r="CS2" s="1013"/>
      <c r="CT2" s="1013"/>
      <c r="CU2" s="1013"/>
      <c r="CV2" s="1013"/>
      <c r="CW2" s="1013"/>
      <c r="CX2" s="1013"/>
      <c r="CY2" s="1013"/>
      <c r="CZ2" s="1013"/>
      <c r="DA2" s="1013"/>
      <c r="DB2" s="1013"/>
      <c r="DC2" s="1013"/>
      <c r="DD2" s="1013"/>
      <c r="DE2" s="1013"/>
      <c r="DF2" s="1013"/>
      <c r="DG2" s="1013"/>
      <c r="DH2" s="1013"/>
      <c r="DI2" s="1013"/>
      <c r="DJ2" s="1013"/>
      <c r="DK2" s="1013"/>
      <c r="DL2" s="1013"/>
      <c r="DM2" s="1013"/>
      <c r="DN2" s="1013"/>
      <c r="DO2" s="1013"/>
      <c r="DP2" s="1013"/>
      <c r="DQ2" s="1013"/>
      <c r="DR2" s="1013"/>
      <c r="DS2" s="1013"/>
      <c r="DT2" s="1013"/>
      <c r="DU2" s="1013"/>
      <c r="DV2" s="1013"/>
      <c r="DW2" s="1013"/>
      <c r="DX2" s="1013"/>
      <c r="DY2" s="1013"/>
      <c r="DZ2" s="1015"/>
      <c r="EA2" s="1016"/>
      <c r="EB2" s="1013"/>
      <c r="EC2" s="1013"/>
      <c r="ED2" s="1013"/>
      <c r="EE2" s="1013"/>
      <c r="EF2" s="1013"/>
      <c r="EG2" s="1013"/>
      <c r="EH2" s="1013"/>
      <c r="EI2" s="1013"/>
      <c r="EJ2" s="1013"/>
      <c r="EK2" s="1013"/>
      <c r="EL2" s="1013"/>
      <c r="EM2" s="1013"/>
      <c r="EN2" s="1013"/>
      <c r="EO2" s="1013"/>
      <c r="EP2" s="1013"/>
      <c r="EQ2" s="1013"/>
      <c r="ER2" s="1013"/>
      <c r="ES2" s="1013"/>
      <c r="ET2" s="1013"/>
      <c r="EU2" s="1013"/>
      <c r="EV2" s="1013"/>
      <c r="EW2" s="1013"/>
      <c r="EX2" s="1013"/>
      <c r="EY2" s="1013"/>
      <c r="EZ2" s="1013"/>
      <c r="FA2" s="1013"/>
      <c r="FB2" s="1013"/>
      <c r="FC2" s="1013"/>
      <c r="FD2" s="1013"/>
      <c r="FE2" s="1013"/>
      <c r="FF2" s="1013"/>
      <c r="FG2" s="1013"/>
      <c r="FH2" s="1013"/>
      <c r="FI2" s="1013"/>
      <c r="FJ2" s="1013"/>
      <c r="FK2" s="7"/>
      <c r="FL2" s="7"/>
      <c r="FM2" s="7"/>
      <c r="FN2" s="7"/>
      <c r="FO2" s="7"/>
      <c r="FP2" s="7"/>
      <c r="FQ2" s="7"/>
      <c r="FR2" s="7"/>
      <c r="FS2" s="7"/>
      <c r="FT2" s="7"/>
      <c r="FU2" s="7"/>
      <c r="FV2" s="7"/>
      <c r="FW2" s="7"/>
      <c r="FX2" s="7"/>
      <c r="FY2" s="7"/>
      <c r="FZ2" s="7"/>
      <c r="GA2" s="7"/>
      <c r="GB2" s="7"/>
      <c r="GC2" s="7"/>
      <c r="GD2" s="7"/>
      <c r="GE2" s="7"/>
      <c r="GF2" s="7"/>
      <c r="GG2" s="7"/>
      <c r="GH2" s="7"/>
      <c r="GI2" s="7"/>
      <c r="GJ2" s="7"/>
      <c r="GK2" s="7"/>
      <c r="GL2" s="7"/>
      <c r="GM2" s="7"/>
      <c r="GN2" s="7"/>
      <c r="GO2" s="7"/>
      <c r="GP2" s="7"/>
      <c r="GQ2" s="7"/>
      <c r="GR2" s="7"/>
      <c r="GS2" s="7"/>
      <c r="GT2" s="7"/>
      <c r="GU2" s="7"/>
      <c r="GV2" s="7"/>
      <c r="GW2" s="7"/>
      <c r="GX2" s="7"/>
      <c r="GY2" s="7"/>
      <c r="GZ2" s="7"/>
      <c r="HA2" s="7"/>
      <c r="HB2" s="7"/>
      <c r="HC2" s="7"/>
      <c r="HD2" s="7"/>
      <c r="HE2" s="7"/>
      <c r="HF2" s="7"/>
      <c r="HG2" s="7"/>
      <c r="HH2" s="7"/>
      <c r="HI2" s="7"/>
      <c r="HJ2" s="8"/>
      <c r="HK2" s="7"/>
      <c r="HL2" s="1"/>
      <c r="LU2" t="s">
        <v>11</v>
      </c>
      <c r="MB2" s="35">
        <v>56.23</v>
      </c>
      <c r="MC2" s="24" t="s">
        <v>9</v>
      </c>
      <c r="MD2" s="25">
        <v>1.0077456597039305</v>
      </c>
      <c r="ME2" s="25" t="s">
        <v>8</v>
      </c>
      <c r="MH2" s="121"/>
      <c r="MZ2" t="s">
        <v>11</v>
      </c>
      <c r="NG2" s="35">
        <v>52.015999999999998</v>
      </c>
      <c r="NH2" s="24" t="s">
        <v>9</v>
      </c>
      <c r="NI2" s="25">
        <v>1.0077456597039305</v>
      </c>
      <c r="NJ2" s="25" t="s">
        <v>8</v>
      </c>
      <c r="OB2" s="137"/>
      <c r="OC2" s="137"/>
      <c r="OD2" s="137"/>
      <c r="OE2" s="137"/>
      <c r="OF2" s="137"/>
      <c r="OG2" s="137"/>
      <c r="OH2" s="137"/>
      <c r="OI2" s="137"/>
      <c r="OJ2" s="137"/>
      <c r="OK2" s="137"/>
      <c r="OL2" s="137"/>
      <c r="OM2" s="137"/>
      <c r="ON2" s="137"/>
      <c r="PH2" s="137"/>
      <c r="PI2" s="137"/>
      <c r="PJ2" s="137"/>
      <c r="PK2" s="137"/>
      <c r="PL2" s="137"/>
      <c r="PM2" s="137"/>
      <c r="PN2" s="137"/>
      <c r="PO2" s="137"/>
      <c r="PP2" s="137"/>
      <c r="PQ2" s="137"/>
      <c r="PR2" s="137"/>
      <c r="PS2" s="137"/>
      <c r="PT2" s="137"/>
      <c r="PU2" s="137"/>
      <c r="PV2" s="137"/>
      <c r="PW2" s="137"/>
      <c r="PX2" s="137"/>
      <c r="PY2" s="137"/>
      <c r="QS2">
        <v>0</v>
      </c>
      <c r="UT2" s="352" t="s">
        <v>136</v>
      </c>
      <c r="UU2" s="352"/>
      <c r="UV2" s="352"/>
      <c r="UW2" s="352"/>
      <c r="UX2" s="352"/>
      <c r="UY2" s="352"/>
      <c r="UZ2" s="352">
        <f>5*45*11</f>
        <v>2475</v>
      </c>
      <c r="VA2" s="352">
        <f>16.5*40*11</f>
        <v>7260</v>
      </c>
      <c r="VB2" s="352">
        <f>19*40*11</f>
        <v>8360</v>
      </c>
      <c r="VC2" s="352">
        <f>17*40*11</f>
        <v>7480</v>
      </c>
      <c r="VD2" s="352">
        <f>24*35*9</f>
        <v>7560</v>
      </c>
      <c r="VE2" s="352"/>
      <c r="VF2" s="352"/>
      <c r="YZ2" s="1174" t="s">
        <v>154</v>
      </c>
      <c r="ZA2" s="1174"/>
      <c r="ZB2" s="1174"/>
      <c r="ZC2" s="1174"/>
      <c r="AHB2" s="973"/>
      <c r="AHC2" s="973"/>
      <c r="AHD2" s="973"/>
      <c r="AHE2" s="973"/>
      <c r="AHF2" s="973"/>
      <c r="AHG2" s="973"/>
      <c r="AHH2" s="973"/>
      <c r="AHI2" s="973"/>
      <c r="AHJ2" s="973"/>
      <c r="AHK2" s="973"/>
      <c r="AHL2" s="973"/>
      <c r="AHM2" s="973"/>
      <c r="AHN2" s="973"/>
      <c r="AHO2" s="973"/>
      <c r="AHP2" s="973"/>
      <c r="AHQ2" s="973"/>
      <c r="AHR2" s="973"/>
      <c r="AHS2" s="973"/>
      <c r="AHT2" s="973"/>
      <c r="AHU2" s="973"/>
      <c r="AHV2" s="973"/>
      <c r="AHW2" s="973"/>
      <c r="AHX2" s="973"/>
      <c r="AHY2" s="973"/>
      <c r="AHZ2" s="973"/>
      <c r="AWI2" s="1174"/>
      <c r="AWJ2" s="1174"/>
      <c r="AWK2" s="1174"/>
      <c r="AWL2" s="1174"/>
      <c r="AWM2" s="1174"/>
      <c r="AWN2" s="1174"/>
      <c r="AWO2" s="1174"/>
      <c r="AWP2" s="1174"/>
      <c r="AWQ2" s="1174"/>
      <c r="AWR2" s="1174"/>
      <c r="AWS2" s="1174"/>
      <c r="AWT2" s="1174"/>
      <c r="AWU2" s="1174"/>
      <c r="AWV2" s="1174"/>
      <c r="AWW2" s="1174"/>
      <c r="AWX2" s="1174"/>
      <c r="AWY2" s="1174"/>
      <c r="AWZ2" s="1174"/>
      <c r="AXA2" s="1174"/>
      <c r="AXB2" s="1174"/>
      <c r="AXC2" s="1174"/>
      <c r="AXD2" s="1174"/>
      <c r="AXE2" s="1174"/>
      <c r="AXF2" s="1174"/>
      <c r="AXG2" s="1174"/>
      <c r="AXH2" s="1174"/>
      <c r="AXI2" s="1174"/>
      <c r="AXJ2" s="1174"/>
      <c r="AXK2" s="1174"/>
      <c r="AXL2" s="1174"/>
      <c r="AXM2" s="1174"/>
      <c r="AXN2" s="1174"/>
      <c r="AXO2" s="1174"/>
      <c r="AXP2" s="1174"/>
      <c r="AXQ2" s="1174"/>
      <c r="AXR2" s="1174"/>
      <c r="AXS2" s="1174"/>
      <c r="AXT2" s="1174"/>
      <c r="AXU2" s="1174"/>
      <c r="AXV2" s="1174"/>
      <c r="AXW2" s="1174"/>
      <c r="AXX2" s="1174"/>
      <c r="AXY2" s="1174"/>
      <c r="AXZ2" s="1174"/>
      <c r="AYA2" s="1174"/>
      <c r="AYB2" s="1174"/>
      <c r="AYC2" s="1174"/>
      <c r="AYD2" s="1174"/>
      <c r="AYE2" s="1174"/>
      <c r="AYF2" s="1174"/>
      <c r="AYG2" s="1174"/>
      <c r="AYH2" s="1174"/>
      <c r="AYI2" s="1174"/>
      <c r="AYJ2" s="1174"/>
      <c r="AYK2" s="1174"/>
      <c r="AYL2" s="1174"/>
      <c r="AYM2" s="1174"/>
      <c r="AYN2" s="1174"/>
      <c r="AYO2" s="1174"/>
      <c r="AYP2" s="1174"/>
      <c r="AYQ2" s="1174"/>
      <c r="AYR2" s="1174"/>
      <c r="AYS2" s="1174"/>
      <c r="AYT2" s="1174"/>
      <c r="AYU2" s="1174"/>
      <c r="AYV2" s="1174"/>
      <c r="AYW2" s="1174"/>
      <c r="AYX2" s="1174"/>
      <c r="AYY2" s="1174"/>
    </row>
    <row r="3" spans="1:1615" ht="15" customHeight="1" thickBot="1" x14ac:dyDescent="0.25">
      <c r="A3" s="1"/>
      <c r="B3" s="1"/>
      <c r="C3" s="1"/>
      <c r="D3" s="1"/>
      <c r="E3" s="1129"/>
      <c r="F3" s="1129"/>
      <c r="G3" s="1129"/>
      <c r="H3" s="1017"/>
      <c r="I3" s="1017"/>
      <c r="J3" s="1017"/>
      <c r="K3" s="1017"/>
      <c r="L3" s="1017"/>
      <c r="M3" s="1017">
        <v>90.429199999999994</v>
      </c>
      <c r="N3" s="1017"/>
      <c r="O3" s="1017">
        <v>83.474999999999994</v>
      </c>
      <c r="P3" s="1017"/>
      <c r="Q3" s="1017">
        <f>183</f>
        <v>183</v>
      </c>
      <c r="R3" s="1017"/>
      <c r="S3" s="1017"/>
      <c r="T3" s="1018">
        <f>$QA$13</f>
        <v>15106.526199999669</v>
      </c>
      <c r="U3" s="1017"/>
      <c r="V3" s="1017"/>
      <c r="W3" s="1017"/>
      <c r="X3" s="1017"/>
      <c r="Y3" s="1017"/>
      <c r="Z3" s="1019">
        <v>49.674698795180724</v>
      </c>
      <c r="AA3" s="1017"/>
      <c r="AB3" s="1017"/>
      <c r="AC3" s="1017"/>
      <c r="AD3" s="1017"/>
      <c r="AE3" s="1017"/>
      <c r="AF3" s="1017"/>
      <c r="AG3" s="1017"/>
      <c r="AH3" s="1017"/>
      <c r="AI3" s="1017"/>
      <c r="AJ3" s="1017"/>
      <c r="AK3" s="1017"/>
      <c r="AL3" s="1017"/>
      <c r="AM3" s="1017"/>
      <c r="AN3" s="1017"/>
      <c r="AO3" s="1017"/>
      <c r="AP3" s="1017"/>
      <c r="AQ3" s="1017"/>
      <c r="AR3" s="1017"/>
      <c r="AS3" s="1017"/>
      <c r="AT3" s="1017"/>
      <c r="AU3" s="1017"/>
      <c r="AV3" s="1017"/>
      <c r="AW3" s="1017"/>
      <c r="AX3" s="1017"/>
      <c r="AY3" s="1017"/>
      <c r="AZ3" s="1017"/>
      <c r="BA3" s="1017"/>
      <c r="BB3" s="1017"/>
      <c r="BC3" s="1017"/>
      <c r="BD3" s="1017"/>
      <c r="BE3" s="1017"/>
      <c r="BF3" s="1017"/>
      <c r="BG3" s="1017"/>
      <c r="BH3" s="1017"/>
      <c r="BI3" s="1017"/>
      <c r="BJ3" s="1017"/>
      <c r="BK3" s="1017"/>
      <c r="BL3" s="1017"/>
      <c r="BM3" s="1017"/>
      <c r="BN3" s="1017"/>
      <c r="BO3" s="1017"/>
      <c r="BP3" s="1017"/>
      <c r="BQ3" s="1017"/>
      <c r="BR3" s="1017"/>
      <c r="BS3" s="1017"/>
      <c r="BT3" s="1017"/>
      <c r="BU3" s="1017"/>
      <c r="BV3" s="1017"/>
      <c r="BW3" s="1017"/>
      <c r="BX3" s="1017"/>
      <c r="BY3" s="1017"/>
      <c r="BZ3" s="1017"/>
      <c r="CA3" s="1017"/>
      <c r="CB3" s="1017"/>
      <c r="CC3" s="1017"/>
      <c r="CD3" s="1017"/>
      <c r="CE3" s="1017"/>
      <c r="CF3" s="1017"/>
      <c r="CG3" s="1017"/>
      <c r="CH3" s="1017"/>
      <c r="CI3" s="1017"/>
      <c r="CJ3" s="1017"/>
      <c r="CK3" s="1017"/>
      <c r="CL3" s="1017"/>
      <c r="CM3" s="1017"/>
      <c r="CN3" s="1017"/>
      <c r="CO3" s="1017"/>
      <c r="CP3" s="1017"/>
      <c r="CQ3" s="1017"/>
      <c r="CR3" s="1017"/>
      <c r="CS3" s="1017"/>
      <c r="CT3" s="1017"/>
      <c r="CU3" s="1017"/>
      <c r="CV3" s="1017"/>
      <c r="CW3" s="1017"/>
      <c r="CX3" s="1017"/>
      <c r="CY3" s="1017"/>
      <c r="CZ3" s="1017"/>
      <c r="DA3" s="1017"/>
      <c r="DB3" s="1017"/>
      <c r="DC3" s="1017"/>
      <c r="DD3" s="1017"/>
      <c r="DE3" s="1017"/>
      <c r="DF3" s="1017"/>
      <c r="DG3" s="1017"/>
      <c r="DH3" s="1017"/>
      <c r="DI3" s="1017"/>
      <c r="DJ3" s="1017"/>
      <c r="DK3" s="1017"/>
      <c r="DL3" s="1017"/>
      <c r="DM3" s="1017"/>
      <c r="DN3" s="1017"/>
      <c r="DO3" s="1017"/>
      <c r="DP3" s="1017"/>
      <c r="DQ3" s="1017"/>
      <c r="DR3" s="1017"/>
      <c r="DS3" s="1017"/>
      <c r="DT3" s="1017"/>
      <c r="DU3" s="1017"/>
      <c r="DV3" s="1017"/>
      <c r="DW3" s="1017"/>
      <c r="DX3" s="1017"/>
      <c r="DY3" s="1017"/>
      <c r="DZ3" s="1020"/>
      <c r="EA3" s="1020"/>
      <c r="EB3" s="1017"/>
      <c r="EC3" s="1017"/>
      <c r="ED3" s="1017"/>
      <c r="EE3" s="1017"/>
      <c r="EF3" s="1017"/>
      <c r="EG3" s="1017"/>
      <c r="EH3" s="1017"/>
      <c r="EI3" s="1017"/>
      <c r="EJ3" s="1017"/>
      <c r="EK3" s="1017"/>
      <c r="EL3" s="1017"/>
      <c r="EM3" s="1017"/>
      <c r="EN3" s="1017"/>
      <c r="EO3" s="1017"/>
      <c r="EP3" s="1017"/>
      <c r="EQ3" s="1017"/>
      <c r="ER3" s="1017"/>
      <c r="ES3" s="1017"/>
      <c r="ET3" s="1017"/>
      <c r="EU3" s="1017"/>
      <c r="EV3" s="1017"/>
      <c r="EW3" s="1017"/>
      <c r="EX3" s="1017"/>
      <c r="EY3" s="1017"/>
      <c r="EZ3" s="1017"/>
      <c r="FA3" s="1017"/>
      <c r="FB3" s="1017"/>
      <c r="FC3" s="1017"/>
      <c r="FD3" s="1017"/>
      <c r="FE3" s="1017"/>
      <c r="FF3" s="1017"/>
      <c r="FG3" s="1017"/>
      <c r="FH3" s="1017"/>
      <c r="FI3" s="1017"/>
      <c r="FJ3" s="1017"/>
      <c r="FK3" s="9"/>
      <c r="FL3" s="9"/>
      <c r="FM3" s="9"/>
      <c r="FN3" s="9"/>
      <c r="FO3" s="9"/>
      <c r="FP3" s="9"/>
      <c r="FQ3" s="9"/>
      <c r="FR3" s="9"/>
      <c r="FS3" s="9"/>
      <c r="FT3" s="9"/>
      <c r="FU3" s="9"/>
      <c r="FV3" s="9"/>
      <c r="FW3" s="9"/>
      <c r="FX3" s="9"/>
      <c r="FY3" s="9"/>
      <c r="FZ3" s="9"/>
      <c r="GA3" s="9"/>
      <c r="GB3" s="9"/>
      <c r="GC3" s="9"/>
      <c r="GD3" s="9"/>
      <c r="GE3" s="7"/>
      <c r="GF3" s="7"/>
      <c r="GG3" s="7"/>
      <c r="GH3" s="7"/>
      <c r="GI3" s="7"/>
      <c r="GJ3" s="7"/>
      <c r="GK3" s="7"/>
      <c r="GL3" s="7"/>
      <c r="GM3" s="7"/>
      <c r="GN3" s="7"/>
      <c r="GO3" s="7"/>
      <c r="GP3" s="7"/>
      <c r="GQ3" s="7"/>
      <c r="GR3" s="7"/>
      <c r="GS3" s="7"/>
      <c r="GT3" s="7"/>
      <c r="GU3" s="7"/>
      <c r="GV3" s="7"/>
      <c r="GW3" s="7"/>
      <c r="GX3" s="7"/>
      <c r="GY3" s="7"/>
      <c r="GZ3" s="7"/>
      <c r="HA3" s="7"/>
      <c r="HB3" s="7"/>
      <c r="HC3" s="7"/>
      <c r="HD3" s="7"/>
      <c r="HE3" s="7"/>
      <c r="HF3" s="7"/>
      <c r="HG3" s="7"/>
      <c r="HH3" s="7"/>
      <c r="HI3" s="7"/>
      <c r="HJ3" s="8"/>
      <c r="HK3" s="7"/>
      <c r="HL3" s="1"/>
      <c r="PH3" s="137"/>
      <c r="PI3" s="137"/>
      <c r="PJ3" s="137"/>
      <c r="PK3" s="137"/>
      <c r="PL3" s="137"/>
      <c r="PM3" s="137"/>
      <c r="PN3" s="137"/>
      <c r="PO3" s="137"/>
      <c r="PP3" s="137"/>
      <c r="PQ3" s="137"/>
      <c r="PR3" s="137"/>
      <c r="PS3" s="137"/>
      <c r="PT3" s="137"/>
      <c r="PU3" s="137"/>
      <c r="PV3" s="137"/>
      <c r="PW3" s="137"/>
      <c r="PX3" s="137"/>
      <c r="PY3" s="137"/>
      <c r="UT3" s="352" t="s">
        <v>137</v>
      </c>
      <c r="UU3" s="352"/>
      <c r="UV3" s="352"/>
      <c r="UW3" s="352"/>
      <c r="UX3" s="352"/>
      <c r="UY3" s="352"/>
      <c r="UZ3" s="353"/>
      <c r="VA3" s="353">
        <f>UZ15+VA1-VA2</f>
        <v>5638</v>
      </c>
      <c r="VB3" s="353">
        <f>VA15+VB1-VB2</f>
        <v>3132</v>
      </c>
      <c r="VC3" s="353">
        <f>VB15+VC1-VC2</f>
        <v>2960</v>
      </c>
      <c r="VD3" s="353">
        <f>VC15+VD1-VD2</f>
        <v>3016</v>
      </c>
      <c r="VE3" s="352"/>
      <c r="VF3" s="352"/>
      <c r="YZ3" s="1174"/>
      <c r="ZA3" s="1174"/>
      <c r="ZB3" s="1174"/>
      <c r="ZC3" s="1174"/>
      <c r="AWI3" s="1174"/>
      <c r="AWJ3" s="1174"/>
      <c r="AWK3" s="1174"/>
      <c r="AWL3" s="1174"/>
      <c r="AWM3" s="1174"/>
      <c r="AWN3" s="1174"/>
      <c r="AWO3" s="1174"/>
      <c r="AWP3" s="1174"/>
      <c r="AWQ3" s="1174"/>
      <c r="AWR3" s="1174"/>
      <c r="AWS3" s="1174"/>
      <c r="AWT3" s="1174"/>
      <c r="AWU3" s="1174"/>
      <c r="AWV3" s="1174"/>
      <c r="AWW3" s="1174"/>
      <c r="AWX3" s="1174"/>
      <c r="AWY3" s="1174"/>
      <c r="AWZ3" s="1174"/>
      <c r="AXA3" s="1174"/>
      <c r="AXB3" s="1174"/>
      <c r="AXC3" s="1174"/>
      <c r="AXD3" s="1174"/>
      <c r="AXE3" s="1174"/>
      <c r="AXF3" s="1174"/>
      <c r="AXG3" s="1174"/>
      <c r="AXH3" s="1174"/>
      <c r="AXI3" s="1174"/>
      <c r="AXJ3" s="1174"/>
      <c r="AXK3" s="1174"/>
      <c r="AXL3" s="1174"/>
      <c r="AXM3" s="1174"/>
      <c r="AXN3" s="1174"/>
      <c r="AXO3" s="1174"/>
      <c r="AXP3" s="1174"/>
      <c r="AXQ3" s="1174"/>
      <c r="AXR3" s="1174"/>
      <c r="AXS3" s="1174"/>
      <c r="AXT3" s="1174"/>
      <c r="AXU3" s="1174"/>
      <c r="AXV3" s="1174"/>
      <c r="AXW3" s="1174"/>
      <c r="AXX3" s="1174"/>
      <c r="AXY3" s="1174"/>
      <c r="AXZ3" s="1174"/>
      <c r="AYA3" s="1174"/>
      <c r="AYB3" s="1174"/>
      <c r="AYC3" s="1174"/>
      <c r="AYD3" s="1174"/>
      <c r="AYE3" s="1174"/>
      <c r="AYF3" s="1174"/>
      <c r="AYG3" s="1174"/>
      <c r="AYH3" s="1174"/>
      <c r="AYI3" s="1174"/>
      <c r="AYJ3" s="1174"/>
      <c r="AYK3" s="1174"/>
      <c r="AYL3" s="1174"/>
      <c r="AYM3" s="1174"/>
      <c r="AYN3" s="1174"/>
      <c r="AYO3" s="1174"/>
      <c r="AYP3" s="1174"/>
      <c r="AYQ3" s="1174"/>
      <c r="AYR3" s="1174"/>
      <c r="AYS3" s="1174"/>
      <c r="AYT3" s="1174"/>
      <c r="AYU3" s="1174"/>
      <c r="AYV3" s="1174"/>
      <c r="AYW3" s="1174"/>
      <c r="AYX3" s="1174"/>
      <c r="AYY3" s="1174"/>
    </row>
    <row r="4" spans="1:1615" ht="80.25" customHeight="1" thickBot="1" x14ac:dyDescent="0.45">
      <c r="A4" s="1"/>
      <c r="B4" s="1"/>
      <c r="C4" s="1"/>
      <c r="D4" s="1"/>
      <c r="E4" s="1130"/>
      <c r="F4" s="1130"/>
      <c r="G4" s="1130"/>
      <c r="H4" s="9"/>
      <c r="I4" s="9"/>
      <c r="J4" s="9"/>
      <c r="K4" s="9"/>
      <c r="L4" s="9"/>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9"/>
      <c r="BA4" s="9"/>
      <c r="BB4" s="9"/>
      <c r="BC4" s="9"/>
      <c r="BD4" s="9"/>
      <c r="BE4" s="9"/>
      <c r="BF4" s="9"/>
      <c r="BG4" s="9"/>
      <c r="BH4" s="9"/>
      <c r="BI4" s="9"/>
      <c r="BJ4" s="9"/>
      <c r="BK4" s="9"/>
      <c r="BL4" s="9"/>
      <c r="BM4" s="9"/>
      <c r="BN4" s="9"/>
      <c r="BO4" s="9"/>
      <c r="BP4" s="9"/>
      <c r="BQ4" s="9"/>
      <c r="BR4" s="9"/>
      <c r="BS4" s="9"/>
      <c r="BT4" s="9"/>
      <c r="BU4" s="9"/>
      <c r="BV4" s="9"/>
      <c r="BW4" s="9"/>
      <c r="BX4" s="9"/>
      <c r="BY4" s="9"/>
      <c r="BZ4" s="9"/>
      <c r="CA4" s="9"/>
      <c r="CB4" s="9"/>
      <c r="CC4" s="9"/>
      <c r="CD4" s="9"/>
      <c r="CE4" s="9"/>
      <c r="CF4" s="9"/>
      <c r="CG4" s="9"/>
      <c r="CH4" s="9"/>
      <c r="CI4" s="9"/>
      <c r="CJ4" s="9"/>
      <c r="CK4" s="9"/>
      <c r="CL4" s="9"/>
      <c r="CM4" s="9"/>
      <c r="CN4" s="9"/>
      <c r="CO4" s="9"/>
      <c r="CP4" s="9"/>
      <c r="CQ4" s="9"/>
      <c r="CR4" s="9"/>
      <c r="CS4" s="9"/>
      <c r="CT4" s="9"/>
      <c r="CU4" s="9"/>
      <c r="CV4" s="9"/>
      <c r="CW4" s="9"/>
      <c r="CX4" s="9"/>
      <c r="CY4" s="9"/>
      <c r="CZ4" s="9"/>
      <c r="DA4" s="9"/>
      <c r="DB4" s="9"/>
      <c r="DC4" s="9"/>
      <c r="DD4" s="9"/>
      <c r="DE4" s="9"/>
      <c r="DF4" s="9"/>
      <c r="DG4" s="9"/>
      <c r="DH4" s="9"/>
      <c r="DI4" s="9"/>
      <c r="DJ4" s="9"/>
      <c r="DK4" s="9"/>
      <c r="DL4" s="9"/>
      <c r="DM4" s="9"/>
      <c r="DN4" s="9"/>
      <c r="DO4" s="9"/>
      <c r="DP4" s="9"/>
      <c r="DQ4" s="9"/>
      <c r="DR4" s="9"/>
      <c r="DS4" s="9"/>
      <c r="DT4" s="9"/>
      <c r="DU4" s="9"/>
      <c r="DV4" s="9"/>
      <c r="DW4" s="9"/>
      <c r="DX4" s="9"/>
      <c r="DY4" s="9"/>
      <c r="DZ4" s="9"/>
      <c r="EA4" s="9"/>
      <c r="EB4" s="9"/>
      <c r="EC4" s="9"/>
      <c r="ED4" s="9"/>
      <c r="EE4" s="9"/>
      <c r="EF4" s="9"/>
      <c r="EG4" s="9"/>
      <c r="EH4" s="9"/>
      <c r="EI4" s="9"/>
      <c r="EJ4" s="9"/>
      <c r="EK4" s="9"/>
      <c r="EL4" s="9"/>
      <c r="EM4" s="9"/>
      <c r="EN4" s="9"/>
      <c r="EO4" s="9"/>
      <c r="EP4" s="9"/>
      <c r="EQ4" s="9"/>
      <c r="ER4" s="9"/>
      <c r="ES4" s="9"/>
      <c r="ET4" s="9"/>
      <c r="EU4" s="9"/>
      <c r="EV4" s="9"/>
      <c r="EW4" s="9"/>
      <c r="EX4" s="9"/>
      <c r="EY4" s="9"/>
      <c r="EZ4" s="1266" t="s">
        <v>13</v>
      </c>
      <c r="FA4" s="1266"/>
      <c r="FB4" s="1266"/>
      <c r="FC4" s="1266"/>
      <c r="FD4" s="1266"/>
      <c r="FE4" s="1283" t="s">
        <v>14</v>
      </c>
      <c r="FF4" s="1283"/>
      <c r="FG4" s="1283"/>
      <c r="FH4" s="1283"/>
      <c r="FI4" s="1283"/>
      <c r="FJ4" s="1283"/>
      <c r="FK4" s="1283"/>
      <c r="FL4" s="1283"/>
      <c r="FM4" s="1283"/>
      <c r="FN4" s="1283"/>
      <c r="FO4" s="1283"/>
      <c r="FP4" s="1283"/>
      <c r="FQ4" s="1283"/>
      <c r="FR4" s="1283"/>
      <c r="FS4" s="1283"/>
      <c r="FT4" s="1283"/>
      <c r="FU4" s="1283"/>
      <c r="FV4" s="1283"/>
      <c r="FW4" s="1283"/>
      <c r="FX4" s="1283"/>
      <c r="FY4" s="1283"/>
      <c r="FZ4" s="1283"/>
      <c r="GA4" s="1283"/>
      <c r="GB4" s="1283"/>
      <c r="GC4" s="1283"/>
      <c r="GD4" s="1283"/>
      <c r="GE4" s="1266" t="s">
        <v>13</v>
      </c>
      <c r="GF4" s="1266"/>
      <c r="GG4" s="1266"/>
      <c r="GH4" s="1266"/>
      <c r="GI4" s="1266"/>
      <c r="GJ4" s="1266"/>
      <c r="GK4" s="1266"/>
      <c r="GL4" s="1283" t="s">
        <v>15</v>
      </c>
      <c r="GM4" s="1283"/>
      <c r="GN4" s="1283"/>
      <c r="GO4" s="1283"/>
      <c r="GP4" s="1283"/>
      <c r="GQ4" s="1283"/>
      <c r="GR4" s="1283"/>
      <c r="GS4" s="1283"/>
      <c r="GT4" s="1283"/>
      <c r="GU4" s="1222" t="s">
        <v>16</v>
      </c>
      <c r="GV4" s="1288"/>
      <c r="GW4" s="1288"/>
      <c r="GX4" s="1288"/>
      <c r="GY4" s="1288"/>
      <c r="GZ4" s="1288"/>
      <c r="HA4" s="1288"/>
      <c r="HB4" s="1288"/>
      <c r="HC4" s="1288"/>
      <c r="HD4" s="1288"/>
      <c r="HE4" s="1288"/>
      <c r="HF4" s="1288"/>
      <c r="HG4" s="1288"/>
      <c r="HH4" s="1288"/>
      <c r="HI4" s="1288"/>
      <c r="HJ4" s="1222" t="s">
        <v>28</v>
      </c>
      <c r="HK4" s="1222"/>
      <c r="HL4" s="1222"/>
      <c r="HM4" s="1222"/>
      <c r="HN4" s="1222"/>
      <c r="HO4" s="1222"/>
      <c r="HP4" s="1222"/>
      <c r="HQ4" s="1222"/>
      <c r="HR4" s="1222"/>
      <c r="HS4" s="1222"/>
      <c r="HT4" s="1222"/>
      <c r="HU4" s="1222"/>
      <c r="HV4" s="1222"/>
      <c r="HW4" s="1222"/>
      <c r="HX4" s="1222"/>
      <c r="HY4" s="1222"/>
      <c r="HZ4" s="1220" t="s">
        <v>17</v>
      </c>
      <c r="IA4" s="1220"/>
      <c r="IB4" s="1220"/>
      <c r="IC4" s="1220"/>
      <c r="ID4" s="1220"/>
      <c r="IE4" s="1220"/>
      <c r="IF4" s="1220"/>
      <c r="IG4" s="1220"/>
      <c r="IH4" s="1220"/>
      <c r="II4" s="1220"/>
      <c r="IJ4" s="1220"/>
      <c r="IK4" s="1220"/>
      <c r="IL4" s="1220"/>
      <c r="IM4" s="1220"/>
      <c r="IN4" s="1220"/>
      <c r="IO4" s="1220"/>
      <c r="IP4" s="1220"/>
      <c r="IQ4" s="1220"/>
      <c r="IR4" s="1220"/>
      <c r="IS4" s="1220"/>
      <c r="IT4" s="1220"/>
      <c r="IU4" s="1220"/>
      <c r="IV4" s="1220"/>
      <c r="IW4" s="1220"/>
      <c r="IX4" s="1220"/>
      <c r="IY4" s="1220"/>
      <c r="IZ4" s="1220"/>
      <c r="JA4" s="1220"/>
      <c r="JB4" s="1220"/>
      <c r="JC4" s="1220"/>
      <c r="JD4" s="1220"/>
      <c r="JE4" s="1220"/>
      <c r="JF4" s="1220" t="s">
        <v>18</v>
      </c>
      <c r="JG4" s="1220"/>
      <c r="JH4" s="1220"/>
      <c r="JI4" s="1220"/>
      <c r="JJ4" s="1220"/>
      <c r="JK4" s="1220"/>
      <c r="JL4" s="1221" t="s">
        <v>19</v>
      </c>
      <c r="JM4" s="1221"/>
      <c r="JN4" s="1221"/>
      <c r="JO4" s="1221"/>
      <c r="JP4" s="1221"/>
      <c r="JQ4" s="1221"/>
      <c r="JR4" s="1221"/>
      <c r="JS4" s="1221"/>
      <c r="JT4" s="1221"/>
      <c r="JU4" s="1221"/>
      <c r="JV4" s="1221"/>
      <c r="JW4" s="1221"/>
      <c r="JX4" s="1221"/>
      <c r="JY4" s="1221"/>
      <c r="JZ4" s="1221"/>
      <c r="KA4" s="1221"/>
      <c r="KB4" s="1221"/>
      <c r="KC4" s="1221"/>
      <c r="KD4" s="1221"/>
      <c r="KE4" s="1221"/>
      <c r="KF4" s="1221"/>
      <c r="KG4" s="1221"/>
      <c r="KH4" s="1221"/>
      <c r="KI4" s="1220" t="s">
        <v>26</v>
      </c>
      <c r="KJ4" s="1220"/>
      <c r="KK4" s="1220"/>
      <c r="KL4" s="1220"/>
      <c r="KM4" s="1220"/>
      <c r="KN4" s="1220"/>
      <c r="KO4" s="1220"/>
      <c r="KP4" s="1224" t="s">
        <v>19</v>
      </c>
      <c r="KQ4" s="1224"/>
      <c r="KR4" s="1274" t="s">
        <v>30</v>
      </c>
      <c r="KS4" s="1275"/>
      <c r="KT4" s="1225" t="s">
        <v>29</v>
      </c>
      <c r="KU4" s="1225"/>
      <c r="KV4" s="1225" t="s">
        <v>31</v>
      </c>
      <c r="KW4" s="1225"/>
      <c r="KX4" s="1225"/>
      <c r="KY4" s="1224" t="s">
        <v>32</v>
      </c>
      <c r="KZ4" s="1224"/>
      <c r="LA4" s="1224"/>
      <c r="LB4" s="1224"/>
      <c r="LC4" s="1224"/>
      <c r="LD4" s="1226" t="s">
        <v>33</v>
      </c>
      <c r="LE4" s="1226"/>
      <c r="LF4" s="1226"/>
      <c r="LG4" s="1226"/>
      <c r="LH4" s="1226"/>
      <c r="LI4" s="1226"/>
      <c r="LJ4" s="1226"/>
      <c r="LK4" s="1226"/>
      <c r="LL4" s="1226"/>
      <c r="LM4" s="1226"/>
      <c r="LN4" s="1226"/>
      <c r="LO4" s="1226"/>
      <c r="LP4" s="1226" t="s">
        <v>34</v>
      </c>
      <c r="LQ4" s="1226"/>
      <c r="LR4" s="1226"/>
      <c r="LS4" s="1226"/>
      <c r="LT4" s="1226"/>
      <c r="LU4" s="1226"/>
      <c r="LV4" s="1226"/>
      <c r="LW4" s="1226"/>
      <c r="LX4" s="1226"/>
      <c r="LY4" s="1226"/>
      <c r="LZ4" s="1226"/>
      <c r="MA4" s="1226"/>
      <c r="MB4" s="1280" t="s">
        <v>35</v>
      </c>
      <c r="MC4" s="1281"/>
      <c r="MD4" s="1281"/>
      <c r="ME4" s="1281"/>
      <c r="MF4" s="1281"/>
      <c r="MG4" s="1281"/>
      <c r="MH4" s="1281"/>
      <c r="MI4" s="1281"/>
      <c r="MJ4" s="1272" t="s">
        <v>73</v>
      </c>
      <c r="MK4" s="1273"/>
      <c r="ML4" s="1273"/>
      <c r="MM4" s="1273"/>
      <c r="MN4" s="1273"/>
      <c r="MO4" s="1273"/>
      <c r="MP4" s="1273"/>
      <c r="MQ4" s="1273"/>
      <c r="MR4" s="1273"/>
      <c r="MS4" s="1273"/>
      <c r="MT4" s="1273"/>
      <c r="MU4" s="1273"/>
      <c r="MV4" s="1273"/>
      <c r="MW4" s="1273"/>
      <c r="MX4" s="1273"/>
      <c r="MY4" s="1273"/>
      <c r="MZ4" s="1273"/>
      <c r="NA4" s="1273"/>
      <c r="NB4" s="1273"/>
      <c r="NC4" s="1273"/>
      <c r="ND4" s="1273"/>
      <c r="NE4" s="1273"/>
      <c r="NF4" s="1273"/>
      <c r="NG4" s="1273"/>
      <c r="NH4" s="1273"/>
      <c r="NI4" s="1273"/>
      <c r="NJ4" s="1273"/>
      <c r="NK4" s="1273"/>
      <c r="NL4" s="1273"/>
      <c r="NM4" s="1273"/>
      <c r="NN4" s="1273"/>
      <c r="NO4" s="1273"/>
      <c r="NP4" s="1272" t="s">
        <v>74</v>
      </c>
      <c r="NQ4" s="1273"/>
      <c r="NR4" s="1273"/>
      <c r="NS4" s="1273"/>
      <c r="NT4" s="1273"/>
      <c r="NU4" s="1273"/>
      <c r="NV4" s="1273"/>
      <c r="NW4" s="1273"/>
      <c r="NX4" s="1273"/>
      <c r="NY4" s="1273"/>
      <c r="NZ4" s="1273"/>
      <c r="OA4" s="1273"/>
      <c r="OB4" s="1273"/>
      <c r="OC4" s="1273"/>
      <c r="OD4" s="1273"/>
      <c r="OE4" s="1273"/>
      <c r="OF4" s="1273"/>
      <c r="OG4" s="1273"/>
      <c r="OH4" s="1273"/>
      <c r="OI4" s="1273"/>
      <c r="OJ4" s="1272" t="s">
        <v>76</v>
      </c>
      <c r="OK4" s="1273"/>
      <c r="OL4" s="1273"/>
      <c r="OM4" s="1273"/>
      <c r="ON4" s="1273"/>
      <c r="OO4" s="1273"/>
      <c r="OP4" s="1276" t="s">
        <v>77</v>
      </c>
      <c r="OQ4" s="1277"/>
      <c r="OR4" s="1277"/>
      <c r="OS4" s="1277"/>
      <c r="OT4" s="1277"/>
      <c r="OU4" s="1277"/>
      <c r="OV4" s="1278" t="s">
        <v>76</v>
      </c>
      <c r="OW4" s="1279"/>
      <c r="OX4" s="1279"/>
      <c r="OY4" s="1279"/>
      <c r="OZ4" s="1279"/>
      <c r="PA4" s="1279"/>
      <c r="PB4" s="1279"/>
      <c r="PC4" s="1279"/>
      <c r="PD4" s="1279"/>
      <c r="PE4" s="1279"/>
      <c r="PF4" s="1279"/>
      <c r="PG4" s="1279"/>
      <c r="PH4" s="1279"/>
      <c r="PI4" s="1279"/>
      <c r="PJ4" s="1279"/>
      <c r="PK4" s="1279"/>
      <c r="PL4" s="1279"/>
      <c r="PM4" s="1279"/>
      <c r="PN4" s="1279"/>
      <c r="PO4" s="1258" t="s">
        <v>79</v>
      </c>
      <c r="PP4" s="1258"/>
      <c r="PQ4" s="1258"/>
      <c r="PR4" s="1258"/>
      <c r="PS4" s="1258"/>
      <c r="PT4" s="1258"/>
      <c r="PU4" s="1258"/>
      <c r="PV4" s="1258"/>
      <c r="PW4" s="1258"/>
      <c r="PX4" s="1258"/>
      <c r="PY4" s="1267" t="s">
        <v>80</v>
      </c>
      <c r="PZ4" s="1268"/>
      <c r="QA4" s="1268"/>
      <c r="QB4" s="1268"/>
      <c r="QC4" s="1268"/>
      <c r="QD4" s="1268"/>
      <c r="QE4" s="1268"/>
      <c r="QF4" s="1268"/>
      <c r="QG4" s="1269"/>
      <c r="QH4" s="156" t="s">
        <v>84</v>
      </c>
      <c r="QI4" s="1289" t="s">
        <v>87</v>
      </c>
      <c r="QJ4" s="1290"/>
      <c r="QK4" s="1290"/>
      <c r="QL4" s="1290"/>
      <c r="QM4" s="1290"/>
      <c r="QN4" s="1290"/>
      <c r="QO4" s="1290"/>
      <c r="QP4" s="1290"/>
      <c r="QQ4" s="1290"/>
      <c r="QR4" s="1290"/>
      <c r="QS4" s="1270" t="s">
        <v>88</v>
      </c>
      <c r="QT4" s="1270"/>
      <c r="QU4" s="1270"/>
      <c r="QV4" s="1270"/>
      <c r="QW4" s="1270"/>
      <c r="QX4" s="1270"/>
      <c r="QY4" s="1270"/>
      <c r="QZ4" s="1271"/>
      <c r="RA4" s="1291" t="s">
        <v>120</v>
      </c>
      <c r="RB4" s="1165"/>
      <c r="RC4" s="1165"/>
      <c r="RD4" s="1165"/>
      <c r="RE4" s="1165"/>
      <c r="RF4" s="1165"/>
      <c r="RG4" s="1165"/>
      <c r="RH4" s="1165"/>
      <c r="RI4" s="1165"/>
      <c r="RJ4" s="1165"/>
      <c r="RK4" s="1165"/>
      <c r="RL4" s="1165"/>
      <c r="RM4" s="1165"/>
      <c r="RN4" s="1165"/>
      <c r="RO4" s="1165"/>
      <c r="RP4" s="1165"/>
      <c r="RQ4" s="1165"/>
      <c r="RR4" s="1165"/>
      <c r="RS4" s="1165"/>
      <c r="RT4" s="1165"/>
      <c r="RU4" s="1165"/>
      <c r="RV4" s="1165"/>
      <c r="RW4" s="1165"/>
      <c r="RX4" s="1165"/>
      <c r="RY4" s="1165"/>
      <c r="RZ4" s="1165"/>
      <c r="SA4" s="1165"/>
      <c r="SB4" s="1165"/>
      <c r="SC4" s="1165"/>
      <c r="SD4" s="1165"/>
      <c r="SE4" s="1165"/>
      <c r="SF4" s="1165"/>
      <c r="SG4" s="1165"/>
      <c r="SH4" s="1165"/>
      <c r="SI4" s="1165"/>
      <c r="SJ4" s="1165"/>
      <c r="SK4" s="1165"/>
      <c r="SL4" s="1165"/>
      <c r="SM4" s="1165"/>
      <c r="SN4" s="1165"/>
      <c r="SO4" s="1165"/>
      <c r="SP4" s="1165"/>
      <c r="SQ4" s="1165"/>
      <c r="SR4" s="1165"/>
      <c r="SS4" s="1165"/>
      <c r="ST4" s="1165"/>
      <c r="SU4" s="1165"/>
      <c r="SV4" s="1165"/>
      <c r="SW4" s="1165"/>
      <c r="SX4" s="1165"/>
      <c r="SY4" s="1165"/>
      <c r="SZ4" s="1165"/>
      <c r="TA4" s="1165"/>
      <c r="TB4" s="1165"/>
      <c r="TC4" s="1165"/>
      <c r="TD4" s="1165"/>
      <c r="TE4" s="1165"/>
      <c r="TF4" s="1165"/>
      <c r="TG4" s="1165"/>
      <c r="TH4" s="1165"/>
      <c r="TI4" s="1165"/>
      <c r="TJ4" s="1165"/>
      <c r="TK4" s="1165"/>
      <c r="TL4" s="1165"/>
      <c r="TM4" s="1165"/>
      <c r="TN4" s="1165"/>
      <c r="TO4" s="1165"/>
      <c r="TP4" s="1165"/>
      <c r="TQ4" s="1165"/>
      <c r="TR4" s="1263" t="s">
        <v>126</v>
      </c>
      <c r="TS4" s="1264"/>
      <c r="TT4" s="1264"/>
      <c r="TU4" s="1264"/>
      <c r="TV4" s="1265"/>
      <c r="TW4" s="1164" t="s">
        <v>127</v>
      </c>
      <c r="TX4" s="1165"/>
      <c r="TY4" s="1165"/>
      <c r="TZ4" s="1165"/>
      <c r="UA4" s="1165"/>
      <c r="UB4" s="1165"/>
      <c r="UC4" s="1165"/>
      <c r="UD4" s="1165"/>
      <c r="UE4" s="1165"/>
      <c r="UF4" s="1165"/>
      <c r="UG4" s="1236" t="s">
        <v>131</v>
      </c>
      <c r="UH4" s="1237"/>
      <c r="UI4" s="1237"/>
      <c r="UJ4" s="1237"/>
      <c r="UK4" s="1238"/>
      <c r="UL4" s="1164" t="s">
        <v>133</v>
      </c>
      <c r="UM4" s="1165"/>
      <c r="UN4" s="1165"/>
      <c r="UO4" s="1165"/>
      <c r="UP4" s="1165"/>
      <c r="UQ4" s="1165"/>
      <c r="UR4" s="1165"/>
      <c r="US4" s="1165"/>
      <c r="UT4" s="1165"/>
      <c r="UU4" s="1236" t="s">
        <v>134</v>
      </c>
      <c r="UV4" s="1237"/>
      <c r="UW4" s="1237"/>
      <c r="UX4" s="1237"/>
      <c r="UY4" s="1238"/>
      <c r="UZ4" s="1164" t="s">
        <v>142</v>
      </c>
      <c r="VA4" s="1165"/>
      <c r="VB4" s="1165"/>
      <c r="VC4" s="1165"/>
      <c r="VD4" s="1165"/>
      <c r="VE4" s="1165"/>
      <c r="VF4" s="1165"/>
      <c r="VG4" s="1165"/>
      <c r="VH4" s="1165"/>
      <c r="VI4" s="1165"/>
      <c r="VJ4" s="1165"/>
      <c r="VK4" s="1165"/>
      <c r="VL4" s="1165"/>
      <c r="VM4" s="1165"/>
      <c r="VN4" s="1165"/>
      <c r="VO4" s="1165"/>
      <c r="VP4" s="1165"/>
      <c r="VQ4" s="1165"/>
      <c r="VR4" s="1165"/>
      <c r="VS4" s="1165"/>
      <c r="VT4" s="1165"/>
      <c r="VU4" s="1165"/>
      <c r="VV4" s="1165"/>
      <c r="VW4" s="1165"/>
      <c r="VX4" s="1165"/>
      <c r="VY4" s="1165"/>
      <c r="VZ4" s="1165"/>
      <c r="WA4" s="1165"/>
      <c r="WB4" s="1165"/>
      <c r="WC4" s="1165"/>
      <c r="WD4" s="1164" t="s">
        <v>145</v>
      </c>
      <c r="WE4" s="1165"/>
      <c r="WF4" s="1165"/>
      <c r="WG4" s="1165"/>
      <c r="WH4" s="1165"/>
      <c r="WI4" s="1165"/>
      <c r="WJ4" s="1165"/>
      <c r="WK4" s="1165"/>
      <c r="WL4" s="1165"/>
      <c r="WM4" s="1165"/>
      <c r="WN4" s="1165"/>
      <c r="WO4" s="1165"/>
      <c r="WP4" s="1165"/>
      <c r="WQ4" s="1165"/>
      <c r="WR4" s="1165"/>
      <c r="WS4" s="1165"/>
      <c r="WT4" s="1165"/>
      <c r="WU4" s="1165"/>
      <c r="WV4" s="1165"/>
      <c r="WW4" s="1165"/>
      <c r="WX4" s="1165"/>
      <c r="WY4" s="1165"/>
      <c r="WZ4" s="1165"/>
      <c r="XA4" s="1165"/>
      <c r="XB4" s="1165"/>
      <c r="XC4" s="1165"/>
      <c r="XD4" s="1165"/>
      <c r="XE4" s="1165"/>
      <c r="XF4" s="1165"/>
      <c r="XG4" s="1165"/>
      <c r="XH4" s="1164" t="s">
        <v>142</v>
      </c>
      <c r="XI4" s="1165"/>
      <c r="XJ4" s="1165"/>
      <c r="XK4" s="1165"/>
      <c r="XL4" s="1165"/>
      <c r="XM4" s="1165"/>
      <c r="XN4" s="1165"/>
      <c r="XO4" s="1165"/>
      <c r="XP4" s="1165"/>
      <c r="XQ4" s="1165"/>
      <c r="XR4" s="1165"/>
      <c r="XS4" s="1165"/>
      <c r="XT4" s="1165"/>
      <c r="XU4" s="1259" t="s">
        <v>148</v>
      </c>
      <c r="XV4" s="1260"/>
      <c r="XW4" s="1260"/>
      <c r="XX4" s="1260"/>
      <c r="XY4" s="1260"/>
      <c r="XZ4" s="1260"/>
      <c r="YA4" s="1260"/>
      <c r="YB4" s="1261"/>
      <c r="YC4" s="475" t="s">
        <v>151</v>
      </c>
      <c r="YD4" s="1298" t="s">
        <v>152</v>
      </c>
      <c r="YE4" s="1235"/>
      <c r="YF4" s="1235"/>
      <c r="YG4" s="1235"/>
      <c r="YH4" s="1235"/>
      <c r="YI4" s="1235"/>
      <c r="YJ4" s="1235"/>
      <c r="YK4" s="1235"/>
      <c r="YL4" s="1235"/>
      <c r="YM4" s="1235"/>
      <c r="YN4" s="1235"/>
      <c r="YO4" s="1235"/>
      <c r="YP4" s="1235"/>
      <c r="YQ4" s="1235"/>
      <c r="YR4" s="1235"/>
      <c r="YS4" s="1235"/>
      <c r="YT4" s="1235"/>
      <c r="YU4" s="1235"/>
      <c r="YV4" s="1235"/>
      <c r="YW4" s="1235"/>
      <c r="YX4" s="1235"/>
      <c r="YY4" s="1235"/>
      <c r="YZ4" s="1235"/>
      <c r="ZA4" s="1235"/>
      <c r="ZB4" s="1235"/>
      <c r="ZC4" s="1235"/>
      <c r="ZD4" s="478">
        <v>0.35</v>
      </c>
      <c r="ZE4" s="479">
        <v>0.93</v>
      </c>
      <c r="ZF4" s="1239" t="s">
        <v>120</v>
      </c>
      <c r="ZG4" s="1240"/>
      <c r="ZH4" s="1240"/>
      <c r="ZI4" s="1241"/>
      <c r="ZJ4" s="1232" t="s">
        <v>167</v>
      </c>
      <c r="ZK4" s="1233"/>
      <c r="ZL4" s="510" t="s">
        <v>169</v>
      </c>
      <c r="ZM4" s="1234" t="s">
        <v>171</v>
      </c>
      <c r="ZN4" s="1235"/>
      <c r="ZO4" s="1235"/>
      <c r="ZP4" s="1235"/>
      <c r="ZQ4" s="1235"/>
      <c r="ZR4" s="1164" t="s">
        <v>173</v>
      </c>
      <c r="ZS4" s="1165"/>
      <c r="ZT4" s="1165"/>
      <c r="ZU4" s="1165"/>
      <c r="ZV4" s="1165"/>
      <c r="ZW4" s="1165"/>
      <c r="ZX4" s="1165"/>
      <c r="ZY4" s="1165"/>
      <c r="ZZ4" s="1165"/>
      <c r="AAA4" s="1165"/>
      <c r="AAB4" s="1165"/>
      <c r="AAC4" s="1165"/>
      <c r="AAD4" s="1168" t="s">
        <v>181</v>
      </c>
      <c r="AAE4" s="1169"/>
      <c r="AAF4" s="1169"/>
      <c r="AAG4" s="1169"/>
      <c r="AAH4" s="1169"/>
      <c r="AAI4" s="1169"/>
      <c r="AAJ4" s="1169"/>
      <c r="AAK4" s="1169"/>
      <c r="AAL4" s="1169"/>
      <c r="AAM4" s="1169"/>
      <c r="AAN4" s="1169"/>
      <c r="AAO4" s="1169"/>
      <c r="AAP4" s="1169"/>
      <c r="AAQ4" s="1169"/>
      <c r="AAR4" s="1169"/>
      <c r="AAS4" s="1169"/>
      <c r="AAT4" s="1169"/>
      <c r="AAU4" s="1169"/>
      <c r="AAV4" s="1248"/>
      <c r="AAW4" s="1168" t="s">
        <v>184</v>
      </c>
      <c r="AAX4" s="1169"/>
      <c r="AAY4" s="1169"/>
      <c r="AAZ4" s="1169"/>
      <c r="ABA4" s="1169"/>
      <c r="ABB4" s="1169"/>
      <c r="ABC4" s="1169"/>
      <c r="ABD4" s="1248"/>
      <c r="ABE4" s="1168" t="s">
        <v>185</v>
      </c>
      <c r="ABF4" s="1169"/>
      <c r="ABG4" s="1169"/>
      <c r="ABH4" s="1169"/>
      <c r="ABI4" s="1169"/>
      <c r="ABJ4" s="1169"/>
      <c r="ABK4" s="1169"/>
      <c r="ABL4" s="1168" t="s">
        <v>195</v>
      </c>
      <c r="ABM4" s="1169"/>
      <c r="ABN4" s="1169"/>
      <c r="ABO4" s="1169"/>
      <c r="ABP4" s="1169"/>
      <c r="ABQ4" s="1169"/>
      <c r="ABR4" s="1169"/>
      <c r="ABS4" s="1248"/>
      <c r="ABT4" s="1256" t="s">
        <v>198</v>
      </c>
      <c r="ABU4" s="1257"/>
      <c r="ABV4" s="1257"/>
      <c r="ABW4" s="1257"/>
      <c r="ABX4" s="1257"/>
      <c r="ABY4" s="1257"/>
      <c r="ABZ4" s="1257"/>
      <c r="ACA4" s="1257"/>
      <c r="ACB4" s="1257"/>
      <c r="ACC4" s="1257"/>
      <c r="ACD4" s="1299" t="s">
        <v>202</v>
      </c>
      <c r="ACE4" s="1255"/>
      <c r="ACF4" s="1255"/>
      <c r="ACG4" s="1255"/>
      <c r="ACH4" s="1255"/>
      <c r="ACI4" s="1255"/>
      <c r="ACJ4" s="1255"/>
      <c r="ACK4" s="1255"/>
      <c r="ACL4" s="1255"/>
      <c r="ACM4" s="1255"/>
      <c r="ACN4" s="1255"/>
      <c r="ACO4" s="1255"/>
      <c r="ACP4" s="1255"/>
      <c r="ACQ4" s="1255"/>
      <c r="ACR4" s="1255"/>
      <c r="ACS4" s="1255"/>
      <c r="ACT4" s="1255"/>
      <c r="ACU4" s="1255"/>
      <c r="ACV4" s="1255"/>
      <c r="ACW4" s="1255"/>
      <c r="ACX4" s="1255"/>
      <c r="ACY4" s="1255"/>
      <c r="ACZ4" s="1255"/>
      <c r="ADA4" s="1255"/>
      <c r="ADB4" s="1255"/>
      <c r="ADC4" s="1255"/>
      <c r="ADD4" s="1255"/>
      <c r="ADE4" s="1255"/>
      <c r="ADF4" s="1255"/>
      <c r="ADG4" s="1255"/>
      <c r="ADH4" s="1255"/>
      <c r="ADI4" s="1255"/>
      <c r="ADJ4" s="1255"/>
      <c r="ADK4" s="1255"/>
      <c r="ADL4" s="1255"/>
      <c r="ADM4" s="1295" t="s">
        <v>269</v>
      </c>
      <c r="ADN4" s="1296"/>
      <c r="ADO4" s="1296"/>
      <c r="ADP4" s="1296"/>
      <c r="ADQ4" s="1296"/>
      <c r="ADR4" s="1296"/>
      <c r="ADS4" s="1296"/>
      <c r="ADT4" s="1296"/>
      <c r="ADU4" s="1296"/>
      <c r="ADV4" s="1296"/>
      <c r="ADW4" s="1296"/>
      <c r="ADX4" s="1296"/>
      <c r="ADY4" s="1296"/>
      <c r="ADZ4" s="1297"/>
      <c r="AEA4" s="1254" t="s">
        <v>275</v>
      </c>
      <c r="AEB4" s="1255"/>
      <c r="AEC4" s="1255"/>
      <c r="AED4" s="1254" t="s">
        <v>291</v>
      </c>
      <c r="AEE4" s="1255"/>
      <c r="AEF4" s="1255"/>
      <c r="AEG4" s="1255"/>
      <c r="AEH4" s="1255"/>
      <c r="AEI4" s="1255"/>
      <c r="AEJ4" s="1254" t="s">
        <v>290</v>
      </c>
      <c r="AEK4" s="1255"/>
      <c r="AEL4" s="1255"/>
      <c r="AEM4" s="1255"/>
      <c r="AEN4" s="1255"/>
      <c r="AEO4" s="1255"/>
      <c r="AEP4" s="1258" t="s">
        <v>275</v>
      </c>
      <c r="AEQ4" s="1258"/>
      <c r="AER4" s="1258"/>
      <c r="AES4" s="1258"/>
      <c r="AET4" s="1258"/>
      <c r="AEU4" s="1253" t="s">
        <v>311</v>
      </c>
      <c r="AEV4" s="1253"/>
      <c r="AEW4" s="1253"/>
      <c r="AEX4" s="1253"/>
      <c r="AEY4" s="1258" t="s">
        <v>313</v>
      </c>
      <c r="AEZ4" s="1258"/>
      <c r="AFA4" s="1258"/>
      <c r="AFB4" s="1258"/>
      <c r="AFC4" s="1258"/>
      <c r="AFD4" s="1249" t="s">
        <v>290</v>
      </c>
      <c r="AFE4" s="1250"/>
      <c r="AFF4" s="1250"/>
      <c r="AFG4" s="1250"/>
      <c r="AFH4" s="1250"/>
      <c r="AFI4" s="1250"/>
      <c r="AFJ4" s="1250"/>
      <c r="AFK4" s="1250"/>
      <c r="AFL4" s="925" t="s">
        <v>331</v>
      </c>
      <c r="AFM4" s="926"/>
      <c r="AFN4" s="1251" t="s">
        <v>339</v>
      </c>
      <c r="AFO4" s="1252"/>
      <c r="AFP4" s="1252"/>
      <c r="AFQ4" s="1252"/>
      <c r="AFR4" s="1252"/>
      <c r="AFS4" s="1245" t="s">
        <v>340</v>
      </c>
      <c r="AFT4" s="1246"/>
      <c r="AFU4" s="1246"/>
      <c r="AFV4" s="1246"/>
      <c r="AFW4" s="1246"/>
      <c r="AFX4" s="1246"/>
      <c r="AFY4" s="1247"/>
      <c r="AFZ4" s="1245" t="s">
        <v>349</v>
      </c>
      <c r="AGA4" s="1246"/>
      <c r="AGB4" s="1246"/>
      <c r="AGC4" s="1246"/>
      <c r="AGD4" s="1246"/>
      <c r="AGE4" s="1246"/>
      <c r="AGF4" s="1247"/>
      <c r="AGG4" s="947" t="s">
        <v>355</v>
      </c>
      <c r="AGH4" s="1302" t="s">
        <v>356</v>
      </c>
      <c r="AGI4" s="1243"/>
      <c r="AGJ4" s="1243"/>
      <c r="AGK4" s="1243"/>
      <c r="AGL4" s="1243"/>
      <c r="AGM4" s="1243"/>
      <c r="AGN4" s="1243"/>
      <c r="AGO4" s="1243"/>
      <c r="AGP4" s="1242" t="s">
        <v>366</v>
      </c>
      <c r="AGQ4" s="1243"/>
      <c r="AGR4" s="1243"/>
      <c r="AGS4" s="1243"/>
      <c r="AGT4" s="978" t="s">
        <v>356</v>
      </c>
      <c r="AGU4" s="979"/>
      <c r="AGV4" s="979"/>
      <c r="AGW4" s="979"/>
      <c r="AGX4" s="979"/>
      <c r="AGY4" s="979"/>
      <c r="AGZ4" s="979"/>
      <c r="AHA4" s="979"/>
      <c r="AHB4" s="979"/>
      <c r="AHC4" s="1231" t="s">
        <v>356</v>
      </c>
      <c r="AHD4" s="1231"/>
      <c r="AHE4" s="1231"/>
      <c r="AHF4" s="1231"/>
      <c r="AHG4" s="1231"/>
      <c r="AHH4" s="1231"/>
      <c r="AHI4" s="1231"/>
      <c r="AHJ4" s="1231"/>
      <c r="AHK4" s="1231"/>
      <c r="AHL4" s="1231"/>
      <c r="AHM4" s="1231"/>
      <c r="AHN4" s="1231"/>
      <c r="AHO4" s="1231"/>
      <c r="AHP4" s="1231"/>
      <c r="AHQ4" s="1231"/>
      <c r="AHR4" s="1231"/>
      <c r="AHS4" s="1231"/>
      <c r="AHT4" s="1231"/>
      <c r="AHU4" s="1231"/>
      <c r="AHV4" s="1231"/>
      <c r="AHW4" s="1231"/>
      <c r="AHX4" s="1231"/>
      <c r="AHY4" s="1231"/>
      <c r="AHZ4" s="1231"/>
      <c r="AIA4" s="1231"/>
      <c r="AIB4" s="1231"/>
      <c r="AIC4" s="1231"/>
      <c r="AID4" s="1231"/>
      <c r="AIE4" s="1231"/>
      <c r="AIF4" s="991" t="s">
        <v>390</v>
      </c>
      <c r="AIG4" s="979"/>
      <c r="AIH4" s="1231" t="s">
        <v>390</v>
      </c>
      <c r="AII4" s="1231"/>
      <c r="AIJ4" s="1303"/>
      <c r="AIK4" s="1242" t="s">
        <v>356</v>
      </c>
      <c r="AIL4" s="1243"/>
      <c r="AIM4" s="1242" t="s">
        <v>399</v>
      </c>
      <c r="AIN4" s="1243"/>
      <c r="AIO4" s="1243"/>
      <c r="AIP4" s="1243"/>
      <c r="AIQ4" s="1244"/>
      <c r="AIR4" s="1242" t="s">
        <v>356</v>
      </c>
      <c r="AIS4" s="1243"/>
      <c r="AIT4" s="1242" t="s">
        <v>407</v>
      </c>
      <c r="AIU4" s="1243"/>
      <c r="AIV4" s="1243"/>
      <c r="AIW4" s="1244"/>
      <c r="AIX4" s="1230" t="s">
        <v>409</v>
      </c>
      <c r="AIY4" s="1231"/>
      <c r="AIZ4" s="1231"/>
      <c r="AJA4" s="1231"/>
      <c r="AJB4" s="1231"/>
      <c r="AJC4" s="1231"/>
      <c r="AJD4" s="1242" t="s">
        <v>366</v>
      </c>
      <c r="AJE4" s="1243"/>
      <c r="AJF4" s="1242" t="s">
        <v>412</v>
      </c>
      <c r="AJG4" s="1243"/>
      <c r="AJH4" s="1243"/>
      <c r="AJI4" s="1001" t="s">
        <v>423</v>
      </c>
      <c r="AJJ4" s="1285" t="s">
        <v>427</v>
      </c>
      <c r="AJK4" s="1286"/>
      <c r="AJL4" s="1286"/>
      <c r="AJM4" s="1286"/>
      <c r="AJN4" s="1216" t="s">
        <v>426</v>
      </c>
      <c r="AJO4" s="1217"/>
      <c r="AJP4" s="1217"/>
      <c r="AJQ4" s="1217"/>
      <c r="AJR4" s="1217"/>
      <c r="AJS4" s="1217"/>
      <c r="AJT4" s="1217"/>
      <c r="AJU4" s="1217"/>
      <c r="AJV4" s="1217"/>
      <c r="AJW4" s="1217"/>
      <c r="AJX4" s="1217"/>
      <c r="AJY4" s="1217"/>
      <c r="AJZ4" s="1305" t="s">
        <v>407</v>
      </c>
      <c r="AKA4" s="1306"/>
      <c r="AKB4" s="1306"/>
      <c r="AKC4" s="1306"/>
      <c r="AKD4" s="1307"/>
      <c r="AKE4" s="1308" t="s">
        <v>356</v>
      </c>
      <c r="AKF4" s="1309"/>
      <c r="AKG4" s="1309"/>
      <c r="AKH4" s="1309"/>
      <c r="AKI4" s="1309"/>
      <c r="AKJ4" s="1309"/>
      <c r="AKK4" s="1309"/>
      <c r="AKL4" s="1309"/>
      <c r="AKM4" s="1309"/>
      <c r="AKN4" s="1309"/>
      <c r="AKO4" s="1309"/>
      <c r="AKP4" s="1309"/>
      <c r="AKQ4" s="1309"/>
      <c r="AKR4" s="1309"/>
      <c r="AKS4" s="1309"/>
      <c r="AKT4" s="1309"/>
      <c r="AKU4" s="1309"/>
      <c r="AKV4" s="1309"/>
      <c r="AKW4" s="1309"/>
      <c r="AKX4" s="1309"/>
      <c r="AKY4" s="1309"/>
      <c r="AKZ4" s="1309"/>
      <c r="ALA4" s="1309"/>
      <c r="ALB4" s="1309"/>
      <c r="ALC4" s="1309"/>
      <c r="ALD4" s="1309"/>
      <c r="ALE4" s="1309"/>
      <c r="ALF4" s="1310"/>
      <c r="ALG4" s="1292" t="s">
        <v>428</v>
      </c>
      <c r="ALH4" s="1293"/>
      <c r="ALI4" s="1293"/>
      <c r="ALJ4" s="1293"/>
      <c r="ALK4" s="1294"/>
      <c r="ALL4" s="1227" t="s">
        <v>429</v>
      </c>
      <c r="ALM4" s="1229"/>
      <c r="ALN4" s="1227" t="s">
        <v>356</v>
      </c>
      <c r="ALO4" s="1228"/>
      <c r="ALP4" s="1228"/>
      <c r="ALQ4" s="1228"/>
      <c r="ALR4" s="1228"/>
      <c r="ALS4" s="1228"/>
      <c r="ALT4" s="1228"/>
      <c r="ALU4" s="1228"/>
      <c r="ALV4" s="1228"/>
      <c r="ALW4" s="1228"/>
      <c r="ALX4" s="1228"/>
      <c r="ALY4" s="1228"/>
      <c r="ALZ4" s="1229"/>
      <c r="AMA4" s="1216" t="s">
        <v>430</v>
      </c>
      <c r="AMB4" s="1217"/>
      <c r="AMC4" s="1217"/>
      <c r="AMD4" s="1217"/>
      <c r="AME4" s="1216" t="s">
        <v>431</v>
      </c>
      <c r="AMF4" s="1217"/>
      <c r="AMG4" s="1217"/>
      <c r="AMH4" s="1285" t="s">
        <v>356</v>
      </c>
      <c r="AMI4" s="1286"/>
      <c r="AMJ4" s="1286"/>
      <c r="AMK4" s="1286"/>
      <c r="AML4" s="1286"/>
      <c r="AMM4" s="1286"/>
      <c r="AMN4" s="1286"/>
      <c r="AMO4" s="1286"/>
      <c r="AMP4" s="1286"/>
      <c r="AMQ4" s="1286"/>
      <c r="AMR4" s="1286"/>
      <c r="AMS4" s="1286"/>
      <c r="AMT4" s="1286"/>
      <c r="AMU4" s="1286"/>
      <c r="AMV4" s="1286"/>
      <c r="AMW4" s="1286"/>
      <c r="AMX4" s="1286"/>
      <c r="AMY4" s="1286"/>
      <c r="AMZ4" s="1286"/>
      <c r="ANA4" s="1286"/>
      <c r="ANB4" s="1286"/>
      <c r="ANC4" s="1286"/>
      <c r="AND4" s="1286"/>
      <c r="ANE4" s="1286"/>
      <c r="ANF4" s="1286"/>
      <c r="ANG4" s="1286"/>
      <c r="ANH4" s="1286"/>
      <c r="ANI4" s="1304"/>
      <c r="ANJ4" s="1216" t="s">
        <v>426</v>
      </c>
      <c r="ANK4" s="1217"/>
      <c r="ANL4" s="1217"/>
      <c r="ANM4" s="1217"/>
      <c r="ANN4" s="1217"/>
      <c r="ANO4" s="1217"/>
      <c r="ANP4" s="1217"/>
      <c r="ANQ4" s="1216" t="s">
        <v>356</v>
      </c>
      <c r="ANR4" s="1217"/>
      <c r="ANS4" s="1217"/>
      <c r="ANT4" s="1217"/>
      <c r="ANU4" s="1213" t="s">
        <v>432</v>
      </c>
      <c r="ANV4" s="1214"/>
      <c r="ANW4" s="1214"/>
      <c r="ANX4" s="1214"/>
      <c r="ANY4" s="1214"/>
      <c r="ANZ4" s="1214"/>
      <c r="AOA4" s="1214"/>
      <c r="AOB4" s="1214"/>
      <c r="AOC4" s="1214"/>
      <c r="AOD4" s="1214"/>
      <c r="AOE4" s="1214"/>
      <c r="AOF4" s="1214"/>
      <c r="AOG4" s="1214"/>
      <c r="AOH4" s="1214"/>
      <c r="AOI4" s="1214"/>
      <c r="AOJ4" s="1214"/>
      <c r="AOK4" s="1214"/>
      <c r="AOL4" s="1214"/>
      <c r="AOM4" s="1214"/>
      <c r="AON4" s="1214"/>
      <c r="AOO4" s="1214"/>
      <c r="AOP4" s="1214"/>
      <c r="AOQ4" s="1214"/>
      <c r="AOR4" s="1214"/>
      <c r="AOS4" s="1214"/>
      <c r="AOT4" s="1214"/>
      <c r="AOU4" s="1214"/>
      <c r="AOV4" s="1214"/>
      <c r="AOW4" s="1214"/>
      <c r="AOX4" s="1214"/>
      <c r="AOY4" s="1215"/>
      <c r="AOZ4" s="1006" t="s">
        <v>433</v>
      </c>
      <c r="APA4" s="1213" t="s">
        <v>434</v>
      </c>
      <c r="APB4" s="1214"/>
      <c r="APC4" s="1214"/>
      <c r="APD4" s="1214"/>
      <c r="APE4" s="1215"/>
      <c r="APF4" s="1006" t="s">
        <v>435</v>
      </c>
      <c r="APG4" s="1213" t="s">
        <v>436</v>
      </c>
      <c r="APH4" s="1214"/>
      <c r="API4" s="1214"/>
      <c r="APJ4" s="1214"/>
      <c r="APK4" s="1214"/>
      <c r="APL4" s="1214"/>
      <c r="APM4" s="1214"/>
      <c r="APN4" s="1214"/>
      <c r="APO4" s="1215"/>
      <c r="APP4" s="1213" t="s">
        <v>437</v>
      </c>
      <c r="APQ4" s="1214"/>
      <c r="APR4" s="1214"/>
      <c r="APS4" s="1214"/>
      <c r="APT4" s="1214"/>
      <c r="APU4" s="1214"/>
      <c r="APV4" s="1214"/>
      <c r="APW4" s="1215"/>
      <c r="APX4" s="1218" t="s">
        <v>423</v>
      </c>
      <c r="APY4" s="1217"/>
      <c r="APZ4" s="1217"/>
      <c r="AQA4" s="1217"/>
      <c r="AQB4" s="1218" t="s">
        <v>438</v>
      </c>
      <c r="AQC4" s="1217"/>
      <c r="AQD4" s="1218" t="s">
        <v>409</v>
      </c>
      <c r="AQE4" s="1217"/>
      <c r="AQF4" s="1007" t="s">
        <v>439</v>
      </c>
      <c r="AQG4" s="1007" t="s">
        <v>440</v>
      </c>
      <c r="AQH4" s="1218" t="s">
        <v>441</v>
      </c>
      <c r="AQI4" s="1217"/>
      <c r="AQJ4" s="1218" t="s">
        <v>409</v>
      </c>
      <c r="AQK4" s="1217"/>
      <c r="AQL4" s="1218" t="s">
        <v>441</v>
      </c>
      <c r="AQM4" s="1217"/>
      <c r="AQN4" s="1217"/>
      <c r="AQO4" s="1217"/>
      <c r="AQP4" s="1217"/>
      <c r="AQQ4" s="1218" t="s">
        <v>442</v>
      </c>
      <c r="AQR4" s="1217"/>
      <c r="AQS4" s="1008" t="s">
        <v>443</v>
      </c>
      <c r="AQT4" s="1008" t="s">
        <v>444</v>
      </c>
      <c r="AQU4" s="1008" t="s">
        <v>442</v>
      </c>
      <c r="AQV4" s="1009" t="s">
        <v>441</v>
      </c>
      <c r="AQW4" s="1218" t="s">
        <v>445</v>
      </c>
      <c r="AQX4" s="1217"/>
      <c r="AQY4" s="1217"/>
      <c r="AQZ4" s="1217"/>
      <c r="ARA4" s="1217"/>
      <c r="ARB4" s="1218" t="s">
        <v>446</v>
      </c>
      <c r="ARC4" s="1217"/>
      <c r="ARD4" s="1217"/>
      <c r="ARE4" s="1217"/>
      <c r="ARF4" s="1217"/>
      <c r="ARG4" s="1217"/>
      <c r="ARH4" s="1217"/>
      <c r="ARI4" s="1217"/>
      <c r="ARJ4" s="1217"/>
      <c r="ARK4" s="1217"/>
      <c r="ARL4" s="1218" t="s">
        <v>447</v>
      </c>
      <c r="ARM4" s="1217"/>
      <c r="ARN4" s="1217"/>
      <c r="ARO4" s="1217"/>
      <c r="ARP4" s="1217"/>
      <c r="ARQ4" s="1217"/>
      <c r="ARR4" s="1217"/>
      <c r="ARS4" s="1217"/>
      <c r="ART4" s="1217"/>
      <c r="ARU4" s="1217"/>
      <c r="ARV4" s="1217"/>
      <c r="ARW4" s="1217"/>
      <c r="ARX4" s="1217"/>
      <c r="ARY4" s="1217"/>
      <c r="ARZ4" s="1217"/>
      <c r="ASA4" s="1196" t="s">
        <v>412</v>
      </c>
      <c r="ASB4" s="1196"/>
      <c r="ASC4" s="1196"/>
      <c r="ASD4" s="1196"/>
      <c r="ASE4" s="1196"/>
      <c r="ASF4" s="1196"/>
      <c r="ASG4" s="1196"/>
      <c r="ASH4" s="1196"/>
      <c r="ASI4" s="1196"/>
      <c r="ASJ4" s="1196"/>
      <c r="ASK4" s="1196"/>
      <c r="ASL4" s="1195" t="s">
        <v>448</v>
      </c>
      <c r="ASM4" s="1195"/>
      <c r="ASN4" s="1195"/>
      <c r="ASO4" s="1195"/>
      <c r="ASP4" s="1195"/>
      <c r="ASQ4" s="1195"/>
      <c r="ASR4" s="1195"/>
      <c r="ASS4" s="1195"/>
      <c r="AST4" s="1195"/>
      <c r="ASU4" s="1195"/>
      <c r="ASV4" s="1195"/>
      <c r="ASW4" s="1195"/>
      <c r="ASX4" s="1195"/>
      <c r="ASY4" s="1195"/>
      <c r="ASZ4" s="1195"/>
      <c r="ATA4" s="1195"/>
      <c r="ATB4" s="1195"/>
      <c r="ATC4" s="1195"/>
      <c r="ATD4" s="1195"/>
      <c r="ATE4" s="1195"/>
      <c r="ATF4" s="1195"/>
      <c r="ATG4" s="1195"/>
      <c r="ATH4" s="1195"/>
      <c r="ATI4" s="1195"/>
      <c r="ATJ4" s="1195"/>
      <c r="ATK4" s="1195"/>
      <c r="ATL4" s="1195"/>
      <c r="ATM4" s="1195"/>
      <c r="ATN4" s="1195"/>
      <c r="ATO4" s="1195"/>
      <c r="ATP4" s="1195"/>
      <c r="ATQ4" s="1195"/>
      <c r="ATR4" s="1195"/>
      <c r="ATS4" s="1195"/>
      <c r="ATT4" s="1195"/>
      <c r="ATU4" s="1195"/>
      <c r="ATV4" s="1195"/>
      <c r="ATW4" s="1195"/>
      <c r="ATX4" s="1195"/>
      <c r="ATY4" s="1195"/>
      <c r="ATZ4" s="1195"/>
      <c r="AUA4" s="1195"/>
      <c r="AUB4" s="1195"/>
      <c r="AUC4" s="1195"/>
      <c r="AUD4" s="1195"/>
      <c r="AUE4" s="1195"/>
      <c r="AUF4" s="1195"/>
      <c r="AUG4" s="1195"/>
      <c r="AUH4" s="1195"/>
      <c r="AUI4" s="1195"/>
      <c r="AUJ4" s="1195"/>
      <c r="AUK4" s="1195"/>
      <c r="AUL4" s="1195"/>
      <c r="AUM4" s="1195"/>
      <c r="AUN4" s="1195"/>
      <c r="AUO4" s="1195"/>
      <c r="AUP4" s="1195"/>
      <c r="AUQ4" s="1195"/>
      <c r="AUR4" s="1195"/>
      <c r="AUS4" s="1195"/>
      <c r="AUT4" s="1195"/>
      <c r="AUU4" s="1195"/>
      <c r="AUV4" s="1195"/>
      <c r="AUW4" s="1195"/>
      <c r="AUX4" s="1195"/>
      <c r="AUY4" s="1195"/>
      <c r="AUZ4" s="1195"/>
      <c r="AVA4" s="1195"/>
      <c r="AVB4" s="1195"/>
      <c r="AVC4" s="1195"/>
      <c r="AVD4" s="1195"/>
      <c r="AVE4" s="1195"/>
      <c r="AVF4" s="1195"/>
      <c r="AVG4" s="1195"/>
      <c r="AVH4" s="1195"/>
      <c r="AVI4" s="1195"/>
      <c r="AVJ4" s="1195"/>
      <c r="AVK4" s="1195"/>
      <c r="AVL4" s="1195"/>
      <c r="AVM4" s="1195"/>
      <c r="AVN4" s="1195"/>
      <c r="AVO4" s="1195"/>
      <c r="AVP4" s="1195"/>
      <c r="AVQ4" s="1195"/>
      <c r="AVR4" s="1195"/>
      <c r="AVS4" s="1195"/>
      <c r="AVT4" s="1195"/>
      <c r="AVU4" s="1195"/>
      <c r="AVV4" s="1195"/>
      <c r="AVW4" s="1195"/>
      <c r="AVX4" s="1195"/>
      <c r="AVY4" s="1195"/>
      <c r="AVZ4" s="1195"/>
      <c r="AWA4" s="1195"/>
      <c r="AWB4" s="1195"/>
      <c r="AWC4" s="1195"/>
      <c r="AWD4" s="1195"/>
      <c r="AWE4" s="1195"/>
      <c r="AWF4" s="1195"/>
      <c r="AWG4" s="1195"/>
      <c r="AWH4" s="1195"/>
      <c r="AWI4" s="1210" t="s">
        <v>449</v>
      </c>
      <c r="AWJ4" s="1210"/>
      <c r="AWK4" s="1210"/>
      <c r="AWL4" s="1210"/>
      <c r="AWM4" s="1210"/>
      <c r="AWN4" s="1211" t="s">
        <v>450</v>
      </c>
      <c r="AWO4" s="1210"/>
      <c r="AWP4" s="1210"/>
      <c r="AWQ4" s="1212"/>
      <c r="AWR4" s="1211" t="s">
        <v>451</v>
      </c>
      <c r="AWS4" s="1210"/>
      <c r="AWT4" s="1210"/>
      <c r="AWU4" s="1210"/>
      <c r="AWV4" s="1210"/>
      <c r="AWW4" s="1193" t="s">
        <v>452</v>
      </c>
      <c r="AWX4" s="1194"/>
      <c r="AWY4" s="1194"/>
      <c r="AWZ4" s="1194"/>
      <c r="AXA4" s="1194"/>
      <c r="AXB4" s="1194"/>
      <c r="AXC4" s="1194"/>
      <c r="AXD4" s="1194"/>
      <c r="AXE4" s="1194"/>
      <c r="AXF4" s="1194"/>
      <c r="AXG4" s="1194"/>
      <c r="AXH4" s="1194"/>
      <c r="AXI4" s="1194"/>
      <c r="AXJ4" s="1194"/>
      <c r="AXK4" s="1194"/>
      <c r="AXL4" s="1194"/>
      <c r="AXM4" s="1194"/>
      <c r="AXN4" s="1021" t="s">
        <v>453</v>
      </c>
      <c r="AXO4" s="1204" t="s">
        <v>454</v>
      </c>
      <c r="AXP4" s="1205"/>
      <c r="AXQ4" s="1205"/>
      <c r="AXR4" s="1205"/>
      <c r="AXS4" s="1205"/>
      <c r="AXT4" s="1205"/>
      <c r="AXU4" s="1205"/>
      <c r="AXV4" s="1205"/>
      <c r="AXW4" s="1205"/>
      <c r="AXX4" s="1205"/>
      <c r="AXY4" s="1205"/>
      <c r="AXZ4" s="1205"/>
      <c r="AYA4" s="1205"/>
      <c r="AYB4" s="1205"/>
      <c r="AYC4" s="1205"/>
      <c r="AYD4" s="1205"/>
      <c r="AYE4" s="1205"/>
      <c r="AYF4" s="1205"/>
      <c r="AYG4" s="1205"/>
      <c r="AYH4" s="1205"/>
      <c r="AYI4" s="1205"/>
      <c r="AYJ4" s="1205"/>
      <c r="AYK4" s="1205"/>
      <c r="AYL4" s="1205"/>
      <c r="AYM4" s="1206" t="s">
        <v>455</v>
      </c>
      <c r="AYN4" s="1206"/>
      <c r="AYO4" s="1206"/>
      <c r="AYP4" s="1206"/>
      <c r="AYQ4" s="1206"/>
      <c r="AYR4" s="1207" t="s">
        <v>456</v>
      </c>
      <c r="AYS4" s="1207"/>
      <c r="AYT4" s="1207"/>
      <c r="AYU4" s="1207"/>
      <c r="AYV4" s="1207"/>
      <c r="AYW4" s="1207"/>
      <c r="AYX4" s="1207"/>
      <c r="AYY4" s="1207"/>
      <c r="AYZ4" s="1207"/>
      <c r="AZA4" s="1207"/>
      <c r="AZB4" s="1209" t="s">
        <v>457</v>
      </c>
      <c r="AZC4" s="1209"/>
      <c r="AZD4" s="1209"/>
      <c r="AZE4" s="1209"/>
      <c r="AZF4" s="1209"/>
      <c r="AZG4" s="1209"/>
      <c r="AZH4" s="1209"/>
      <c r="AZI4" s="1209"/>
      <c r="AZJ4" s="1209"/>
      <c r="AZK4" s="1209"/>
      <c r="AZL4" s="1209"/>
      <c r="AZM4" s="1209"/>
      <c r="AZN4" s="1208" t="s">
        <v>458</v>
      </c>
      <c r="AZO4" s="1208"/>
      <c r="AZP4" s="1208"/>
      <c r="AZQ4" s="1208"/>
      <c r="AZR4" s="1208"/>
      <c r="AZS4" s="1208"/>
      <c r="AZT4" s="1208"/>
      <c r="AZU4" s="1208"/>
      <c r="AZV4" s="1208"/>
      <c r="AZW4" s="1208"/>
      <c r="AZX4" s="1190" t="s">
        <v>459</v>
      </c>
      <c r="AZY4" s="1190"/>
      <c r="AZZ4" s="1190"/>
      <c r="BAA4" s="1190"/>
      <c r="BAB4" s="1190"/>
      <c r="BAC4" s="1190"/>
      <c r="BAD4" s="1190"/>
      <c r="BAE4" s="1190"/>
      <c r="BAF4" s="1190"/>
      <c r="BAG4" s="1190"/>
      <c r="BAH4" s="1190"/>
      <c r="BAI4" s="1190"/>
      <c r="BAJ4" s="1190"/>
      <c r="BAK4" s="1203" t="s">
        <v>460</v>
      </c>
      <c r="BAL4" s="1203"/>
      <c r="BAM4" s="1203"/>
      <c r="BAN4" s="1203"/>
      <c r="BAO4" s="1203"/>
      <c r="BAP4" s="1203"/>
      <c r="BAQ4" s="1203"/>
      <c r="BAR4" s="1203"/>
      <c r="BAS4" s="1190" t="s">
        <v>461</v>
      </c>
      <c r="BAT4" s="1190"/>
      <c r="BAU4" s="1190"/>
      <c r="BAV4" s="1190"/>
      <c r="BAW4" s="1190"/>
      <c r="BAX4" s="1190"/>
      <c r="BAY4" s="1192" t="s">
        <v>462</v>
      </c>
      <c r="BAZ4" s="1192"/>
      <c r="BBA4" s="1191" t="s">
        <v>457</v>
      </c>
      <c r="BBB4" s="1191"/>
      <c r="BBC4" s="1191"/>
      <c r="BBD4" s="1191"/>
      <c r="BBE4" s="1191"/>
      <c r="BBF4" s="1191"/>
      <c r="BBG4" s="1191"/>
      <c r="BBH4" s="1191"/>
      <c r="BBI4" s="1197" t="s">
        <v>463</v>
      </c>
      <c r="BBJ4" s="1198"/>
      <c r="BBK4" s="1198"/>
      <c r="BBL4" s="1198"/>
      <c r="BBM4" s="1198"/>
      <c r="BBN4" s="1198"/>
      <c r="BBO4" s="1198"/>
      <c r="BBP4" s="1198"/>
      <c r="BBQ4" s="1198"/>
      <c r="BBR4" s="1198"/>
      <c r="BBS4" s="1198"/>
      <c r="BBT4" s="1198"/>
      <c r="BBU4" s="1198"/>
      <c r="BBV4" s="1198"/>
      <c r="BBW4" s="1198"/>
      <c r="BBX4" s="1198"/>
      <c r="BBY4" s="1198"/>
      <c r="BBZ4" s="1198"/>
      <c r="BCA4" s="1198"/>
      <c r="BCB4" s="1198"/>
      <c r="BCC4" s="1198"/>
      <c r="BCD4" s="1199"/>
      <c r="BCE4" s="1200" t="s">
        <v>458</v>
      </c>
      <c r="BCF4" s="1201"/>
      <c r="BCG4" s="1201"/>
      <c r="BCH4" s="1201"/>
      <c r="BCI4" s="1201"/>
      <c r="BCJ4" s="1202"/>
      <c r="BCK4" s="1197" t="s">
        <v>460</v>
      </c>
      <c r="BCL4" s="1198"/>
      <c r="BCM4" s="1198"/>
      <c r="BCN4" s="1198"/>
      <c r="BCO4" s="1198"/>
      <c r="BCP4" s="1198"/>
      <c r="BCQ4" s="1199"/>
      <c r="BCR4" s="1187" t="s">
        <v>464</v>
      </c>
      <c r="BCS4" s="1188"/>
      <c r="BCT4" s="1188"/>
      <c r="BCU4" s="1187" t="s">
        <v>465</v>
      </c>
      <c r="BCV4" s="1188"/>
      <c r="BCW4" s="1188"/>
      <c r="BCX4" s="1188"/>
      <c r="BCY4" s="1188"/>
      <c r="BCZ4" s="1188"/>
      <c r="BDA4" s="1189"/>
      <c r="BDB4" s="1187" t="s">
        <v>466</v>
      </c>
      <c r="BDC4" s="1188"/>
      <c r="BDD4" s="1188"/>
      <c r="BDE4" s="1188"/>
      <c r="BDF4" s="1188"/>
      <c r="BDG4" s="1188"/>
      <c r="BDH4" s="1188"/>
      <c r="BDI4" s="1188"/>
      <c r="BDJ4" s="1188"/>
      <c r="BDK4" s="1188"/>
      <c r="BDL4" s="1188"/>
      <c r="BDM4" s="1188"/>
      <c r="BDN4" s="1188"/>
      <c r="BDO4" s="1188"/>
      <c r="BDP4" s="1189"/>
      <c r="BDQ4" s="1187" t="s">
        <v>462</v>
      </c>
      <c r="BDR4" s="1188"/>
      <c r="BDS4" s="1188"/>
      <c r="BDT4" s="1188"/>
      <c r="BDU4" s="1188"/>
      <c r="BDV4" s="1188"/>
      <c r="BDW4" s="1188"/>
      <c r="BDX4" s="1188"/>
      <c r="BDY4" s="1189"/>
      <c r="BDZ4" s="1187" t="s">
        <v>467</v>
      </c>
      <c r="BEA4" s="1188"/>
      <c r="BEB4" s="1188"/>
      <c r="BEC4" s="1188"/>
      <c r="BED4" s="1188"/>
      <c r="BEE4" s="1188"/>
      <c r="BEF4" s="1188"/>
      <c r="BEG4" s="1188"/>
      <c r="BEH4" s="1189"/>
      <c r="BEI4" s="1185" t="s">
        <v>456</v>
      </c>
      <c r="BEJ4" s="1186"/>
      <c r="BEK4" s="1186"/>
      <c r="BEL4" s="1186"/>
      <c r="BEM4" s="1186"/>
      <c r="BEN4" s="1186"/>
      <c r="BEO4" s="1186"/>
      <c r="BEP4" s="1186"/>
      <c r="BEQ4" s="1186"/>
      <c r="BER4" s="1186"/>
      <c r="BES4" s="1183" t="s">
        <v>456</v>
      </c>
      <c r="BET4" s="1184"/>
      <c r="BEU4" s="1184"/>
      <c r="BEV4" s="1184"/>
      <c r="BEW4" s="1184"/>
      <c r="BEX4" s="1184"/>
      <c r="BEY4" s="1184"/>
      <c r="BEZ4" s="1184"/>
      <c r="BFA4" s="1184"/>
      <c r="BFB4" s="1184"/>
      <c r="BFC4" s="1182" t="s">
        <v>456</v>
      </c>
      <c r="BFD4" s="1182"/>
      <c r="BFE4" s="1182"/>
      <c r="BFF4" s="1182"/>
      <c r="BFG4" s="1182"/>
      <c r="BFH4" s="1182"/>
      <c r="BFI4" s="1182"/>
      <c r="BFJ4" s="1182"/>
      <c r="BFK4" s="1182"/>
      <c r="BFL4" s="1182"/>
      <c r="BFM4" s="1182"/>
      <c r="BFN4" s="1182"/>
      <c r="BFO4" s="1182"/>
      <c r="BFP4" s="1182"/>
      <c r="BFQ4" s="1182"/>
      <c r="BFR4" s="1182"/>
      <c r="BFS4" s="1182"/>
      <c r="BFT4" s="1182"/>
      <c r="BFU4" s="1182"/>
      <c r="BFV4" s="1182"/>
      <c r="BFW4" s="1182"/>
      <c r="BFX4" s="1182"/>
      <c r="BFY4" s="1182"/>
      <c r="BFZ4" s="1182"/>
      <c r="BGA4" s="1182"/>
      <c r="BGB4" s="1182"/>
      <c r="BGC4" s="1182"/>
      <c r="BGD4" s="1182"/>
      <c r="BGE4" s="1182"/>
      <c r="BGF4" s="1182"/>
      <c r="BGG4" s="1182"/>
      <c r="BGH4" s="1182"/>
      <c r="BGI4" s="1182"/>
      <c r="BGJ4" s="1182"/>
      <c r="BGK4" s="1182"/>
      <c r="BGL4" s="1182"/>
    </row>
    <row r="5" spans="1:1615" ht="9.75" hidden="1" customHeight="1" thickBot="1" x14ac:dyDescent="0.25">
      <c r="A5" s="1"/>
      <c r="B5" s="1"/>
      <c r="C5" s="1"/>
      <c r="D5" s="1"/>
      <c r="E5" s="1131"/>
      <c r="F5" s="1131"/>
      <c r="G5" s="1131"/>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c r="BR5" s="7"/>
      <c r="BS5" s="7"/>
      <c r="BT5" s="7"/>
      <c r="BU5" s="7"/>
      <c r="BV5" s="7"/>
      <c r="BW5" s="7"/>
      <c r="BX5" s="7"/>
      <c r="BY5" s="7"/>
      <c r="BZ5" s="7"/>
      <c r="CA5" s="7"/>
      <c r="CB5" s="7"/>
      <c r="CC5" s="7"/>
      <c r="CD5" s="7"/>
      <c r="CE5" s="7"/>
      <c r="CF5" s="7"/>
      <c r="CG5" s="7"/>
      <c r="CH5" s="7"/>
      <c r="CI5" s="7"/>
      <c r="CJ5" s="7"/>
      <c r="CK5" s="7"/>
      <c r="CL5" s="7"/>
      <c r="CM5" s="7"/>
      <c r="CN5" s="7"/>
      <c r="CO5" s="7"/>
      <c r="CP5" s="7"/>
      <c r="CQ5" s="7"/>
      <c r="CR5" s="7"/>
      <c r="CS5" s="7"/>
      <c r="CT5" s="7"/>
      <c r="CU5" s="7"/>
      <c r="CV5" s="7"/>
      <c r="CW5" s="7"/>
      <c r="CX5" s="7"/>
      <c r="CY5" s="7"/>
      <c r="CZ5" s="7"/>
      <c r="DA5" s="7"/>
      <c r="DB5" s="7"/>
      <c r="DC5" s="7"/>
      <c r="DD5" s="7"/>
      <c r="DE5" s="7"/>
      <c r="DF5" s="7"/>
      <c r="DG5" s="7"/>
      <c r="DH5" s="7"/>
      <c r="DI5" s="7"/>
      <c r="DJ5" s="7"/>
      <c r="DK5" s="7"/>
      <c r="DL5" s="7"/>
      <c r="DM5" s="7"/>
      <c r="DN5" s="7"/>
      <c r="DO5" s="7"/>
      <c r="DP5" s="7"/>
      <c r="DQ5" s="7"/>
      <c r="DR5" s="7"/>
      <c r="DS5" s="7"/>
      <c r="DT5" s="7"/>
      <c r="DU5" s="7"/>
      <c r="DV5" s="7"/>
      <c r="DW5" s="7"/>
      <c r="DX5" s="7"/>
      <c r="DY5" s="7"/>
      <c r="DZ5" s="7"/>
      <c r="EA5" s="7"/>
      <c r="EB5" s="7"/>
      <c r="EC5" s="7"/>
      <c r="ED5" s="7"/>
      <c r="EE5" s="7"/>
      <c r="EF5" s="7"/>
      <c r="EG5" s="7"/>
      <c r="EH5" s="7"/>
      <c r="EI5" s="7"/>
      <c r="EJ5" s="7"/>
      <c r="EK5" s="7"/>
      <c r="EL5" s="7"/>
      <c r="EM5" s="7"/>
      <c r="EN5" s="7"/>
      <c r="EO5" s="7"/>
      <c r="EP5" s="7"/>
      <c r="EQ5" s="7"/>
      <c r="ER5" s="7"/>
      <c r="ES5" s="7"/>
      <c r="ET5" s="7"/>
      <c r="EU5" s="7"/>
      <c r="EV5" s="7"/>
      <c r="EW5" s="7"/>
      <c r="EX5" s="7"/>
      <c r="EY5" s="7"/>
      <c r="EZ5" s="1282" t="s">
        <v>20</v>
      </c>
      <c r="FA5" s="1282"/>
      <c r="FB5" s="1282"/>
      <c r="FC5" s="1282"/>
      <c r="FD5" s="1282"/>
      <c r="FE5" s="1282"/>
      <c r="FF5" s="1282"/>
      <c r="FG5" s="1282"/>
      <c r="FH5" s="1282"/>
      <c r="FI5" s="1282"/>
      <c r="FJ5" s="1282"/>
      <c r="FK5" s="1282"/>
      <c r="FL5" s="1282"/>
      <c r="FM5" s="1282"/>
      <c r="FN5" s="1282"/>
      <c r="FO5" s="1282"/>
      <c r="FP5" s="1282"/>
      <c r="FQ5" s="1282"/>
      <c r="FR5" s="1282"/>
      <c r="FS5" s="1282"/>
      <c r="FT5" s="1282"/>
      <c r="FU5" s="1282"/>
      <c r="FV5" s="1282"/>
      <c r="FW5" s="1282"/>
      <c r="FX5" s="1282"/>
      <c r="FY5" s="1282"/>
      <c r="FZ5" s="1282"/>
      <c r="GA5" s="1282"/>
      <c r="GB5" s="1282"/>
      <c r="GC5" s="1282"/>
      <c r="GD5" s="1282"/>
      <c r="GE5" s="1282" t="s">
        <v>21</v>
      </c>
      <c r="GF5" s="1282"/>
      <c r="GG5" s="1282"/>
      <c r="GH5" s="1282"/>
      <c r="GI5" s="1282"/>
      <c r="GJ5" s="1282"/>
      <c r="GK5" s="1282"/>
      <c r="GL5" s="1282"/>
      <c r="GM5" s="1282"/>
      <c r="GN5" s="1282"/>
      <c r="GO5" s="1282"/>
      <c r="GP5" s="1282"/>
      <c r="GQ5" s="1282"/>
      <c r="GR5" s="1282"/>
      <c r="GS5" s="1282"/>
      <c r="GT5" s="1282"/>
      <c r="GU5" s="1219" t="s">
        <v>22</v>
      </c>
      <c r="GV5" s="1219"/>
      <c r="GW5" s="1219"/>
      <c r="GX5" s="1219"/>
      <c r="GY5" s="1219"/>
      <c r="GZ5" s="1219"/>
      <c r="HA5" s="1219"/>
      <c r="HB5" s="1219" t="s">
        <v>23</v>
      </c>
      <c r="HC5" s="1219"/>
      <c r="HD5" s="1219"/>
      <c r="HE5" s="1219"/>
      <c r="HF5" s="1219"/>
      <c r="HG5" s="1219"/>
      <c r="HH5" s="1219"/>
      <c r="HI5" s="1219" t="s">
        <v>24</v>
      </c>
      <c r="HJ5" s="1219"/>
      <c r="HK5" s="1219"/>
      <c r="HL5" s="1219"/>
      <c r="HM5" s="1219"/>
      <c r="HN5" s="1219"/>
      <c r="HO5" s="1219"/>
      <c r="HP5" s="1219"/>
      <c r="HQ5" s="1219"/>
      <c r="HR5" s="1219"/>
      <c r="HS5" s="1219"/>
      <c r="HT5" s="1219"/>
      <c r="HU5" s="1219"/>
      <c r="HV5" s="1219"/>
      <c r="HW5" s="1219"/>
      <c r="HX5" s="1219"/>
      <c r="HY5" s="1219"/>
      <c r="HZ5" s="1219"/>
      <c r="IA5" s="1219"/>
      <c r="IB5" s="1219"/>
      <c r="IC5" s="1219"/>
      <c r="ID5" s="1219"/>
      <c r="IE5" s="1219"/>
      <c r="IF5" s="1219"/>
      <c r="IG5" s="1219"/>
      <c r="IH5" s="1219"/>
      <c r="II5" s="1219"/>
      <c r="IJ5" s="1219"/>
      <c r="IK5" s="1219"/>
      <c r="IL5" s="1219"/>
      <c r="IM5" s="1219"/>
      <c r="IN5" s="1219"/>
      <c r="IO5" s="1219"/>
      <c r="IP5" s="1219"/>
      <c r="IQ5" s="1219"/>
      <c r="IR5" s="1219"/>
      <c r="IS5" s="1219"/>
      <c r="IT5" s="1219"/>
      <c r="IU5" s="1219"/>
      <c r="IV5" s="1219"/>
      <c r="IW5" s="1219"/>
      <c r="IX5" s="1219"/>
      <c r="IY5" s="1219"/>
      <c r="IZ5" s="1219"/>
      <c r="JA5" s="1219"/>
      <c r="JB5" s="1219"/>
      <c r="JC5" s="1219"/>
      <c r="JD5" s="1219"/>
      <c r="JE5" s="1219"/>
      <c r="JF5" s="1219"/>
      <c r="JG5" s="1219"/>
      <c r="JH5" s="1219"/>
      <c r="JI5" s="1219"/>
      <c r="JJ5" s="1219"/>
      <c r="JK5" s="1219"/>
      <c r="JL5" s="1219"/>
      <c r="JM5" s="1219"/>
      <c r="JN5" s="1284" t="s">
        <v>25</v>
      </c>
      <c r="JO5" s="1284"/>
      <c r="JP5" s="1284"/>
      <c r="JQ5" s="1284"/>
      <c r="JR5" s="1284"/>
      <c r="JS5" s="1284"/>
      <c r="JT5" s="1284"/>
      <c r="JU5" s="1284"/>
      <c r="JV5" s="1284"/>
      <c r="JW5" s="1284"/>
      <c r="JX5" s="1284"/>
      <c r="JY5" s="1284"/>
      <c r="JZ5" s="1284"/>
      <c r="KA5" s="1284"/>
      <c r="KB5" s="1223" t="s">
        <v>27</v>
      </c>
      <c r="KC5" s="1223"/>
      <c r="KD5" s="1223"/>
      <c r="KE5" s="1223"/>
      <c r="KF5" s="1223"/>
      <c r="KG5" s="1223"/>
      <c r="KH5" s="1223"/>
      <c r="KI5" s="1223"/>
      <c r="KJ5" s="1223"/>
      <c r="KK5" s="1223"/>
      <c r="KL5" s="1223"/>
      <c r="KM5" s="1223"/>
      <c r="KN5" s="1223"/>
      <c r="KO5" s="1223"/>
      <c r="KP5" s="1223"/>
      <c r="KQ5" s="1223"/>
      <c r="KR5" s="1223"/>
      <c r="KS5" s="1223"/>
      <c r="KT5" s="1223"/>
      <c r="KU5" s="1223"/>
      <c r="KV5" s="1223"/>
      <c r="KW5" s="33"/>
      <c r="KX5" s="33"/>
      <c r="KY5" s="33"/>
      <c r="KZ5" s="33"/>
      <c r="PY5" s="155"/>
      <c r="PZ5" s="155"/>
      <c r="QA5" s="155"/>
      <c r="QB5" s="155"/>
      <c r="QC5" s="155"/>
      <c r="QD5" s="155"/>
      <c r="QE5" s="155"/>
      <c r="QF5" s="155"/>
      <c r="QG5" s="155"/>
      <c r="QH5" s="155"/>
      <c r="QI5" s="155"/>
      <c r="QJ5" s="155"/>
      <c r="QK5" s="155"/>
      <c r="QL5" s="155"/>
      <c r="QM5" s="155"/>
      <c r="QN5" s="155"/>
      <c r="QO5" s="155"/>
      <c r="QP5" s="155"/>
      <c r="QQ5" s="155"/>
      <c r="QR5" s="155"/>
      <c r="ABL5" s="691"/>
      <c r="ABM5" s="699"/>
      <c r="ABN5" s="699"/>
      <c r="ABO5" s="699"/>
      <c r="ABP5" s="699"/>
      <c r="ABQ5" s="699"/>
      <c r="ABR5" s="699"/>
      <c r="ABS5" s="692"/>
      <c r="ABT5" s="691"/>
      <c r="ABU5" s="699"/>
      <c r="ABV5" s="699"/>
      <c r="ABW5" s="699"/>
      <c r="ABX5" s="699"/>
      <c r="ABY5" s="699"/>
      <c r="ABZ5" s="699"/>
      <c r="ACA5" s="699"/>
      <c r="ACB5" s="699"/>
      <c r="ACC5" s="699"/>
      <c r="ACD5" s="691"/>
      <c r="ACE5" s="692"/>
      <c r="AFS5" s="699"/>
      <c r="AFT5" s="699"/>
      <c r="AFU5" s="699"/>
      <c r="AFV5" s="699"/>
      <c r="AFW5" s="699"/>
      <c r="AFX5" s="931"/>
    </row>
    <row r="6" spans="1:1615" s="31" customFormat="1" ht="36.75" customHeight="1" x14ac:dyDescent="0.2">
      <c r="E6" s="1141"/>
      <c r="F6" s="1141"/>
      <c r="G6" s="1141"/>
      <c r="H6" s="1133">
        <v>0.12</v>
      </c>
      <c r="I6" s="112">
        <v>0.12</v>
      </c>
      <c r="J6" s="112">
        <v>0.12</v>
      </c>
      <c r="K6" s="112">
        <v>0.12</v>
      </c>
      <c r="L6" s="112">
        <v>0.12</v>
      </c>
      <c r="M6" s="112">
        <v>0.12</v>
      </c>
      <c r="N6" s="112">
        <v>0.12</v>
      </c>
      <c r="O6" s="112">
        <v>0.12</v>
      </c>
      <c r="P6" s="112">
        <v>0.12</v>
      </c>
      <c r="Q6" s="112">
        <v>0.12</v>
      </c>
      <c r="R6" s="112">
        <v>0.12</v>
      </c>
      <c r="S6" s="112">
        <v>0.12</v>
      </c>
      <c r="T6" s="112">
        <v>0.12</v>
      </c>
      <c r="U6" s="112">
        <v>0.12</v>
      </c>
      <c r="V6" s="112">
        <v>0.12</v>
      </c>
      <c r="W6" s="112">
        <v>0.12</v>
      </c>
      <c r="X6" s="112">
        <v>0.12</v>
      </c>
      <c r="Y6" s="112">
        <v>0.12</v>
      </c>
      <c r="Z6" s="112">
        <v>0.12</v>
      </c>
      <c r="AA6" s="112">
        <v>0.12</v>
      </c>
      <c r="AB6" s="112">
        <v>0.12</v>
      </c>
      <c r="AC6" s="112">
        <v>0.12</v>
      </c>
      <c r="AD6" s="112">
        <v>0.12</v>
      </c>
      <c r="AE6" s="112">
        <v>0.12</v>
      </c>
      <c r="AF6" s="112">
        <v>0.12</v>
      </c>
      <c r="AG6" s="112">
        <v>0.12</v>
      </c>
      <c r="AH6" s="112">
        <v>0.12</v>
      </c>
      <c r="AI6" s="112">
        <v>0.12</v>
      </c>
      <c r="AJ6" s="112">
        <v>0.12</v>
      </c>
      <c r="AK6" s="112">
        <v>0.12</v>
      </c>
      <c r="AL6" s="112">
        <v>0.12</v>
      </c>
      <c r="AM6" s="112">
        <v>0.12</v>
      </c>
      <c r="AN6" s="112">
        <v>0.12</v>
      </c>
      <c r="AO6" s="112">
        <v>0.12</v>
      </c>
      <c r="AP6" s="112">
        <v>0.12</v>
      </c>
      <c r="AQ6" s="112">
        <v>0.12</v>
      </c>
      <c r="AR6" s="112">
        <v>8.8400000000000006E-2</v>
      </c>
      <c r="AS6" s="112">
        <v>8.8400000000000006E-2</v>
      </c>
      <c r="AT6" s="112">
        <v>8.8400000000000006E-2</v>
      </c>
      <c r="AU6" s="112">
        <v>8.8400000000000006E-2</v>
      </c>
      <c r="AV6" s="112">
        <v>8.8400000000000006E-2</v>
      </c>
      <c r="AW6" s="112">
        <v>8.8400000000000006E-2</v>
      </c>
      <c r="AX6" s="112">
        <v>8.8400000000000006E-2</v>
      </c>
      <c r="AY6" s="112">
        <v>8.8400000000000006E-2</v>
      </c>
      <c r="AZ6" s="112">
        <v>8.8400000000000006E-2</v>
      </c>
      <c r="BA6" s="112">
        <v>8.8400000000000006E-2</v>
      </c>
      <c r="BB6" s="112">
        <v>8.8400000000000006E-2</v>
      </c>
      <c r="BC6" s="112">
        <v>8.8400000000000006E-2</v>
      </c>
      <c r="BD6" s="112">
        <v>8.8400000000000006E-2</v>
      </c>
      <c r="BE6" s="112">
        <v>8.8400000000000006E-2</v>
      </c>
      <c r="BF6" s="112">
        <v>8.8400000000000006E-2</v>
      </c>
      <c r="BG6" s="112">
        <v>8.8400000000000006E-2</v>
      </c>
      <c r="BH6" s="112">
        <v>8.8400000000000006E-2</v>
      </c>
      <c r="BI6" s="112">
        <v>8.8400000000000006E-2</v>
      </c>
      <c r="BJ6" s="112">
        <v>8.8400000000000006E-2</v>
      </c>
      <c r="BK6" s="112">
        <v>8.8400000000000006E-2</v>
      </c>
      <c r="BL6" s="112">
        <v>8.8400000000000006E-2</v>
      </c>
      <c r="BM6" s="112">
        <v>0.12</v>
      </c>
      <c r="BN6" s="112">
        <v>0.12</v>
      </c>
      <c r="BO6" s="112">
        <v>0.12</v>
      </c>
      <c r="BP6" s="112">
        <v>0.12</v>
      </c>
      <c r="BQ6" s="112">
        <v>0.12</v>
      </c>
      <c r="BR6" s="112">
        <v>0.12</v>
      </c>
      <c r="BS6" s="112">
        <v>0.12</v>
      </c>
      <c r="BT6" s="112">
        <v>0.12</v>
      </c>
      <c r="BU6" s="112">
        <v>0.12</v>
      </c>
      <c r="BV6" s="112">
        <v>0.12</v>
      </c>
      <c r="BW6" s="112">
        <v>0.12</v>
      </c>
      <c r="BX6" s="112">
        <v>0.12</v>
      </c>
      <c r="BY6" s="112">
        <v>0.12</v>
      </c>
      <c r="BZ6" s="112">
        <v>0.12</v>
      </c>
      <c r="CA6" s="112">
        <v>0.12</v>
      </c>
      <c r="CB6" s="112">
        <v>0.12</v>
      </c>
      <c r="CC6" s="112">
        <v>0.12</v>
      </c>
      <c r="CD6" s="112">
        <v>0.12</v>
      </c>
      <c r="CE6" s="112">
        <v>0.12</v>
      </c>
      <c r="CF6" s="112">
        <v>0.12</v>
      </c>
      <c r="CG6" s="112">
        <v>0.12</v>
      </c>
      <c r="CH6" s="112">
        <v>0.12</v>
      </c>
      <c r="CI6" s="112">
        <v>0.12</v>
      </c>
      <c r="CJ6" s="112">
        <v>0.12</v>
      </c>
      <c r="CK6" s="112">
        <v>0.12</v>
      </c>
      <c r="CL6" s="112">
        <v>0.12</v>
      </c>
      <c r="CM6" s="112">
        <v>0.12</v>
      </c>
      <c r="CN6" s="112">
        <v>0.12</v>
      </c>
      <c r="CO6" s="112">
        <v>0.12</v>
      </c>
      <c r="CP6" s="112">
        <v>0.12</v>
      </c>
      <c r="CQ6" s="112">
        <v>0.12</v>
      </c>
      <c r="CR6" s="112">
        <v>0.12</v>
      </c>
      <c r="CS6" s="112">
        <v>0.12</v>
      </c>
      <c r="CT6" s="112">
        <v>0.12</v>
      </c>
      <c r="CU6" s="112">
        <v>0.12</v>
      </c>
      <c r="CV6" s="112">
        <v>0.12</v>
      </c>
      <c r="CW6" s="112">
        <v>0.12</v>
      </c>
      <c r="CX6" s="112">
        <v>0.12</v>
      </c>
      <c r="CY6" s="112">
        <v>0.12</v>
      </c>
      <c r="CZ6" s="112">
        <v>0.12</v>
      </c>
      <c r="DA6" s="112">
        <v>0.12</v>
      </c>
      <c r="DB6" s="112">
        <v>0.12</v>
      </c>
      <c r="DC6" s="112">
        <v>0.12</v>
      </c>
      <c r="DD6" s="112">
        <v>0.12</v>
      </c>
      <c r="DE6" s="112">
        <v>0.12</v>
      </c>
      <c r="DF6" s="112">
        <v>0.12</v>
      </c>
      <c r="DG6" s="112">
        <v>0.12</v>
      </c>
      <c r="DH6" s="112">
        <v>0.12</v>
      </c>
      <c r="DI6" s="112">
        <v>0.12</v>
      </c>
      <c r="DJ6" s="112">
        <v>0.12</v>
      </c>
      <c r="DK6" s="112">
        <v>0.12</v>
      </c>
      <c r="DL6" s="112">
        <v>0.12</v>
      </c>
      <c r="DM6" s="112">
        <v>0.12</v>
      </c>
      <c r="DN6" s="112">
        <v>0.12</v>
      </c>
      <c r="DO6" s="112">
        <v>0.12</v>
      </c>
      <c r="DP6" s="112">
        <v>0.12</v>
      </c>
      <c r="DQ6" s="112">
        <v>0.12</v>
      </c>
      <c r="DR6" s="112">
        <v>0.12</v>
      </c>
      <c r="DS6" s="112">
        <v>0.12</v>
      </c>
      <c r="DT6" s="112">
        <v>0.12</v>
      </c>
      <c r="DU6" s="112">
        <v>0.12</v>
      </c>
      <c r="DV6" s="112">
        <v>0.12</v>
      </c>
      <c r="DW6" s="112">
        <v>0.12</v>
      </c>
      <c r="DX6" s="112">
        <v>0.12</v>
      </c>
      <c r="DY6" s="112">
        <v>0.12</v>
      </c>
      <c r="DZ6" s="112">
        <v>0.12</v>
      </c>
      <c r="EA6" s="112">
        <v>0.12</v>
      </c>
      <c r="EB6" s="112">
        <v>0.12</v>
      </c>
      <c r="EC6" s="112">
        <v>0.12</v>
      </c>
      <c r="ED6" s="112">
        <v>0.12</v>
      </c>
      <c r="EE6" s="112">
        <v>0.12</v>
      </c>
      <c r="EF6" s="112">
        <v>0.12</v>
      </c>
      <c r="EG6" s="112">
        <v>0.12</v>
      </c>
      <c r="EH6" s="112">
        <v>0.12</v>
      </c>
      <c r="EI6" s="112">
        <v>0.12</v>
      </c>
      <c r="EJ6" s="112">
        <v>0.12</v>
      </c>
      <c r="EK6" s="112">
        <v>0.12</v>
      </c>
      <c r="EL6" s="112">
        <v>0.12</v>
      </c>
      <c r="EM6" s="112">
        <v>0.12</v>
      </c>
      <c r="EN6" s="112">
        <v>0.12</v>
      </c>
      <c r="EO6" s="112">
        <v>0.12</v>
      </c>
      <c r="EP6" s="112">
        <v>0.12</v>
      </c>
      <c r="EQ6" s="112">
        <v>0.12</v>
      </c>
      <c r="ER6" s="112">
        <v>0.12</v>
      </c>
      <c r="ES6" s="112">
        <v>0.12</v>
      </c>
      <c r="ET6" s="112">
        <v>0.12</v>
      </c>
      <c r="EU6" s="112">
        <v>0.12</v>
      </c>
      <c r="EV6" s="112">
        <v>0.12</v>
      </c>
      <c r="EW6" s="112">
        <v>0.12</v>
      </c>
      <c r="EX6" s="112">
        <v>0.12</v>
      </c>
      <c r="EY6" s="112">
        <v>0.12</v>
      </c>
      <c r="EZ6" s="112">
        <v>0.12</v>
      </c>
      <c r="FA6" s="112">
        <v>0.12</v>
      </c>
      <c r="FB6" s="112">
        <v>0.12</v>
      </c>
      <c r="FC6" s="112">
        <v>0.12</v>
      </c>
      <c r="FD6" s="112">
        <v>0.12</v>
      </c>
      <c r="FE6" s="112">
        <v>0.12</v>
      </c>
      <c r="FF6" s="112">
        <v>0.12</v>
      </c>
      <c r="FG6" s="112">
        <v>0.12</v>
      </c>
      <c r="FH6" s="112">
        <v>0.12</v>
      </c>
      <c r="FI6" s="112">
        <v>0.12</v>
      </c>
      <c r="FJ6" s="112">
        <v>0.12</v>
      </c>
      <c r="FK6" s="112">
        <v>0.12</v>
      </c>
      <c r="FL6" s="112">
        <v>0.12</v>
      </c>
      <c r="FM6" s="112">
        <v>0.12</v>
      </c>
      <c r="FN6" s="112">
        <v>0.12</v>
      </c>
      <c r="FO6" s="112">
        <v>0.12</v>
      </c>
      <c r="FP6" s="112">
        <v>0.12</v>
      </c>
      <c r="FQ6" s="112">
        <v>0.12</v>
      </c>
      <c r="FR6" s="112">
        <v>0.12</v>
      </c>
      <c r="FS6" s="112">
        <v>0.12</v>
      </c>
      <c r="FT6" s="112">
        <v>0.12</v>
      </c>
      <c r="FU6" s="112">
        <v>0.12</v>
      </c>
      <c r="FV6" s="112">
        <v>0.12</v>
      </c>
      <c r="FW6" s="112">
        <v>0.12</v>
      </c>
      <c r="FX6" s="112">
        <v>0.12</v>
      </c>
      <c r="FY6" s="112">
        <v>0.12</v>
      </c>
      <c r="FZ6" s="112">
        <v>0.12</v>
      </c>
      <c r="GA6" s="112">
        <v>0.12</v>
      </c>
      <c r="GB6" s="112">
        <v>0.12</v>
      </c>
      <c r="GC6" s="112">
        <v>0.12</v>
      </c>
      <c r="GD6" s="112">
        <v>0.12</v>
      </c>
      <c r="GE6" s="112">
        <v>0.12</v>
      </c>
      <c r="GF6" s="112">
        <v>0.12</v>
      </c>
      <c r="GG6" s="112">
        <v>0.12</v>
      </c>
      <c r="GH6" s="112">
        <v>0.12</v>
      </c>
      <c r="GI6" s="112">
        <v>0.12</v>
      </c>
      <c r="GJ6" s="112">
        <v>0.12</v>
      </c>
      <c r="GK6" s="112">
        <v>0.12</v>
      </c>
      <c r="GL6" s="112">
        <v>0.12</v>
      </c>
      <c r="GM6" s="112">
        <v>0.12</v>
      </c>
      <c r="GN6" s="112">
        <v>0.12</v>
      </c>
      <c r="GO6" s="112">
        <v>0.12</v>
      </c>
      <c r="GP6" s="112">
        <v>0.12</v>
      </c>
      <c r="GQ6" s="112">
        <v>0.12</v>
      </c>
      <c r="GR6" s="112">
        <v>0.12</v>
      </c>
      <c r="GS6" s="112">
        <v>0.12</v>
      </c>
      <c r="GT6" s="112">
        <v>0.12</v>
      </c>
      <c r="GU6" s="112">
        <v>0.12</v>
      </c>
      <c r="GV6" s="113">
        <v>0.14000000000000001</v>
      </c>
      <c r="GW6" s="113">
        <v>0.14000000000000001</v>
      </c>
      <c r="GX6" s="113">
        <v>0.14000000000000001</v>
      </c>
      <c r="GY6" s="113">
        <v>0.14000000000000001</v>
      </c>
      <c r="GZ6" s="113">
        <v>0.14000000000000001</v>
      </c>
      <c r="HA6" s="113">
        <v>0.14000000000000001</v>
      </c>
      <c r="HB6" s="113">
        <v>0.12</v>
      </c>
      <c r="HC6" s="113">
        <v>0.12</v>
      </c>
      <c r="HD6" s="113">
        <v>0.12</v>
      </c>
      <c r="HE6" s="113">
        <v>0.12</v>
      </c>
      <c r="HF6" s="113">
        <v>0.12</v>
      </c>
      <c r="HG6" s="113">
        <v>0.12</v>
      </c>
      <c r="HH6" s="113">
        <v>0.12</v>
      </c>
      <c r="HI6" s="113">
        <v>0.14000000000000001</v>
      </c>
      <c r="HJ6" s="113">
        <v>0.14000000000000001</v>
      </c>
      <c r="HK6" s="113">
        <v>0.14000000000000001</v>
      </c>
      <c r="HL6" s="113">
        <v>0.14000000000000001</v>
      </c>
      <c r="HM6" s="113">
        <v>0.14000000000000001</v>
      </c>
      <c r="HN6" s="113">
        <v>0.14000000000000001</v>
      </c>
      <c r="HO6" s="113">
        <v>0.14000000000000001</v>
      </c>
      <c r="HP6" s="113">
        <v>0.14000000000000001</v>
      </c>
      <c r="HQ6" s="113">
        <v>0.14000000000000001</v>
      </c>
      <c r="HR6" s="113">
        <v>0.14000000000000001</v>
      </c>
      <c r="HS6" s="113">
        <v>0.14000000000000001</v>
      </c>
      <c r="HT6" s="113">
        <v>0.14000000000000001</v>
      </c>
      <c r="HU6" s="113">
        <v>0.14000000000000001</v>
      </c>
      <c r="HV6" s="113">
        <v>0.14000000000000001</v>
      </c>
      <c r="HW6" s="113">
        <v>0.14000000000000001</v>
      </c>
      <c r="HX6" s="113">
        <v>0.14000000000000001</v>
      </c>
      <c r="HY6" s="113">
        <v>0.14000000000000001</v>
      </c>
      <c r="HZ6" s="113">
        <v>0.14000000000000001</v>
      </c>
      <c r="IA6" s="113">
        <v>0.14000000000000001</v>
      </c>
      <c r="IB6" s="113">
        <v>0.14000000000000001</v>
      </c>
      <c r="IC6" s="113">
        <v>0.14000000000000001</v>
      </c>
      <c r="ID6" s="113">
        <v>0.14000000000000001</v>
      </c>
      <c r="IE6" s="113">
        <v>0.14000000000000001</v>
      </c>
      <c r="IF6" s="113">
        <v>0.14000000000000001</v>
      </c>
      <c r="IG6" s="113">
        <v>0.14000000000000001</v>
      </c>
      <c r="IH6" s="113">
        <v>0.14000000000000001</v>
      </c>
      <c r="II6" s="113">
        <v>0.14000000000000001</v>
      </c>
      <c r="IJ6" s="113">
        <v>0.14000000000000001</v>
      </c>
      <c r="IK6" s="113">
        <v>0.14000000000000001</v>
      </c>
      <c r="IL6" s="113">
        <v>0.14000000000000001</v>
      </c>
      <c r="IM6" s="113">
        <v>0.14000000000000001</v>
      </c>
      <c r="IN6" s="113">
        <v>0.14000000000000001</v>
      </c>
      <c r="IO6" s="113">
        <v>0.14000000000000001</v>
      </c>
      <c r="IP6" s="113">
        <v>0.14000000000000001</v>
      </c>
      <c r="IQ6" s="113">
        <v>0.14000000000000001</v>
      </c>
      <c r="IR6" s="113">
        <v>0.14000000000000001</v>
      </c>
      <c r="IS6" s="113">
        <v>0.14000000000000001</v>
      </c>
      <c r="IT6" s="113">
        <v>0.14000000000000001</v>
      </c>
      <c r="IU6" s="113">
        <v>0.14000000000000001</v>
      </c>
      <c r="IV6" s="113">
        <v>0.14000000000000001</v>
      </c>
      <c r="IW6" s="113">
        <v>0.14000000000000001</v>
      </c>
      <c r="IX6" s="113">
        <v>0.14000000000000001</v>
      </c>
      <c r="IY6" s="113">
        <v>0.14000000000000001</v>
      </c>
      <c r="IZ6" s="113">
        <v>0.14000000000000001</v>
      </c>
      <c r="JA6" s="113">
        <v>0.14000000000000001</v>
      </c>
      <c r="JB6" s="113">
        <v>0.14000000000000001</v>
      </c>
      <c r="JC6" s="113">
        <v>0.14000000000000001</v>
      </c>
      <c r="JD6" s="113">
        <v>0.14000000000000001</v>
      </c>
      <c r="JE6" s="113">
        <v>0.14000000000000001</v>
      </c>
      <c r="JF6" s="113">
        <v>0.14000000000000001</v>
      </c>
      <c r="JG6" s="113">
        <v>0.14000000000000001</v>
      </c>
      <c r="JH6" s="113">
        <v>0.14000000000000001</v>
      </c>
      <c r="JI6" s="113">
        <v>0.14000000000000001</v>
      </c>
      <c r="JJ6" s="113">
        <v>0.14000000000000001</v>
      </c>
      <c r="JK6" s="113">
        <v>0.14000000000000001</v>
      </c>
      <c r="JL6" s="113">
        <v>0.14000000000000001</v>
      </c>
      <c r="JM6" s="113">
        <v>0.14000000000000001</v>
      </c>
      <c r="JN6" s="114">
        <v>0.13800000000000001</v>
      </c>
      <c r="JO6" s="114">
        <v>0.13800000000000001</v>
      </c>
      <c r="JP6" s="114">
        <v>0.13800000000000001</v>
      </c>
      <c r="JQ6" s="114">
        <v>0.13800000000000001</v>
      </c>
      <c r="JR6" s="114">
        <v>0.13800000000000001</v>
      </c>
      <c r="JS6" s="114">
        <v>0.13800000000000001</v>
      </c>
      <c r="JT6" s="114">
        <v>0.13800000000000001</v>
      </c>
      <c r="JU6" s="114">
        <v>0.13800000000000001</v>
      </c>
      <c r="JV6" s="114">
        <v>0.13800000000000001</v>
      </c>
      <c r="JW6" s="114">
        <v>0.13800000000000001</v>
      </c>
      <c r="JX6" s="114">
        <v>0.13800000000000001</v>
      </c>
      <c r="JY6" s="114">
        <v>0.13800000000000001</v>
      </c>
      <c r="JZ6" s="114">
        <v>0.13800000000000001</v>
      </c>
      <c r="KA6" s="114">
        <v>0.13800000000000001</v>
      </c>
      <c r="KB6" s="115">
        <v>0.1275</v>
      </c>
      <c r="KC6" s="115">
        <v>0.1275</v>
      </c>
      <c r="KD6" s="115">
        <v>0.1275</v>
      </c>
      <c r="KE6" s="115">
        <v>0.1275</v>
      </c>
      <c r="KF6" s="115">
        <v>0.1275</v>
      </c>
      <c r="KG6" s="115">
        <v>0.1275</v>
      </c>
      <c r="KH6" s="115">
        <v>0.1275</v>
      </c>
      <c r="KI6" s="115">
        <v>0.1275</v>
      </c>
      <c r="KJ6" s="115">
        <v>0.1275</v>
      </c>
      <c r="KK6" s="115">
        <v>0.1275</v>
      </c>
      <c r="KL6" s="115">
        <v>0.1275</v>
      </c>
      <c r="KM6" s="115">
        <v>0.1275</v>
      </c>
      <c r="KN6" s="115">
        <v>0.1275</v>
      </c>
      <c r="KO6" s="115">
        <v>0.1275</v>
      </c>
      <c r="KP6" s="115">
        <v>0.1275</v>
      </c>
      <c r="KQ6" s="115">
        <v>0.1275</v>
      </c>
      <c r="KR6" s="115">
        <v>0.1275</v>
      </c>
      <c r="KS6" s="115">
        <v>0.1275</v>
      </c>
      <c r="KT6" s="115">
        <v>0.1275</v>
      </c>
      <c r="KU6" s="115">
        <v>0.1275</v>
      </c>
      <c r="KV6" s="115">
        <v>0.1275</v>
      </c>
      <c r="KW6" s="32">
        <v>0.15</v>
      </c>
      <c r="KX6" s="34">
        <v>0.14510000000000001</v>
      </c>
      <c r="KY6" s="34">
        <v>0.12</v>
      </c>
      <c r="KZ6" s="34">
        <v>0.1</v>
      </c>
      <c r="LA6" s="34">
        <v>0.105</v>
      </c>
      <c r="LB6" s="34">
        <v>0.09</v>
      </c>
      <c r="LC6" s="34">
        <v>0.09</v>
      </c>
      <c r="LD6" s="34">
        <v>0.09</v>
      </c>
      <c r="LE6" s="34">
        <v>0.11</v>
      </c>
      <c r="LF6" s="34">
        <v>9.5000000000000001E-2</v>
      </c>
      <c r="LG6" s="34">
        <v>9.5000000000000001E-2</v>
      </c>
      <c r="LH6" s="34">
        <v>9.0800000000000006E-2</v>
      </c>
      <c r="LI6" s="34">
        <v>9.5299999999999996E-2</v>
      </c>
      <c r="LJ6" s="34">
        <v>0.1</v>
      </c>
      <c r="LK6" s="34">
        <v>0.1</v>
      </c>
      <c r="LL6" s="34">
        <v>0.1</v>
      </c>
      <c r="LM6" s="34">
        <v>7.8E-2</v>
      </c>
      <c r="LN6" s="34">
        <v>0.09</v>
      </c>
      <c r="LO6" s="34">
        <v>0.1</v>
      </c>
      <c r="LP6" s="34">
        <v>0.14599999999999999</v>
      </c>
      <c r="LQ6" s="34">
        <v>0.14000000000000001</v>
      </c>
      <c r="LR6" s="34">
        <v>0.13</v>
      </c>
      <c r="LS6" s="34">
        <v>0.14000000000000001</v>
      </c>
      <c r="LT6" s="34">
        <v>0.14000000000000001</v>
      </c>
      <c r="LU6" s="34">
        <v>0.12</v>
      </c>
      <c r="LV6" s="34">
        <v>0.125</v>
      </c>
      <c r="LW6" s="34">
        <v>0.13500000000000001</v>
      </c>
      <c r="LX6" s="34">
        <v>0.12</v>
      </c>
      <c r="LY6" s="34">
        <v>0.14499999999999999</v>
      </c>
      <c r="LZ6" s="34">
        <v>0.14299999999999999</v>
      </c>
      <c r="MA6" s="34">
        <v>0.17</v>
      </c>
      <c r="MB6" s="34">
        <v>0.13200000000000001</v>
      </c>
      <c r="MC6" s="34">
        <v>0.14000000000000001</v>
      </c>
      <c r="MD6" s="34">
        <v>0.18099999999999999</v>
      </c>
      <c r="ME6" s="34">
        <v>0.17</v>
      </c>
      <c r="MF6" s="34">
        <v>0.19</v>
      </c>
      <c r="MG6" s="34">
        <v>0.16600000000000001</v>
      </c>
      <c r="MH6" s="34">
        <v>0.182</v>
      </c>
      <c r="MI6" s="34">
        <v>0.16300000000000001</v>
      </c>
      <c r="MJ6" s="34">
        <v>0.16</v>
      </c>
      <c r="MK6" s="34">
        <v>0.16</v>
      </c>
      <c r="ML6" s="34">
        <v>0.152</v>
      </c>
      <c r="MM6" s="34">
        <v>0.16</v>
      </c>
      <c r="MN6" s="34">
        <v>0.155</v>
      </c>
      <c r="MO6" s="34">
        <v>0.14000000000000001</v>
      </c>
      <c r="MP6" s="34">
        <v>0.17</v>
      </c>
      <c r="MQ6" s="34">
        <v>0.19600000000000001</v>
      </c>
      <c r="MR6" s="34">
        <v>0.158</v>
      </c>
      <c r="MS6" s="34">
        <v>0.16400000000000001</v>
      </c>
      <c r="MT6" s="34">
        <v>0.16500000000000001</v>
      </c>
      <c r="MU6" s="34">
        <v>0.17</v>
      </c>
      <c r="MV6" s="34">
        <v>0.17100000000000001</v>
      </c>
      <c r="MW6" s="34">
        <v>0.161</v>
      </c>
      <c r="MX6" s="34">
        <v>0.16700000000000001</v>
      </c>
      <c r="MY6" s="34">
        <v>0.161</v>
      </c>
      <c r="MZ6" s="34">
        <v>0.17</v>
      </c>
      <c r="NA6" s="34">
        <v>0.17799999999999999</v>
      </c>
      <c r="NB6" s="34">
        <v>0.17249999999999999</v>
      </c>
      <c r="NC6" s="34">
        <v>0.17</v>
      </c>
      <c r="ND6" s="34">
        <v>0.17199999999999999</v>
      </c>
      <c r="NE6" s="34">
        <v>0.17100000000000001</v>
      </c>
      <c r="NF6" s="34">
        <v>0.17</v>
      </c>
      <c r="NG6" s="34">
        <v>0.17299999999999999</v>
      </c>
      <c r="NH6" s="34">
        <v>0.14099999999999999</v>
      </c>
      <c r="NI6" s="34">
        <v>0.14299999999999999</v>
      </c>
      <c r="NJ6" s="34">
        <v>0.151</v>
      </c>
      <c r="NK6" s="34">
        <v>0.16200000000000001</v>
      </c>
      <c r="NL6" s="34">
        <v>0.13</v>
      </c>
      <c r="NM6" s="34">
        <v>0.156</v>
      </c>
      <c r="NN6" s="34">
        <v>0.16400000000000001</v>
      </c>
      <c r="NO6" s="34">
        <v>0.14599999999999999</v>
      </c>
      <c r="NP6" s="34">
        <v>0.128</v>
      </c>
      <c r="NQ6" s="34">
        <v>0.15559999999999999</v>
      </c>
      <c r="NR6" s="34">
        <v>0.157</v>
      </c>
      <c r="NS6" s="34">
        <v>0.16600000000000001</v>
      </c>
      <c r="NT6" s="34">
        <v>0.155</v>
      </c>
      <c r="NU6" s="34">
        <v>0.16300000000000001</v>
      </c>
      <c r="NV6" s="34">
        <v>0.14960000000000001</v>
      </c>
      <c r="NW6" s="34">
        <v>0.15920000000000001</v>
      </c>
      <c r="NX6" s="34">
        <v>0.1744</v>
      </c>
      <c r="NY6" s="34">
        <v>0.13150000000000001</v>
      </c>
      <c r="NZ6" s="34">
        <v>0.13900000000000001</v>
      </c>
      <c r="OA6" s="34">
        <v>0.14299999999999999</v>
      </c>
      <c r="OB6" s="34">
        <v>0.154</v>
      </c>
      <c r="OC6" s="34">
        <v>0.14699999999999999</v>
      </c>
      <c r="OD6" s="34">
        <v>0.14699999999999999</v>
      </c>
      <c r="OE6" s="34">
        <v>0.129</v>
      </c>
      <c r="OF6" s="34">
        <v>0.125</v>
      </c>
      <c r="OG6" s="34">
        <v>0.11409999999999999</v>
      </c>
      <c r="OH6" s="34">
        <v>0.13300000000000001</v>
      </c>
      <c r="OI6" s="34">
        <v>0.1484</v>
      </c>
      <c r="OJ6" s="34">
        <v>0.16200000000000001</v>
      </c>
      <c r="OK6" s="34">
        <v>0.16700000000000001</v>
      </c>
      <c r="OL6" s="34">
        <v>0.14699999999999999</v>
      </c>
      <c r="OM6" s="34">
        <v>0.14099999999999999</v>
      </c>
      <c r="ON6" s="34">
        <v>0.14299999999999999</v>
      </c>
      <c r="OO6" s="34">
        <v>0.157</v>
      </c>
      <c r="OP6" s="34">
        <v>0.17</v>
      </c>
      <c r="OQ6" s="34">
        <v>0.13200000000000001</v>
      </c>
      <c r="OR6" s="34">
        <v>0.14199999999999999</v>
      </c>
      <c r="OS6" s="34">
        <v>0.14699999999999999</v>
      </c>
      <c r="OT6" s="34">
        <v>0.13400000000000001</v>
      </c>
      <c r="OU6" s="34">
        <v>0.14899999999999999</v>
      </c>
      <c r="OV6" s="34">
        <v>0.125</v>
      </c>
      <c r="OW6" s="34">
        <v>0.156</v>
      </c>
      <c r="OX6" s="34">
        <v>0.159</v>
      </c>
      <c r="OY6" s="34">
        <v>0.14299999999999999</v>
      </c>
      <c r="OZ6" s="34">
        <v>0.13700000000000001</v>
      </c>
      <c r="PA6" s="34">
        <v>0.14299999999999999</v>
      </c>
      <c r="PB6" s="34">
        <v>0.159</v>
      </c>
      <c r="PC6" s="34">
        <v>0.13500000000000001</v>
      </c>
      <c r="PD6" s="34">
        <v>0.14799999999999999</v>
      </c>
      <c r="PE6" s="34">
        <v>0.16300000000000001</v>
      </c>
      <c r="PF6" s="34">
        <v>0.17299999999999999</v>
      </c>
      <c r="PG6" s="34">
        <v>0.161</v>
      </c>
      <c r="PH6" s="34">
        <v>0.156</v>
      </c>
      <c r="PI6" s="34">
        <v>0.14299999999999999</v>
      </c>
      <c r="PJ6" s="34">
        <v>0.14199999999999999</v>
      </c>
      <c r="PK6" s="34">
        <v>0.14199999999999999</v>
      </c>
      <c r="PL6" s="34">
        <v>0.152</v>
      </c>
      <c r="PM6" s="34">
        <v>0.15</v>
      </c>
      <c r="PN6" s="34">
        <v>0.155</v>
      </c>
      <c r="PO6" s="34">
        <v>0.17899999999999999</v>
      </c>
      <c r="PP6" s="34">
        <v>0.17699999999999999</v>
      </c>
      <c r="PQ6" s="34">
        <v>0.18</v>
      </c>
      <c r="PR6" s="34">
        <v>0.183</v>
      </c>
      <c r="PS6" s="34">
        <v>0.192</v>
      </c>
      <c r="PT6" s="34">
        <v>0.189</v>
      </c>
      <c r="PU6" s="34">
        <v>0.189</v>
      </c>
      <c r="PV6" s="34">
        <v>0.17699999999999999</v>
      </c>
      <c r="PW6" s="34">
        <v>0.18</v>
      </c>
      <c r="PX6" s="145">
        <v>0.19500000000000001</v>
      </c>
      <c r="PY6" s="34">
        <v>0.191</v>
      </c>
      <c r="PZ6" s="34">
        <v>0.19800000000000001</v>
      </c>
      <c r="QA6" s="34">
        <v>0.19500000000000001</v>
      </c>
      <c r="QB6" s="34">
        <v>0.192</v>
      </c>
      <c r="QC6" s="34">
        <v>0.22900000000000001</v>
      </c>
      <c r="QD6" s="34">
        <v>0.2</v>
      </c>
      <c r="QE6" s="34">
        <v>0.19800000000000001</v>
      </c>
      <c r="QF6" s="34">
        <v>0.23799999999999999</v>
      </c>
      <c r="QG6" s="34">
        <v>0.19700000000000001</v>
      </c>
      <c r="QH6" s="34">
        <v>0.20599999999999999</v>
      </c>
      <c r="QI6" s="34">
        <v>0.19700000000000001</v>
      </c>
      <c r="QJ6" s="34">
        <v>0.221</v>
      </c>
      <c r="QK6" s="34">
        <v>0.20599999999999999</v>
      </c>
      <c r="QL6" s="34">
        <v>0.191</v>
      </c>
      <c r="QM6" s="34">
        <v>0.2026</v>
      </c>
      <c r="QN6" s="34">
        <v>0.20349999999999999</v>
      </c>
      <c r="QO6" s="34">
        <v>0.20349999999999999</v>
      </c>
      <c r="QP6" s="34">
        <v>0.18859999999999999</v>
      </c>
      <c r="QQ6" s="34">
        <v>0.19400000000000001</v>
      </c>
      <c r="QR6" s="34">
        <v>0.20080000000000001</v>
      </c>
      <c r="QS6" s="34">
        <v>0.2011</v>
      </c>
      <c r="QT6" s="34">
        <v>0.1908</v>
      </c>
      <c r="QU6" s="34">
        <v>0.18740000000000001</v>
      </c>
      <c r="QV6" s="34">
        <v>0.1948</v>
      </c>
      <c r="QW6" s="34">
        <v>0.19040000000000001</v>
      </c>
      <c r="QX6" s="34">
        <v>0.18920000000000001</v>
      </c>
      <c r="QY6" s="34">
        <v>0.191</v>
      </c>
      <c r="QZ6" s="34">
        <v>0.17499999999999999</v>
      </c>
      <c r="RA6" s="34">
        <v>0.1472</v>
      </c>
      <c r="RB6" s="34">
        <v>0.19500000000000001</v>
      </c>
      <c r="RC6" s="34">
        <v>0.20100000000000001</v>
      </c>
      <c r="RD6" s="34">
        <v>0.1888</v>
      </c>
      <c r="RE6" s="34">
        <v>0.1764</v>
      </c>
      <c r="RF6" s="34">
        <v>0.221</v>
      </c>
      <c r="RG6" s="34">
        <v>0.19500000000000001</v>
      </c>
      <c r="RH6" s="34">
        <v>0.17299999999999999</v>
      </c>
      <c r="RI6" s="34">
        <v>0.17299999999999999</v>
      </c>
      <c r="RJ6" s="34">
        <v>0.16</v>
      </c>
      <c r="RK6" s="34">
        <v>0.1956</v>
      </c>
      <c r="RL6" s="34">
        <v>0.1636</v>
      </c>
      <c r="RM6" s="34">
        <v>0.152</v>
      </c>
      <c r="RN6" s="34">
        <v>0.17100000000000001</v>
      </c>
      <c r="RO6" s="34">
        <v>0.16200000000000001</v>
      </c>
      <c r="RP6" s="34">
        <v>0.13700000000000001</v>
      </c>
      <c r="RQ6" s="34">
        <v>0.17399999999999999</v>
      </c>
      <c r="RR6" s="34">
        <v>0.1767</v>
      </c>
      <c r="RS6" s="34">
        <v>0.17799999999999999</v>
      </c>
      <c r="RT6" s="34">
        <v>0.19</v>
      </c>
      <c r="RU6" s="34">
        <v>0.17199999999999999</v>
      </c>
      <c r="RV6" s="34">
        <v>0.17699999999999999</v>
      </c>
      <c r="RW6" s="34">
        <v>0.188</v>
      </c>
      <c r="RX6" s="34">
        <v>0.19400000000000001</v>
      </c>
      <c r="RY6" s="34">
        <v>0.20760000000000001</v>
      </c>
      <c r="RZ6" s="34">
        <v>0.187</v>
      </c>
      <c r="SA6" s="34">
        <v>0.17899999999999999</v>
      </c>
      <c r="SB6" s="34">
        <v>0.16400000000000001</v>
      </c>
      <c r="SC6" s="34">
        <v>0.19400000000000001</v>
      </c>
      <c r="SD6" s="34">
        <v>0.189</v>
      </c>
      <c r="SE6" s="34">
        <v>0.20300000000000001</v>
      </c>
      <c r="SF6" s="34">
        <v>0.19</v>
      </c>
      <c r="SG6" s="34">
        <v>0.184</v>
      </c>
      <c r="SH6" s="34">
        <v>0.20380000000000001</v>
      </c>
      <c r="SI6" s="34">
        <v>0.20619999999999999</v>
      </c>
      <c r="SJ6" s="34">
        <v>0.192</v>
      </c>
      <c r="SK6" s="34">
        <v>0.16900000000000001</v>
      </c>
      <c r="SL6" s="34">
        <v>0.16880000000000001</v>
      </c>
      <c r="SM6" s="34">
        <v>0.14399999999999999</v>
      </c>
      <c r="SN6" s="34">
        <v>0.16</v>
      </c>
      <c r="SO6" s="34">
        <v>0.157</v>
      </c>
      <c r="SP6" s="34">
        <v>0.15870000000000001</v>
      </c>
      <c r="SQ6" s="34">
        <v>0.1636</v>
      </c>
      <c r="SR6" s="34">
        <v>0.19719999999999999</v>
      </c>
      <c r="SS6" s="34">
        <v>0.17100000000000001</v>
      </c>
      <c r="ST6" s="34">
        <v>0.17699999999999999</v>
      </c>
      <c r="SU6" s="34">
        <v>0.188</v>
      </c>
      <c r="SV6" s="34">
        <v>0.19839999999999999</v>
      </c>
      <c r="SW6" s="34">
        <v>0.19470000000000001</v>
      </c>
      <c r="SX6" s="34">
        <v>0.192</v>
      </c>
      <c r="SY6" s="34">
        <v>0.2</v>
      </c>
      <c r="SZ6" s="34">
        <v>0.17499999999999999</v>
      </c>
      <c r="TA6" s="34">
        <v>0.19400000000000001</v>
      </c>
      <c r="TB6" s="34">
        <v>0.20100000000000001</v>
      </c>
      <c r="TC6" s="34">
        <v>0.18490000000000001</v>
      </c>
      <c r="TD6" s="34">
        <v>0.16500000000000001</v>
      </c>
      <c r="TE6" s="34">
        <v>0.182</v>
      </c>
      <c r="TF6" s="34">
        <v>0.18</v>
      </c>
      <c r="TG6" s="34">
        <v>0.17929999999999999</v>
      </c>
      <c r="TH6" s="34">
        <v>0.18440000000000001</v>
      </c>
      <c r="TI6" s="34">
        <v>0.1827</v>
      </c>
      <c r="TJ6" s="34">
        <v>0.17</v>
      </c>
      <c r="TK6" s="34">
        <v>0.1784</v>
      </c>
      <c r="TL6" s="34">
        <v>0.20100000000000001</v>
      </c>
      <c r="TM6" s="34">
        <v>0.19</v>
      </c>
      <c r="TN6" s="34">
        <v>0.18679999999999999</v>
      </c>
      <c r="TO6" s="34">
        <v>0.17519999999999999</v>
      </c>
      <c r="TP6" s="34">
        <v>0.16800000000000001</v>
      </c>
      <c r="TQ6" s="34">
        <v>0.188</v>
      </c>
      <c r="TR6" s="34">
        <v>0.18</v>
      </c>
      <c r="TS6" s="34">
        <v>0.20300000000000001</v>
      </c>
      <c r="TT6" s="34">
        <v>0.21199999999999999</v>
      </c>
      <c r="TU6" s="34">
        <v>0.16070000000000001</v>
      </c>
      <c r="TV6" s="34">
        <v>0.20799999999999999</v>
      </c>
      <c r="TW6" s="34">
        <v>0.19900000000000001</v>
      </c>
      <c r="TX6" s="34">
        <v>0.182</v>
      </c>
      <c r="TY6" s="34">
        <v>0.192</v>
      </c>
      <c r="TZ6" s="34">
        <v>0.17299999999999999</v>
      </c>
      <c r="UA6" s="34">
        <v>0.17199999999999999</v>
      </c>
      <c r="UB6" s="34">
        <v>0.188</v>
      </c>
      <c r="UC6" s="34">
        <v>0.18479999999999999</v>
      </c>
      <c r="UD6" s="34">
        <v>0.1845</v>
      </c>
      <c r="UE6" s="34">
        <v>0.17299999999999999</v>
      </c>
      <c r="UF6" s="34">
        <v>0.20200000000000001</v>
      </c>
      <c r="UG6" s="34">
        <v>0.17799999999999999</v>
      </c>
      <c r="UH6" s="34">
        <v>0.189</v>
      </c>
      <c r="UI6" s="34">
        <v>0.20899999999999999</v>
      </c>
      <c r="UJ6" s="34">
        <v>0.2114</v>
      </c>
      <c r="UK6" s="34">
        <v>0.15759999999999999</v>
      </c>
      <c r="UL6" s="34">
        <v>0.17</v>
      </c>
      <c r="UM6" s="34">
        <v>0.16800000000000001</v>
      </c>
      <c r="UN6" s="34">
        <v>0.191</v>
      </c>
      <c r="UO6" s="34">
        <v>0.187</v>
      </c>
      <c r="UP6" s="34">
        <v>0.17799999999999999</v>
      </c>
      <c r="UQ6" s="34">
        <v>0.15659999999999999</v>
      </c>
      <c r="UR6" s="34">
        <v>0.1734</v>
      </c>
      <c r="US6" s="34">
        <v>0.18099999999999999</v>
      </c>
      <c r="UT6" s="34">
        <v>0.189</v>
      </c>
      <c r="UU6" s="34">
        <v>0.111</v>
      </c>
      <c r="UV6" s="34">
        <v>0.111</v>
      </c>
      <c r="UW6" s="34">
        <v>0.111</v>
      </c>
      <c r="UX6" s="34">
        <v>0.111</v>
      </c>
      <c r="UY6" s="34">
        <v>0.111</v>
      </c>
      <c r="UZ6" s="34">
        <v>0.19</v>
      </c>
      <c r="VA6" s="34">
        <v>0.17</v>
      </c>
      <c r="VB6" s="34">
        <v>0.191</v>
      </c>
      <c r="VC6" s="34">
        <v>0.2</v>
      </c>
      <c r="VD6" s="34">
        <v>0.188</v>
      </c>
      <c r="VE6" s="34">
        <v>0.184</v>
      </c>
      <c r="VF6" s="34">
        <v>0.189</v>
      </c>
      <c r="VG6" s="34">
        <v>0.159</v>
      </c>
      <c r="VH6" s="34">
        <v>0.17199999999999999</v>
      </c>
      <c r="VI6" s="34">
        <v>0.16839999999999999</v>
      </c>
      <c r="VJ6" s="34">
        <v>0.1595</v>
      </c>
      <c r="VK6" s="34">
        <v>0.17199999999999999</v>
      </c>
      <c r="VL6" s="34">
        <v>0.186</v>
      </c>
      <c r="VM6" s="34">
        <v>0.186</v>
      </c>
      <c r="VN6" s="34">
        <v>0.186</v>
      </c>
      <c r="VO6" s="34">
        <v>0.16200000000000001</v>
      </c>
      <c r="VP6" s="34">
        <v>0.17599999999999999</v>
      </c>
      <c r="VQ6" s="34">
        <v>0.17399999999999999</v>
      </c>
      <c r="VR6" s="34">
        <v>0.17</v>
      </c>
      <c r="VS6" s="34">
        <v>0.17499999999999999</v>
      </c>
      <c r="VT6" s="34">
        <v>0.17699999999999999</v>
      </c>
      <c r="VU6" s="34">
        <v>0.17699999999999999</v>
      </c>
      <c r="VV6" s="34">
        <v>0.17499999999999999</v>
      </c>
      <c r="VW6" s="34">
        <v>0.17</v>
      </c>
      <c r="VX6" s="34">
        <v>0.189</v>
      </c>
      <c r="VY6" s="34">
        <v>0.189</v>
      </c>
      <c r="VZ6" s="34">
        <v>0.19</v>
      </c>
      <c r="WA6" s="34">
        <v>0.188</v>
      </c>
      <c r="WB6" s="34">
        <v>0.20899999999999999</v>
      </c>
      <c r="WC6" s="34">
        <v>0.20300000000000001</v>
      </c>
      <c r="WD6" s="34">
        <v>0.16</v>
      </c>
      <c r="WE6" s="34">
        <v>0.125</v>
      </c>
      <c r="WF6" s="34">
        <v>0.188</v>
      </c>
      <c r="WG6" s="34">
        <v>0.186</v>
      </c>
      <c r="WH6" s="34">
        <v>0.16500000000000001</v>
      </c>
      <c r="WI6" s="34">
        <v>0.20100000000000001</v>
      </c>
      <c r="WJ6" s="34">
        <v>0.17399999999999999</v>
      </c>
      <c r="WK6" s="34">
        <v>0.17399999999999999</v>
      </c>
      <c r="WL6" s="34">
        <v>0.22700000000000001</v>
      </c>
      <c r="WM6" s="34">
        <v>0.17799999999999999</v>
      </c>
      <c r="WN6" s="34">
        <v>0.18</v>
      </c>
      <c r="WO6" s="34">
        <v>0.1845</v>
      </c>
      <c r="WP6" s="34">
        <v>0.18</v>
      </c>
      <c r="WQ6" s="34">
        <v>0.21099999999999999</v>
      </c>
      <c r="WR6" s="34">
        <v>0.16700000000000001</v>
      </c>
      <c r="WS6" s="34">
        <v>0.17</v>
      </c>
      <c r="WT6" s="34">
        <v>0.1835</v>
      </c>
      <c r="WU6" s="34">
        <v>0.16900000000000001</v>
      </c>
      <c r="WV6" s="34">
        <v>0.17199999999999999</v>
      </c>
      <c r="WW6" s="34">
        <v>0.19600000000000001</v>
      </c>
      <c r="WX6" s="34">
        <v>0.152</v>
      </c>
      <c r="WY6" s="34">
        <v>0.20799999999999999</v>
      </c>
      <c r="WZ6" s="34">
        <v>0.217</v>
      </c>
      <c r="XA6" s="34">
        <v>0.191</v>
      </c>
      <c r="XB6" s="34">
        <v>0.20749999999999999</v>
      </c>
      <c r="XC6" s="34">
        <v>0.19800000000000001</v>
      </c>
      <c r="XD6" s="34">
        <v>0.17100000000000001</v>
      </c>
      <c r="XE6" s="34">
        <v>0.17</v>
      </c>
      <c r="XF6" s="34">
        <v>0.19600000000000001</v>
      </c>
      <c r="XG6" s="34">
        <v>0.189</v>
      </c>
      <c r="XH6" s="34">
        <v>0.159</v>
      </c>
      <c r="XI6" s="34">
        <v>0.157</v>
      </c>
      <c r="XJ6" s="34">
        <v>0.17199999999999999</v>
      </c>
      <c r="XK6" s="34">
        <v>0.152</v>
      </c>
      <c r="XL6" s="34">
        <v>0.17299999999999999</v>
      </c>
      <c r="XM6" s="34">
        <v>0.156</v>
      </c>
      <c r="XN6" s="34">
        <v>0.17100000000000001</v>
      </c>
      <c r="XO6" s="34">
        <v>0.20050000000000001</v>
      </c>
      <c r="XP6" s="34">
        <v>0.185</v>
      </c>
      <c r="XQ6" s="34">
        <v>0.19</v>
      </c>
      <c r="XR6" s="34">
        <v>0.189</v>
      </c>
      <c r="XS6" s="34">
        <v>0.19400000000000001</v>
      </c>
      <c r="XT6" s="34">
        <v>0.18110000000000001</v>
      </c>
      <c r="XU6" s="34">
        <v>0.20200000000000001</v>
      </c>
      <c r="XV6" s="34">
        <v>0.20599999999999999</v>
      </c>
      <c r="XW6" s="34">
        <v>0.188</v>
      </c>
      <c r="XX6" s="34">
        <v>0.18</v>
      </c>
      <c r="XY6" s="34">
        <v>0.17699999999999999</v>
      </c>
      <c r="XZ6" s="34">
        <v>0.20399999999999999</v>
      </c>
      <c r="YA6" s="34">
        <v>0.189</v>
      </c>
      <c r="YB6" s="34">
        <v>0.17649999999999999</v>
      </c>
      <c r="YC6" s="34">
        <v>0.17299999999999999</v>
      </c>
      <c r="YD6" s="34">
        <v>0.17499999999999999</v>
      </c>
      <c r="YE6" s="34">
        <v>0.186</v>
      </c>
      <c r="YF6" s="34">
        <v>0.18</v>
      </c>
      <c r="YG6" s="34">
        <v>0.18</v>
      </c>
      <c r="YH6" s="34">
        <v>0.17</v>
      </c>
      <c r="YI6" s="34">
        <v>0.12</v>
      </c>
      <c r="YJ6" s="34">
        <v>0.12</v>
      </c>
      <c r="YK6" s="34">
        <v>0.12</v>
      </c>
      <c r="YL6" s="34">
        <v>0.12</v>
      </c>
      <c r="YM6" s="34">
        <v>0.12</v>
      </c>
      <c r="YN6" s="34">
        <v>0.12</v>
      </c>
      <c r="YO6" s="34">
        <v>0.12</v>
      </c>
      <c r="YP6" s="34">
        <v>0.12</v>
      </c>
      <c r="YQ6" s="34">
        <v>0.12</v>
      </c>
      <c r="YR6" s="34">
        <v>0.12</v>
      </c>
      <c r="YS6" s="34">
        <v>0.12</v>
      </c>
      <c r="YT6" s="34">
        <v>0.12</v>
      </c>
      <c r="YU6" s="34">
        <v>0.12</v>
      </c>
      <c r="YV6" s="34">
        <v>0.12</v>
      </c>
      <c r="YW6" s="34">
        <v>0.12</v>
      </c>
      <c r="YX6" s="34">
        <v>0.12</v>
      </c>
      <c r="YY6" s="34">
        <v>0.12</v>
      </c>
      <c r="YZ6" s="34">
        <v>0.12</v>
      </c>
      <c r="ZA6" s="34">
        <v>0.12</v>
      </c>
      <c r="ZB6" s="34">
        <v>0.12</v>
      </c>
      <c r="ZC6" s="34">
        <v>0.12</v>
      </c>
      <c r="ZD6" s="34">
        <v>0.17</v>
      </c>
      <c r="ZE6" s="34">
        <v>0.17</v>
      </c>
      <c r="ZF6" s="34">
        <v>0.16700000000000001</v>
      </c>
      <c r="ZG6" s="34">
        <v>0.192</v>
      </c>
      <c r="ZH6" s="34">
        <v>0.17699999999999999</v>
      </c>
      <c r="ZI6" s="34">
        <v>0.14349999999999999</v>
      </c>
      <c r="ZJ6" s="34">
        <v>0.17399999999999999</v>
      </c>
      <c r="ZK6" s="34">
        <v>0.16600000000000001</v>
      </c>
      <c r="ZL6" s="34">
        <v>0.17199999999999999</v>
      </c>
      <c r="ZM6" s="34">
        <v>0.17199999999999999</v>
      </c>
      <c r="ZN6" s="34">
        <v>0.17599999999999999</v>
      </c>
      <c r="ZO6" s="34">
        <v>0.19900000000000001</v>
      </c>
      <c r="ZP6" s="34">
        <v>0.157</v>
      </c>
      <c r="ZQ6" s="34">
        <v>0.1565</v>
      </c>
      <c r="ZR6" s="34">
        <v>0.183</v>
      </c>
      <c r="ZS6" s="34">
        <v>0.19800000000000001</v>
      </c>
      <c r="ZT6" s="34">
        <v>0.16900000000000001</v>
      </c>
      <c r="ZU6" s="34">
        <v>0.1825</v>
      </c>
      <c r="ZV6" s="34">
        <v>0.16700000000000001</v>
      </c>
      <c r="ZW6" s="34">
        <v>0.17949999999999999</v>
      </c>
      <c r="ZX6" s="34">
        <v>0.16800000000000001</v>
      </c>
      <c r="ZY6" s="34">
        <v>0.19650000000000001</v>
      </c>
      <c r="ZZ6" s="34">
        <v>0.19800000000000001</v>
      </c>
      <c r="AAA6" s="34">
        <v>0.2167</v>
      </c>
      <c r="AAB6" s="34">
        <v>0.192</v>
      </c>
      <c r="AAC6" s="34">
        <v>0.17965200000000001</v>
      </c>
      <c r="AAD6" s="34">
        <v>0.1515</v>
      </c>
      <c r="AAE6" s="34">
        <v>0.1835</v>
      </c>
      <c r="AAF6" s="34">
        <v>0.19350000000000001</v>
      </c>
      <c r="AAG6" s="34">
        <v>0.19700000000000001</v>
      </c>
      <c r="AAH6" s="34">
        <v>0.187</v>
      </c>
      <c r="AAI6" s="34">
        <v>0.17100000000000001</v>
      </c>
      <c r="AAJ6" s="34">
        <v>0.16400000000000001</v>
      </c>
      <c r="AAK6" s="34">
        <v>0.154</v>
      </c>
      <c r="AAL6" s="34">
        <v>0.16600000000000001</v>
      </c>
      <c r="AAM6" s="34">
        <v>0.18</v>
      </c>
      <c r="AAN6" s="34">
        <v>0.1535</v>
      </c>
      <c r="AAO6" s="34">
        <v>0.183</v>
      </c>
      <c r="AAP6" s="34">
        <v>0.186</v>
      </c>
      <c r="AAQ6" s="34">
        <v>0.17199999999999999</v>
      </c>
      <c r="AAR6" s="34">
        <v>0.17399999999999999</v>
      </c>
      <c r="AAS6" s="34">
        <v>0.16500000000000001</v>
      </c>
      <c r="AAT6" s="34">
        <v>0.16500000000000001</v>
      </c>
      <c r="AAU6" s="34">
        <v>0.1895</v>
      </c>
      <c r="AAV6" s="34">
        <v>0.17199999999999999</v>
      </c>
      <c r="AAW6" s="34">
        <v>0.17399999999999999</v>
      </c>
      <c r="AAX6" s="34">
        <v>0.17899999999999999</v>
      </c>
      <c r="AAY6" s="34">
        <v>0.11600000000000001</v>
      </c>
      <c r="AAZ6" s="34">
        <v>0.127</v>
      </c>
      <c r="ABA6" s="34">
        <v>0.161</v>
      </c>
      <c r="ABB6" s="34">
        <v>0.184</v>
      </c>
      <c r="ABC6" s="34">
        <v>0.184</v>
      </c>
      <c r="ABD6" s="34">
        <v>0.16600000000000001</v>
      </c>
      <c r="ABE6" s="34">
        <v>0.13500000000000001</v>
      </c>
      <c r="ABF6" s="34">
        <v>0.19500000000000001</v>
      </c>
      <c r="ABG6" s="34">
        <v>0.17749999999999999</v>
      </c>
      <c r="ABH6" s="34">
        <v>0.1615</v>
      </c>
      <c r="ABI6" s="34">
        <v>0.18099999999999999</v>
      </c>
      <c r="ABJ6" s="34">
        <v>0.183</v>
      </c>
      <c r="ABK6" s="145">
        <v>0.17299999999999999</v>
      </c>
      <c r="ABL6" s="693">
        <v>0.121</v>
      </c>
      <c r="ABM6" s="34">
        <v>0.192</v>
      </c>
      <c r="ABN6" s="34">
        <v>0.19700000000000001</v>
      </c>
      <c r="ABO6" s="34">
        <v>0.17399999999999999</v>
      </c>
      <c r="ABP6" s="34">
        <v>0.185</v>
      </c>
      <c r="ABQ6" s="34">
        <v>0.158</v>
      </c>
      <c r="ABR6" s="34">
        <v>0.17899999999999999</v>
      </c>
      <c r="ABS6" s="694">
        <v>0.155</v>
      </c>
      <c r="ABT6" s="693">
        <v>0.17899999999999999</v>
      </c>
      <c r="ABU6" s="34">
        <v>0.17899999999999999</v>
      </c>
      <c r="ABV6" s="34">
        <v>0.13</v>
      </c>
      <c r="ABW6" s="34">
        <v>0.14699999999999999</v>
      </c>
      <c r="ABX6" s="34">
        <v>0.15</v>
      </c>
      <c r="ABY6" s="34">
        <v>0.155</v>
      </c>
      <c r="ABZ6" s="34">
        <v>0.157</v>
      </c>
      <c r="ACA6" s="34">
        <v>0.14799999999999999</v>
      </c>
      <c r="ACB6" s="34">
        <v>0.152</v>
      </c>
      <c r="ACC6" s="145">
        <v>0.155</v>
      </c>
      <c r="ACD6" s="718">
        <v>0.153</v>
      </c>
      <c r="ACE6" s="719">
        <v>0.151</v>
      </c>
      <c r="ACF6" s="719">
        <v>0.182</v>
      </c>
      <c r="ACG6" s="719">
        <v>0.17399999999999999</v>
      </c>
      <c r="ACH6" s="719">
        <v>0.20799999999999999</v>
      </c>
      <c r="ACI6" s="720">
        <v>0.15</v>
      </c>
      <c r="ACJ6" s="714">
        <v>0.15</v>
      </c>
      <c r="ACK6" s="714">
        <v>0.17499999999999999</v>
      </c>
      <c r="ACL6" s="714">
        <v>0.16600000000000001</v>
      </c>
      <c r="ACM6" s="714">
        <v>0.14000000000000001</v>
      </c>
      <c r="ACN6" s="714">
        <v>0.11899999999999999</v>
      </c>
      <c r="ACO6" s="714">
        <v>0.187</v>
      </c>
      <c r="ACP6" s="714">
        <v>0.15</v>
      </c>
      <c r="ACQ6" s="714">
        <v>0.14000000000000001</v>
      </c>
      <c r="ACR6" s="714">
        <v>0.13</v>
      </c>
      <c r="ACS6" s="714">
        <v>0.125</v>
      </c>
      <c r="ACT6" s="714">
        <v>0.12</v>
      </c>
      <c r="ACU6" s="714">
        <v>0.124</v>
      </c>
      <c r="ACV6" s="714">
        <v>0.12</v>
      </c>
      <c r="ACW6" s="714">
        <v>0.121</v>
      </c>
      <c r="ACX6" s="714">
        <v>0.122</v>
      </c>
      <c r="ACY6" s="714">
        <v>0.124</v>
      </c>
      <c r="ACZ6" s="714">
        <v>0.122</v>
      </c>
      <c r="ADA6" s="714">
        <v>0.12</v>
      </c>
      <c r="ADB6" s="714">
        <v>0.122</v>
      </c>
      <c r="ADC6" s="714">
        <v>0.12</v>
      </c>
      <c r="ADD6" s="714">
        <v>0.121</v>
      </c>
      <c r="ADE6" s="714">
        <v>0.115</v>
      </c>
      <c r="ADF6" s="714">
        <v>0.115</v>
      </c>
      <c r="ADG6" s="714">
        <v>0.114</v>
      </c>
      <c r="ADH6" s="714">
        <v>0.111</v>
      </c>
      <c r="ADI6" s="714">
        <v>0.12</v>
      </c>
      <c r="ADJ6" s="714">
        <v>0.11</v>
      </c>
      <c r="ADK6" s="714">
        <v>0.115</v>
      </c>
      <c r="ADL6" s="714">
        <v>0.11</v>
      </c>
      <c r="ADM6" s="714">
        <v>0.115</v>
      </c>
      <c r="ADN6" s="714">
        <v>0.105</v>
      </c>
      <c r="ADO6" s="714">
        <v>9.0999999999999998E-2</v>
      </c>
      <c r="ADP6" s="714">
        <v>0.105</v>
      </c>
      <c r="ADQ6" s="714">
        <v>0.13200000000000001</v>
      </c>
      <c r="ADR6" s="714">
        <v>0.112</v>
      </c>
      <c r="ADS6" s="714">
        <v>0.115</v>
      </c>
      <c r="ADT6" s="714">
        <v>0.16600000000000001</v>
      </c>
      <c r="ADU6" s="714">
        <v>9.4E-2</v>
      </c>
      <c r="ADV6" s="714">
        <v>9.7000000000000003E-2</v>
      </c>
      <c r="ADW6" s="714">
        <v>0.115</v>
      </c>
      <c r="ADX6" s="714">
        <v>0.13200000000000001</v>
      </c>
      <c r="ADY6" s="714">
        <v>0.183</v>
      </c>
      <c r="ADZ6" s="714">
        <v>0.14399999999999999</v>
      </c>
      <c r="AEA6" s="714">
        <v>9.0999999999999998E-2</v>
      </c>
      <c r="AEB6" s="714">
        <v>0.104</v>
      </c>
      <c r="AEC6" s="714">
        <v>0.154</v>
      </c>
      <c r="AED6" s="714">
        <v>0.14699999999999999</v>
      </c>
      <c r="AEE6" s="714">
        <v>0.1255</v>
      </c>
      <c r="AEF6" s="714">
        <v>0.13</v>
      </c>
      <c r="AEG6" s="714">
        <v>0.10100000000000001</v>
      </c>
      <c r="AEH6" s="714">
        <v>0.1285</v>
      </c>
      <c r="AEI6" s="714">
        <v>0.1285</v>
      </c>
      <c r="AEJ6" s="714">
        <v>0.1285</v>
      </c>
      <c r="AEK6" s="714">
        <v>0.17799999999999999</v>
      </c>
      <c r="AEL6" s="714">
        <v>0.12</v>
      </c>
      <c r="AEM6" s="714">
        <v>0.1105</v>
      </c>
      <c r="AEN6" s="714">
        <v>0.12</v>
      </c>
      <c r="AEO6" s="714">
        <v>0.12</v>
      </c>
      <c r="AEP6" s="714">
        <v>0.124</v>
      </c>
      <c r="AEQ6" s="714">
        <v>0.10299999999999999</v>
      </c>
      <c r="AER6" s="714">
        <v>0.11799999999999999</v>
      </c>
      <c r="AES6" s="714">
        <v>0.129</v>
      </c>
      <c r="AET6" s="714">
        <v>0.14000000000000001</v>
      </c>
      <c r="AEU6" s="714">
        <v>0.14000000000000001</v>
      </c>
      <c r="AEV6" s="714">
        <v>0.11650000000000001</v>
      </c>
      <c r="AEW6" s="714">
        <v>0.115</v>
      </c>
      <c r="AEX6" s="714">
        <v>0.13</v>
      </c>
      <c r="AEY6" s="714">
        <v>0.13</v>
      </c>
      <c r="AEZ6" s="714">
        <v>0.13450000000000001</v>
      </c>
      <c r="AFA6" s="714">
        <v>0.13450000000000001</v>
      </c>
      <c r="AFB6" s="714">
        <v>0.13450000000000001</v>
      </c>
      <c r="AFC6" s="714">
        <v>0.13450000000000001</v>
      </c>
      <c r="AFD6" s="714">
        <v>0.13</v>
      </c>
      <c r="AFE6" s="714">
        <v>0.12</v>
      </c>
      <c r="AFF6" s="714">
        <v>0.12</v>
      </c>
      <c r="AFG6" s="714">
        <v>0.12</v>
      </c>
      <c r="AFH6" s="714">
        <v>0.12</v>
      </c>
      <c r="AFI6" s="714">
        <v>0.13</v>
      </c>
      <c r="AFJ6" s="714">
        <v>0.12</v>
      </c>
      <c r="AFK6" s="714">
        <v>0.12</v>
      </c>
      <c r="AFL6" s="714">
        <v>0.125</v>
      </c>
      <c r="AFM6" s="714">
        <v>0.125</v>
      </c>
      <c r="AFN6" s="714">
        <v>0.125</v>
      </c>
      <c r="AFO6" s="714">
        <v>0.12</v>
      </c>
      <c r="AFP6" s="714">
        <v>0.12</v>
      </c>
      <c r="AFQ6" s="714">
        <v>0.12</v>
      </c>
      <c r="AFR6" s="714">
        <v>0.13</v>
      </c>
      <c r="AFS6" s="714">
        <v>0.12529999999999999</v>
      </c>
      <c r="AFT6" s="714">
        <v>0.12</v>
      </c>
      <c r="AFU6" s="714">
        <v>0.12</v>
      </c>
      <c r="AFV6" s="714">
        <v>0.12</v>
      </c>
      <c r="AFW6" s="714">
        <v>0.105</v>
      </c>
      <c r="AFX6" s="718">
        <v>0.11</v>
      </c>
      <c r="AFY6" s="718">
        <v>0.1</v>
      </c>
      <c r="AFZ6" s="718">
        <v>0.12</v>
      </c>
      <c r="AGA6" s="718">
        <v>0.12</v>
      </c>
      <c r="AGB6" s="718">
        <v>0.13</v>
      </c>
      <c r="AGC6" s="718">
        <v>0.13</v>
      </c>
      <c r="AGD6" s="718">
        <v>0.125</v>
      </c>
      <c r="AGE6" s="941">
        <v>0.115</v>
      </c>
      <c r="AGF6" s="714">
        <v>0.105</v>
      </c>
      <c r="AGG6" s="714">
        <v>0.11</v>
      </c>
      <c r="AGH6" s="714">
        <v>0.12</v>
      </c>
      <c r="AGI6" s="714">
        <v>0.105</v>
      </c>
      <c r="AGJ6" s="714">
        <v>0.115</v>
      </c>
      <c r="AGK6" s="714">
        <v>0.115</v>
      </c>
      <c r="AGL6" s="714">
        <v>0.12</v>
      </c>
      <c r="AGM6" s="714">
        <v>0.1</v>
      </c>
      <c r="AGN6" s="714">
        <v>0.105</v>
      </c>
      <c r="AGO6" s="714">
        <v>0.11</v>
      </c>
      <c r="AGP6" s="714">
        <v>0.11</v>
      </c>
      <c r="AGQ6" s="714">
        <v>0.12</v>
      </c>
      <c r="AGR6" s="714">
        <v>0.12</v>
      </c>
      <c r="AGS6" s="714">
        <v>0.13</v>
      </c>
      <c r="AGT6" s="714">
        <v>0.105</v>
      </c>
      <c r="AGU6" s="714">
        <v>0.11</v>
      </c>
      <c r="AGV6" s="714">
        <v>0.1</v>
      </c>
      <c r="AGW6" s="714">
        <v>0.105</v>
      </c>
      <c r="AGX6" s="714">
        <v>0.11</v>
      </c>
      <c r="AGY6" s="714">
        <v>0.1</v>
      </c>
      <c r="AGZ6" s="714">
        <v>0.105</v>
      </c>
      <c r="AHA6" s="714">
        <v>0.1</v>
      </c>
      <c r="AHB6" s="714">
        <v>0.105</v>
      </c>
      <c r="AHC6" s="714">
        <v>0.1</v>
      </c>
      <c r="AHD6" s="714">
        <v>0.105</v>
      </c>
      <c r="AHE6" s="714">
        <v>0.11</v>
      </c>
      <c r="AHF6" s="714">
        <v>0.115</v>
      </c>
      <c r="AHG6" s="714">
        <v>0.12</v>
      </c>
      <c r="AHH6" s="714">
        <v>0.11</v>
      </c>
      <c r="AHI6" s="714">
        <v>0.105</v>
      </c>
      <c r="AHJ6" s="714">
        <v>0.11</v>
      </c>
      <c r="AHK6" s="714">
        <v>0.125</v>
      </c>
      <c r="AHL6" s="714">
        <v>0.125</v>
      </c>
      <c r="AHM6" s="714">
        <v>0.127</v>
      </c>
      <c r="AHN6" s="714">
        <v>0.12</v>
      </c>
      <c r="AHO6" s="714">
        <v>0.113</v>
      </c>
      <c r="AHP6" s="714">
        <v>0.124</v>
      </c>
      <c r="AHQ6" s="714">
        <v>0.13</v>
      </c>
      <c r="AHR6" s="714">
        <v>0.12</v>
      </c>
      <c r="AHS6" s="714">
        <v>0.123</v>
      </c>
      <c r="AHT6" s="714">
        <v>0.12</v>
      </c>
      <c r="AHU6" s="714">
        <v>0.13</v>
      </c>
      <c r="AHV6" s="714">
        <v>0.12</v>
      </c>
      <c r="AHW6" s="714">
        <v>0.13</v>
      </c>
      <c r="AHX6" s="714">
        <v>0.12</v>
      </c>
      <c r="AHY6" s="714">
        <v>0.14000000000000001</v>
      </c>
      <c r="AHZ6" s="714">
        <v>0.14499999999999999</v>
      </c>
      <c r="AIA6" s="714">
        <v>0.13</v>
      </c>
      <c r="AIB6" s="714">
        <v>0.12</v>
      </c>
      <c r="AIC6" s="714">
        <v>0.13</v>
      </c>
      <c r="AID6" s="714">
        <v>0.15</v>
      </c>
      <c r="AIE6" s="714">
        <v>0.13500000000000001</v>
      </c>
      <c r="AIF6" s="714">
        <v>0.11</v>
      </c>
      <c r="AIG6" s="714">
        <v>0.125</v>
      </c>
      <c r="AIH6" s="714">
        <v>0.13500000000000001</v>
      </c>
      <c r="AII6" s="714">
        <v>0.15</v>
      </c>
      <c r="AIJ6" s="714">
        <v>0.14000000000000001</v>
      </c>
      <c r="AIK6" s="714">
        <v>0.16</v>
      </c>
      <c r="AIL6" s="714">
        <v>0.17</v>
      </c>
      <c r="AIM6" s="714">
        <v>0.12</v>
      </c>
      <c r="AIN6" s="714">
        <v>0.14000000000000001</v>
      </c>
      <c r="AIO6" s="714">
        <v>0.125</v>
      </c>
      <c r="AIP6" s="714">
        <v>0.14000000000000001</v>
      </c>
      <c r="AIQ6" s="714">
        <v>0.13</v>
      </c>
      <c r="AIR6" s="714">
        <v>0.14000000000000001</v>
      </c>
      <c r="AIS6" s="714">
        <v>0.17</v>
      </c>
      <c r="AIT6" s="714">
        <v>0.16</v>
      </c>
      <c r="AIU6" s="714">
        <v>0.18</v>
      </c>
      <c r="AIV6" s="714">
        <v>0.188</v>
      </c>
      <c r="AIW6" s="714">
        <v>0.17</v>
      </c>
      <c r="AIX6" s="714">
        <v>0.15</v>
      </c>
      <c r="AIY6" s="714">
        <v>0.19</v>
      </c>
      <c r="AIZ6" s="714">
        <v>0.15</v>
      </c>
      <c r="AJA6" s="714">
        <v>0.18</v>
      </c>
      <c r="AJB6" s="714">
        <v>0.155</v>
      </c>
      <c r="AJC6" s="714">
        <v>0.185</v>
      </c>
      <c r="AJD6" s="714">
        <v>0.18</v>
      </c>
      <c r="AJE6" s="714">
        <v>0.14000000000000001</v>
      </c>
      <c r="AJF6" s="714">
        <v>0.17</v>
      </c>
      <c r="AJG6" s="714">
        <v>0.155</v>
      </c>
      <c r="AJH6" s="714">
        <v>0.17</v>
      </c>
      <c r="AJI6" s="714">
        <v>0.18</v>
      </c>
      <c r="AJJ6" s="714">
        <v>0.19</v>
      </c>
      <c r="AJK6" s="714">
        <v>0.156</v>
      </c>
      <c r="AJL6" s="714">
        <v>0.16600000000000001</v>
      </c>
      <c r="AJM6" s="714">
        <v>0.17</v>
      </c>
      <c r="AJN6" s="714">
        <v>0.17499999999999999</v>
      </c>
      <c r="AJO6" s="714">
        <v>0.15</v>
      </c>
      <c r="AJP6" s="714">
        <v>0.16800000000000001</v>
      </c>
      <c r="AJQ6" s="714">
        <v>0.16800000000000001</v>
      </c>
      <c r="AJR6" s="714">
        <v>0.17</v>
      </c>
      <c r="AJS6" s="714">
        <v>0.13</v>
      </c>
      <c r="AJT6" s="714">
        <v>0.155</v>
      </c>
      <c r="AJU6" s="714">
        <v>0.1477</v>
      </c>
      <c r="AJV6" s="714">
        <v>0.17</v>
      </c>
      <c r="AJW6" s="714">
        <v>0.15</v>
      </c>
      <c r="AJX6" s="714">
        <v>0.16500000000000001</v>
      </c>
      <c r="AJY6" s="714">
        <v>0.16500000000000001</v>
      </c>
      <c r="AJZ6" s="714">
        <v>0.18</v>
      </c>
      <c r="AKA6" s="714">
        <v>0.17499999999999999</v>
      </c>
      <c r="AKB6" s="714">
        <v>0.15</v>
      </c>
      <c r="AKC6" s="714">
        <v>0.16</v>
      </c>
      <c r="AKD6" s="714">
        <v>0.16</v>
      </c>
      <c r="AKE6" s="714">
        <v>0.17599999999999999</v>
      </c>
      <c r="AKF6" s="714">
        <v>0.15</v>
      </c>
      <c r="AKG6" s="714">
        <v>0.14000000000000001</v>
      </c>
      <c r="AKH6" s="714">
        <v>0.14799999999999999</v>
      </c>
      <c r="AKI6" s="714">
        <v>0.156</v>
      </c>
      <c r="AKJ6" s="714">
        <v>0.17</v>
      </c>
      <c r="AKK6" s="714">
        <v>0.14299999999999999</v>
      </c>
      <c r="AKL6" s="714">
        <v>0.16300000000000001</v>
      </c>
      <c r="AKM6" s="714">
        <v>0.158</v>
      </c>
      <c r="AKN6" s="714">
        <v>0.17499999999999999</v>
      </c>
      <c r="AKO6" s="714">
        <v>0.16200000000000001</v>
      </c>
      <c r="AKP6" s="714">
        <v>0.14499999999999999</v>
      </c>
      <c r="AKQ6" s="714">
        <v>0.185</v>
      </c>
      <c r="AKR6" s="714">
        <v>0.152</v>
      </c>
      <c r="AKS6" s="714">
        <v>0.14499999999999999</v>
      </c>
      <c r="AKT6" s="714">
        <v>0.18</v>
      </c>
      <c r="AKU6" s="714">
        <v>0.153</v>
      </c>
      <c r="AKV6" s="714">
        <v>0.13800000000000001</v>
      </c>
      <c r="AKW6" s="714">
        <v>0.13300000000000001</v>
      </c>
      <c r="AKX6" s="714">
        <v>0.16300000000000001</v>
      </c>
      <c r="AKY6" s="714">
        <v>0.152</v>
      </c>
      <c r="AKZ6" s="714">
        <v>0.16800000000000001</v>
      </c>
      <c r="ALA6" s="714">
        <v>0.17</v>
      </c>
      <c r="ALB6" s="714">
        <v>0.18</v>
      </c>
      <c r="ALC6" s="714">
        <v>0.185</v>
      </c>
      <c r="ALD6" s="714">
        <v>0.182</v>
      </c>
      <c r="ALE6" s="714">
        <v>0.188</v>
      </c>
      <c r="ALF6" s="714">
        <v>0.17</v>
      </c>
      <c r="ALG6" s="714">
        <v>0.19600000000000001</v>
      </c>
      <c r="ALH6" s="714">
        <v>0.1817</v>
      </c>
      <c r="ALI6" s="714">
        <v>0.17</v>
      </c>
      <c r="ALJ6" s="714">
        <v>0.185</v>
      </c>
      <c r="ALK6" s="714">
        <v>0.16500000000000001</v>
      </c>
      <c r="ALL6" s="714">
        <v>0.17699999999999999</v>
      </c>
      <c r="ALM6" s="714">
        <v>0.17</v>
      </c>
      <c r="ALN6" s="714">
        <v>0.21</v>
      </c>
      <c r="ALO6" s="714">
        <v>0.18779999999999999</v>
      </c>
      <c r="ALP6" s="714">
        <v>0.17799999999999999</v>
      </c>
      <c r="ALQ6" s="714">
        <v>0.16900000000000001</v>
      </c>
      <c r="ALR6" s="714">
        <v>0.16200000000000001</v>
      </c>
      <c r="ALS6" s="714">
        <v>0.17499999999999999</v>
      </c>
      <c r="ALT6" s="714">
        <v>0.16400000000000001</v>
      </c>
      <c r="ALU6" s="714">
        <v>0.18</v>
      </c>
      <c r="ALV6" s="714">
        <v>0.14000000000000001</v>
      </c>
      <c r="ALW6" s="714">
        <v>0.14499999999999999</v>
      </c>
      <c r="ALX6" s="714">
        <v>0.153</v>
      </c>
      <c r="ALY6" s="714">
        <v>0.14199999999999999</v>
      </c>
      <c r="ALZ6" s="714">
        <v>0.159</v>
      </c>
      <c r="AMA6" s="714">
        <v>0.16500000000000001</v>
      </c>
      <c r="AMB6" s="714">
        <v>0.17499999999999999</v>
      </c>
      <c r="AMC6" s="714">
        <v>0.187</v>
      </c>
      <c r="AMD6" s="714">
        <v>0.17199999999999999</v>
      </c>
      <c r="AME6" s="714">
        <v>0.14899999999999999</v>
      </c>
      <c r="AMF6" s="714">
        <v>0.155</v>
      </c>
      <c r="AMG6" s="714">
        <v>0.14299999999999999</v>
      </c>
      <c r="AMH6" s="714">
        <v>0.14799999999999999</v>
      </c>
      <c r="AMI6" s="714">
        <v>0.17799999999999999</v>
      </c>
      <c r="AMJ6" s="714">
        <v>0.16750000000000001</v>
      </c>
      <c r="AMK6" s="714">
        <v>0.1782</v>
      </c>
      <c r="AML6" s="714">
        <v>0.1782</v>
      </c>
      <c r="AMM6" s="714">
        <v>0.17449999999999999</v>
      </c>
      <c r="AMN6" s="714">
        <v>0.15690000000000001</v>
      </c>
      <c r="AMO6" s="714">
        <v>0.193</v>
      </c>
      <c r="AMP6" s="714">
        <v>0.22</v>
      </c>
      <c r="AMQ6" s="714">
        <v>0.17899999999999999</v>
      </c>
      <c r="AMR6" s="714">
        <v>0.17519999999999999</v>
      </c>
      <c r="AMS6" s="714">
        <v>0.17699999999999999</v>
      </c>
      <c r="AMT6" s="714">
        <v>0.17960000000000001</v>
      </c>
      <c r="AMU6" s="714">
        <v>0.17199999999999999</v>
      </c>
      <c r="AMV6" s="714">
        <v>0.18260000000000001</v>
      </c>
      <c r="AMW6" s="714">
        <v>0.17599999999999999</v>
      </c>
      <c r="AMX6" s="714">
        <v>0.17499999999999999</v>
      </c>
      <c r="AMY6" s="714">
        <v>0.192</v>
      </c>
      <c r="AMZ6" s="714">
        <v>0.16700000000000001</v>
      </c>
      <c r="ANA6" s="714">
        <v>0.18329999999999999</v>
      </c>
      <c r="ANB6" s="714">
        <v>0.16</v>
      </c>
      <c r="ANC6" s="714">
        <v>0.1648</v>
      </c>
      <c r="AND6" s="714">
        <v>0.14199999999999999</v>
      </c>
      <c r="ANE6" s="714">
        <v>0.14199999999999999</v>
      </c>
      <c r="ANF6" s="714">
        <v>0.17</v>
      </c>
      <c r="ANG6" s="714">
        <v>0.16500000000000001</v>
      </c>
      <c r="ANH6" s="714">
        <v>0.14299999999999999</v>
      </c>
      <c r="ANI6" s="714">
        <v>0.15</v>
      </c>
      <c r="ANJ6" s="714">
        <v>0.156</v>
      </c>
      <c r="ANK6" s="714">
        <v>0.17100000000000001</v>
      </c>
      <c r="ANL6" s="714">
        <v>0.17299999999999999</v>
      </c>
      <c r="ANM6" s="714">
        <v>0.13600000000000001</v>
      </c>
      <c r="ANN6" s="714">
        <v>0.17299999999999999</v>
      </c>
      <c r="ANO6" s="714">
        <v>0.16220000000000001</v>
      </c>
      <c r="ANP6" s="714">
        <v>0.1673</v>
      </c>
      <c r="ANQ6" s="714">
        <v>0.1638</v>
      </c>
      <c r="ANR6" s="714">
        <v>0.15920000000000001</v>
      </c>
      <c r="ANS6" s="714">
        <v>0.15</v>
      </c>
      <c r="ANT6" s="714">
        <v>0.13969999999999999</v>
      </c>
      <c r="ANU6" s="714">
        <v>0.1389</v>
      </c>
      <c r="ANV6" s="714">
        <v>0.13500000000000001</v>
      </c>
      <c r="ANW6" s="714">
        <v>0.13600000000000001</v>
      </c>
      <c r="ANX6" s="714">
        <v>0.15</v>
      </c>
      <c r="ANY6" s="714">
        <v>0.1565</v>
      </c>
      <c r="ANZ6" s="714">
        <v>0.17780000000000001</v>
      </c>
      <c r="AOA6" s="714">
        <v>0.13900000000000001</v>
      </c>
      <c r="AOB6" s="714">
        <v>0.14299999999999999</v>
      </c>
      <c r="AOC6" s="714">
        <v>0.15659999999999999</v>
      </c>
      <c r="AOD6" s="714">
        <v>0.14399999999999999</v>
      </c>
      <c r="AOE6" s="714">
        <v>0.14299999999999999</v>
      </c>
      <c r="AOF6" s="714">
        <v>0.151</v>
      </c>
      <c r="AOG6" s="714">
        <v>0.13900000000000001</v>
      </c>
      <c r="AOH6" s="714">
        <v>0.159</v>
      </c>
      <c r="AOI6" s="714">
        <v>0.19900000000000001</v>
      </c>
      <c r="AOJ6" s="714">
        <v>0.16700000000000001</v>
      </c>
      <c r="AOK6" s="714">
        <v>0.16</v>
      </c>
      <c r="AOL6" s="714">
        <v>0.16500000000000001</v>
      </c>
      <c r="AOM6" s="714">
        <v>0.17499999999999999</v>
      </c>
      <c r="AON6" s="714">
        <v>0.16800000000000001</v>
      </c>
      <c r="AOO6" s="714">
        <v>0.14000000000000001</v>
      </c>
      <c r="AOP6" s="714">
        <v>0.14299999999999999</v>
      </c>
      <c r="AOQ6" s="714">
        <v>0.155</v>
      </c>
      <c r="AOR6" s="714">
        <v>0.154</v>
      </c>
      <c r="AOS6" s="714">
        <v>0.16</v>
      </c>
      <c r="AOT6" s="714">
        <v>0.14499999999999999</v>
      </c>
      <c r="AOU6" s="714">
        <v>0.16300000000000001</v>
      </c>
      <c r="AOV6" s="714">
        <v>0.155</v>
      </c>
      <c r="AOW6" s="714">
        <v>0.16300000000000001</v>
      </c>
      <c r="AOX6" s="714">
        <v>0.16300000000000001</v>
      </c>
      <c r="AOY6" s="714">
        <v>0.152</v>
      </c>
      <c r="AOZ6" s="714">
        <v>0.161</v>
      </c>
      <c r="APA6" s="714">
        <v>0.13800000000000001</v>
      </c>
      <c r="APB6" s="714">
        <v>0.154</v>
      </c>
      <c r="APC6" s="714">
        <v>0.14799999999999999</v>
      </c>
      <c r="APD6" s="714">
        <v>0.16500000000000001</v>
      </c>
      <c r="APE6" s="714">
        <v>0.155</v>
      </c>
      <c r="APF6" s="714">
        <v>0.14699999999999999</v>
      </c>
      <c r="APG6" s="714">
        <v>0.14199999999999999</v>
      </c>
      <c r="APH6" s="714">
        <v>0.14299999999999999</v>
      </c>
      <c r="API6" s="714">
        <v>0.158</v>
      </c>
      <c r="APJ6" s="714">
        <v>0.155</v>
      </c>
      <c r="APK6" s="714">
        <v>0.16400000000000001</v>
      </c>
      <c r="APL6" s="714">
        <v>0.158</v>
      </c>
      <c r="APM6" s="714">
        <v>0.126</v>
      </c>
      <c r="APN6" s="714">
        <v>0.16400000000000001</v>
      </c>
      <c r="APO6" s="714">
        <v>0.124</v>
      </c>
      <c r="APP6" s="714">
        <v>0.16400000000000001</v>
      </c>
      <c r="APQ6" s="714">
        <v>0.14299999999999999</v>
      </c>
      <c r="APR6" s="714">
        <v>0.152</v>
      </c>
      <c r="APS6" s="714">
        <v>0.15</v>
      </c>
      <c r="APT6" s="714">
        <v>0.16300000000000001</v>
      </c>
      <c r="APU6" s="714">
        <v>0.152</v>
      </c>
      <c r="APV6" s="714">
        <v>0.124</v>
      </c>
      <c r="APW6" s="714">
        <v>0.16900000000000001</v>
      </c>
      <c r="APX6" s="714">
        <v>0.151</v>
      </c>
      <c r="APY6" s="714">
        <v>0.14899999999999999</v>
      </c>
      <c r="APZ6" s="714">
        <v>0.14199999999999999</v>
      </c>
      <c r="AQA6" s="714">
        <v>0.16200000000000001</v>
      </c>
      <c r="AQB6" s="714">
        <v>0.161</v>
      </c>
      <c r="AQC6" s="714">
        <v>0.154</v>
      </c>
      <c r="AQD6" s="714">
        <v>0.16600000000000001</v>
      </c>
      <c r="AQE6" s="714">
        <v>0.16500000000000001</v>
      </c>
      <c r="AQF6" s="714">
        <v>0.14299999999999999</v>
      </c>
      <c r="AQG6" s="714">
        <v>0.16200000000000001</v>
      </c>
      <c r="AQH6" s="714">
        <v>0.14000000000000001</v>
      </c>
      <c r="AQI6" s="714">
        <v>0.152</v>
      </c>
      <c r="AQJ6" s="714">
        <v>0.152</v>
      </c>
      <c r="AQK6" s="714">
        <v>0.161</v>
      </c>
      <c r="AQL6" s="714">
        <v>0.151</v>
      </c>
      <c r="AQM6" s="714">
        <v>0.16200000000000001</v>
      </c>
      <c r="AQN6" s="714">
        <v>0.16300000000000001</v>
      </c>
      <c r="AQO6" s="714">
        <v>0.16</v>
      </c>
      <c r="AQP6" s="714">
        <v>0.16300000000000001</v>
      </c>
      <c r="AQQ6" s="714">
        <v>0.159</v>
      </c>
      <c r="AQR6" s="714">
        <v>0.156</v>
      </c>
      <c r="AQS6" s="714">
        <v>0.155</v>
      </c>
      <c r="AQT6" s="714">
        <v>0.185</v>
      </c>
      <c r="AQU6" s="714">
        <v>0.16500000000000001</v>
      </c>
      <c r="AQV6" s="714">
        <v>0.158</v>
      </c>
      <c r="AQW6" s="714">
        <v>0.16600000000000001</v>
      </c>
      <c r="AQX6" s="714">
        <v>0.161</v>
      </c>
      <c r="AQY6" s="714">
        <v>0.159</v>
      </c>
      <c r="AQZ6" s="714">
        <v>0.16300000000000001</v>
      </c>
      <c r="ARA6" s="714">
        <v>0.161</v>
      </c>
      <c r="ARB6" s="714">
        <v>0.15</v>
      </c>
      <c r="ARC6" s="714">
        <v>0.16500000000000001</v>
      </c>
      <c r="ARD6" s="714">
        <v>0.158</v>
      </c>
      <c r="ARE6" s="714">
        <v>0.16</v>
      </c>
      <c r="ARF6" s="714">
        <v>0.161</v>
      </c>
      <c r="ARG6" s="714">
        <v>0.152</v>
      </c>
      <c r="ARH6" s="714">
        <v>0.16700000000000001</v>
      </c>
      <c r="ARI6" s="714">
        <v>0.16400000000000001</v>
      </c>
      <c r="ARJ6" s="714">
        <v>0.159</v>
      </c>
      <c r="ARK6" s="714">
        <v>0.161</v>
      </c>
      <c r="ARL6" s="714">
        <v>0.16200000000000001</v>
      </c>
      <c r="ARM6" s="714">
        <v>0.16200000000000001</v>
      </c>
      <c r="ARN6" s="714">
        <v>0.153</v>
      </c>
      <c r="ARO6" s="714">
        <v>0.16800000000000001</v>
      </c>
      <c r="ARP6" s="714">
        <v>0.159</v>
      </c>
      <c r="ARQ6" s="714">
        <v>0.185</v>
      </c>
      <c r="ARR6" s="714">
        <v>0.16600000000000001</v>
      </c>
      <c r="ARS6" s="714">
        <v>0.16200000000000001</v>
      </c>
      <c r="ART6" s="714">
        <v>0.159</v>
      </c>
      <c r="ARU6" s="714">
        <v>0.17100000000000001</v>
      </c>
      <c r="ARV6" s="714">
        <v>0.16200000000000001</v>
      </c>
      <c r="ARW6" s="714">
        <v>0.152</v>
      </c>
      <c r="ARX6" s="714">
        <v>0.16</v>
      </c>
      <c r="ARY6" s="714">
        <v>0.161</v>
      </c>
      <c r="ARZ6" s="714">
        <v>0.16800000000000001</v>
      </c>
      <c r="ASA6" s="714">
        <v>0.16900000000000001</v>
      </c>
      <c r="ASB6" s="714">
        <v>0.17699999999999999</v>
      </c>
      <c r="ASC6" s="714">
        <v>0.157</v>
      </c>
      <c r="ASD6" s="714">
        <v>0.125</v>
      </c>
      <c r="ASE6" s="714">
        <v>0.16700000000000001</v>
      </c>
      <c r="ASF6" s="714">
        <v>0.16900000000000001</v>
      </c>
      <c r="ASG6" s="714">
        <v>0.16500000000000001</v>
      </c>
      <c r="ASH6" s="714">
        <v>0.16</v>
      </c>
      <c r="ASI6" s="714">
        <v>0.16700000000000001</v>
      </c>
      <c r="ASJ6" s="714">
        <v>0.17699999999999999</v>
      </c>
      <c r="ASK6" s="714">
        <v>0.16500000000000001</v>
      </c>
      <c r="ASL6" s="714">
        <v>0.159</v>
      </c>
      <c r="ASM6" s="714">
        <v>0.16200000000000001</v>
      </c>
      <c r="ASN6" s="714">
        <v>0.16800000000000001</v>
      </c>
      <c r="ASO6" s="714">
        <v>0.16</v>
      </c>
      <c r="ASP6" s="714">
        <v>0.16200000000000001</v>
      </c>
      <c r="ASQ6" s="714">
        <v>0.16</v>
      </c>
      <c r="ASR6" s="714">
        <v>0.16400000000000001</v>
      </c>
      <c r="ASS6" s="714">
        <v>0.16700000000000001</v>
      </c>
      <c r="AST6" s="714">
        <v>0.161</v>
      </c>
      <c r="ASU6" s="714">
        <v>0.185</v>
      </c>
      <c r="ASV6" s="714">
        <v>0.16500000000000001</v>
      </c>
      <c r="ASW6" s="714">
        <v>0.16900000000000001</v>
      </c>
      <c r="ASX6" s="714">
        <v>0.16500000000000001</v>
      </c>
      <c r="ASY6" s="714">
        <v>0.17199999999999999</v>
      </c>
      <c r="ASZ6" s="714">
        <v>0.16300000000000001</v>
      </c>
      <c r="ATA6" s="714">
        <v>0.161</v>
      </c>
      <c r="ATB6" s="714">
        <v>0.16</v>
      </c>
      <c r="ATC6" s="714">
        <v>0.16700000000000001</v>
      </c>
      <c r="ATD6" s="714">
        <v>0.16900000000000001</v>
      </c>
      <c r="ATE6" s="714">
        <v>0.17599999999999999</v>
      </c>
      <c r="ATF6" s="714">
        <v>0.157</v>
      </c>
      <c r="ATG6" s="714">
        <v>0.17</v>
      </c>
      <c r="ATH6" s="714">
        <v>0.16300000000000001</v>
      </c>
      <c r="ATI6" s="714">
        <v>0.16500000000000001</v>
      </c>
      <c r="ATJ6" s="714">
        <v>0.16500000000000001</v>
      </c>
      <c r="ATK6" s="714">
        <v>0.16500000000000001</v>
      </c>
      <c r="ATL6" s="714">
        <v>0.16500000000000001</v>
      </c>
      <c r="ATM6" s="714">
        <v>0.16500000000000001</v>
      </c>
      <c r="ATN6" s="714">
        <v>0.16200000000000001</v>
      </c>
      <c r="ATO6" s="714">
        <v>0.16400000000000001</v>
      </c>
      <c r="ATP6" s="714">
        <v>0.16200000000000001</v>
      </c>
      <c r="ATQ6" s="714">
        <v>0.154</v>
      </c>
      <c r="ATR6" s="714">
        <v>0.16300000000000001</v>
      </c>
      <c r="ATS6" s="714">
        <v>0.16500000000000001</v>
      </c>
      <c r="ATT6" s="714">
        <v>0.158</v>
      </c>
      <c r="ATU6" s="714">
        <v>0.16500000000000001</v>
      </c>
      <c r="ATV6" s="714">
        <v>0.16200000000000001</v>
      </c>
      <c r="ATW6" s="714">
        <v>0.155</v>
      </c>
      <c r="ATX6" s="714">
        <v>0.156</v>
      </c>
      <c r="ATY6" s="714">
        <v>0.16200000000000001</v>
      </c>
      <c r="ATZ6" s="714">
        <v>0.16500000000000001</v>
      </c>
      <c r="AUA6" s="714">
        <v>0.156</v>
      </c>
      <c r="AUB6" s="714">
        <v>0.14199999999999999</v>
      </c>
      <c r="AUC6" s="714">
        <v>0.155</v>
      </c>
      <c r="AUD6" s="714">
        <v>0.16300000000000001</v>
      </c>
      <c r="AUE6" s="714">
        <v>0.16200000000000001</v>
      </c>
      <c r="AUF6" s="714">
        <v>0.16200000000000001</v>
      </c>
      <c r="AUG6" s="714">
        <v>0.16200000000000001</v>
      </c>
      <c r="AUH6" s="714">
        <v>0.16200000000000001</v>
      </c>
      <c r="AUI6" s="714">
        <v>0.17199999999999999</v>
      </c>
      <c r="AUJ6" s="714">
        <v>0.17599999999999999</v>
      </c>
      <c r="AUK6" s="714">
        <v>0.17599999999999999</v>
      </c>
      <c r="AUL6" s="714">
        <v>0.16900000000000001</v>
      </c>
      <c r="AUM6" s="714">
        <v>0.16800000000000001</v>
      </c>
      <c r="AUN6" s="714">
        <v>0.16200000000000001</v>
      </c>
      <c r="AUO6" s="714">
        <v>0.17100000000000001</v>
      </c>
      <c r="AUP6" s="714">
        <v>0.16500000000000001</v>
      </c>
      <c r="AUQ6" s="714">
        <v>0.16700000000000001</v>
      </c>
      <c r="AUR6" s="714">
        <v>0.16200000000000001</v>
      </c>
      <c r="AUS6" s="714">
        <v>0.158</v>
      </c>
      <c r="AUT6" s="714">
        <v>0.16300000000000001</v>
      </c>
      <c r="AUU6" s="714">
        <v>0.16200000000000001</v>
      </c>
      <c r="AUV6" s="714">
        <v>0.16</v>
      </c>
      <c r="AUW6" s="714">
        <v>0.17</v>
      </c>
      <c r="AUX6" s="714">
        <v>0.16700000000000001</v>
      </c>
      <c r="AUY6" s="714">
        <v>0.17299999999999999</v>
      </c>
      <c r="AUZ6" s="714">
        <v>0.17599999999999999</v>
      </c>
      <c r="AVA6" s="714">
        <v>0.17199999999999999</v>
      </c>
      <c r="AVB6" s="714">
        <v>0.16900000000000001</v>
      </c>
      <c r="AVC6" s="714">
        <v>0.16700000000000001</v>
      </c>
      <c r="AVD6" s="714">
        <v>0.16500000000000001</v>
      </c>
      <c r="AVE6" s="714">
        <v>0.16700000000000001</v>
      </c>
      <c r="AVF6" s="714">
        <v>0.17</v>
      </c>
      <c r="AVG6" s="714">
        <v>0.17</v>
      </c>
      <c r="AVH6" s="714">
        <v>0.16400000000000001</v>
      </c>
      <c r="AVI6" s="714">
        <v>0.158</v>
      </c>
      <c r="AVJ6" s="714">
        <v>0.153</v>
      </c>
      <c r="AVK6" s="714">
        <v>0.16600000000000001</v>
      </c>
      <c r="AVL6" s="714">
        <v>0.16400000000000001</v>
      </c>
      <c r="AVM6" s="714">
        <v>0.16200000000000001</v>
      </c>
      <c r="AVN6" s="714">
        <v>0.16900000000000001</v>
      </c>
      <c r="AVO6" s="714">
        <v>0.16500000000000001</v>
      </c>
      <c r="AVP6" s="714">
        <v>1.67</v>
      </c>
      <c r="AVQ6" s="714">
        <v>0.17199999999999999</v>
      </c>
      <c r="AVR6" s="714">
        <v>0.16300000000000001</v>
      </c>
      <c r="AVS6" s="714">
        <v>0.16500000000000001</v>
      </c>
      <c r="AVT6" s="714">
        <v>0.16</v>
      </c>
      <c r="AVU6" s="714">
        <v>0.17100000000000001</v>
      </c>
      <c r="AVV6" s="714">
        <v>0.16600000000000001</v>
      </c>
      <c r="AVW6" s="714">
        <v>0.16200000000000001</v>
      </c>
      <c r="AVX6" s="714">
        <v>0.16300000000000001</v>
      </c>
      <c r="AVY6" s="714">
        <v>0.157</v>
      </c>
      <c r="AVZ6" s="714">
        <v>0.159</v>
      </c>
      <c r="AWA6" s="714">
        <v>0.16500000000000001</v>
      </c>
      <c r="AWB6" s="714">
        <v>0.17199999999999999</v>
      </c>
      <c r="AWC6" s="714">
        <v>0.16700000000000001</v>
      </c>
      <c r="AWD6" s="714">
        <v>0.16700000000000001</v>
      </c>
      <c r="AWE6" s="714">
        <v>0.152</v>
      </c>
      <c r="AWF6" s="714">
        <v>0.157</v>
      </c>
      <c r="AWG6" s="714">
        <v>0.16300000000000001</v>
      </c>
      <c r="AWH6" s="714">
        <v>0.17</v>
      </c>
      <c r="AWI6" s="714">
        <v>0.16600000000000001</v>
      </c>
      <c r="AWJ6" s="714">
        <v>0.159</v>
      </c>
      <c r="AWK6" s="714">
        <v>0.16300000000000001</v>
      </c>
      <c r="AWL6" s="714">
        <v>0.16900000000000001</v>
      </c>
      <c r="AWM6" s="714">
        <v>0.16800000000000001</v>
      </c>
      <c r="AWN6" s="714">
        <v>0.16400000000000001</v>
      </c>
      <c r="AWO6" s="714">
        <v>0.16900000000000001</v>
      </c>
      <c r="AWP6" s="714">
        <v>0.16200000000000001</v>
      </c>
      <c r="AWQ6" s="714">
        <v>0.17100000000000001</v>
      </c>
      <c r="AWR6" s="714">
        <v>0.16800000000000001</v>
      </c>
      <c r="AWS6" s="714">
        <v>0.17199999999999999</v>
      </c>
      <c r="AWT6" s="714">
        <v>0.16300000000000001</v>
      </c>
      <c r="AWU6" s="714">
        <v>0.16500000000000001</v>
      </c>
      <c r="AWV6" s="714">
        <v>0.16300000000000001</v>
      </c>
      <c r="AWW6" s="714">
        <v>0.16200000000000001</v>
      </c>
      <c r="AWX6" s="714">
        <v>0.16300000000000001</v>
      </c>
      <c r="AWY6" s="714">
        <v>0.16300000000000001</v>
      </c>
      <c r="AWZ6" s="714">
        <v>0.16200000000000001</v>
      </c>
      <c r="AXA6" s="714">
        <v>0.159</v>
      </c>
      <c r="AXB6" s="714">
        <v>0.161</v>
      </c>
      <c r="AXC6" s="714">
        <v>0.16300000000000001</v>
      </c>
      <c r="AXD6" s="714">
        <v>0.159</v>
      </c>
      <c r="AXE6" s="714">
        <v>0.16500000000000001</v>
      </c>
      <c r="AXF6" s="714">
        <v>0.16200000000000001</v>
      </c>
      <c r="AXG6" s="714">
        <v>0.16900000000000001</v>
      </c>
      <c r="AXH6" s="714">
        <v>0.17</v>
      </c>
      <c r="AXI6" s="714">
        <v>0.16700000000000001</v>
      </c>
      <c r="AXJ6" s="714">
        <v>0.159</v>
      </c>
      <c r="AXK6" s="714">
        <v>0.158</v>
      </c>
      <c r="AXL6" s="714">
        <v>0.16700000000000001</v>
      </c>
      <c r="AXM6" s="714">
        <v>0.16200000000000001</v>
      </c>
      <c r="AXN6" s="714">
        <v>0.157</v>
      </c>
      <c r="AXO6" s="714">
        <v>0.17</v>
      </c>
      <c r="AXP6" s="714">
        <v>0.17100000000000001</v>
      </c>
      <c r="AXQ6" s="714">
        <v>0.16300000000000001</v>
      </c>
      <c r="AXR6" s="714">
        <v>0.17100000000000001</v>
      </c>
      <c r="AXS6" s="714">
        <v>0.16900000000000001</v>
      </c>
      <c r="AXT6" s="714">
        <v>0.16700000000000001</v>
      </c>
      <c r="AXU6" s="714">
        <v>0.16900000000000001</v>
      </c>
      <c r="AXV6" s="714">
        <v>0.16400000000000001</v>
      </c>
      <c r="AXW6" s="714">
        <v>0.16400000000000001</v>
      </c>
      <c r="AXX6" s="714">
        <v>0.16200000000000001</v>
      </c>
      <c r="AXY6" s="714">
        <v>0.17</v>
      </c>
      <c r="AXZ6" s="714">
        <v>0.16500000000000001</v>
      </c>
      <c r="AYA6" s="714">
        <v>0.16200000000000001</v>
      </c>
      <c r="AYB6" s="714">
        <v>0.16200000000000001</v>
      </c>
      <c r="AYC6" s="714">
        <v>0.16</v>
      </c>
      <c r="AYD6" s="714">
        <v>0.16500000000000001</v>
      </c>
      <c r="AYE6" s="714">
        <v>0.156</v>
      </c>
      <c r="AYF6" s="714">
        <v>0.157</v>
      </c>
      <c r="AYG6" s="714">
        <v>0.161</v>
      </c>
      <c r="AYH6" s="714">
        <v>0.17699999999999999</v>
      </c>
      <c r="AYI6" s="714">
        <v>0.17100000000000001</v>
      </c>
      <c r="AYJ6" s="714">
        <v>0.18</v>
      </c>
      <c r="AYK6" s="714">
        <v>0.17199999999999999</v>
      </c>
      <c r="AYL6" s="714">
        <v>0.16400000000000001</v>
      </c>
      <c r="AYM6" s="714">
        <v>0.16800000000000001</v>
      </c>
      <c r="AYN6" s="714">
        <v>0.17100000000000001</v>
      </c>
      <c r="AYO6" s="714">
        <v>0.16800000000000001</v>
      </c>
      <c r="AYP6" s="714">
        <v>0.16800000000000001</v>
      </c>
      <c r="AYQ6" s="714">
        <v>0.16500000000000001</v>
      </c>
      <c r="AYR6" s="714">
        <v>0.16700000000000001</v>
      </c>
      <c r="AYS6" s="714">
        <v>0.16900000000000001</v>
      </c>
      <c r="AYT6" s="714">
        <v>0.16600000000000001</v>
      </c>
      <c r="AYU6" s="714">
        <v>0.17199999999999999</v>
      </c>
      <c r="AYV6" s="714">
        <v>0.16900000000000001</v>
      </c>
      <c r="AYW6" s="714">
        <v>0.17399999999999999</v>
      </c>
      <c r="AYX6" s="714">
        <v>0.17</v>
      </c>
      <c r="AYY6" s="714">
        <v>0.17499999999999999</v>
      </c>
      <c r="AYZ6" s="714">
        <v>0.16400000000000001</v>
      </c>
      <c r="AZA6" s="714">
        <v>0.16400000000000001</v>
      </c>
      <c r="AZB6" s="714">
        <v>0.17100000000000001</v>
      </c>
      <c r="AZC6" s="714">
        <v>0.17100000000000001</v>
      </c>
      <c r="AZD6" s="714">
        <v>0.16500000000000001</v>
      </c>
      <c r="AZE6" s="714">
        <v>0.159</v>
      </c>
      <c r="AZF6" s="714">
        <v>0.16400000000000001</v>
      </c>
      <c r="AZG6" s="714">
        <v>0.16200000000000001</v>
      </c>
      <c r="AZH6" s="714">
        <v>0.159</v>
      </c>
      <c r="AZI6" s="714">
        <v>0.161</v>
      </c>
      <c r="AZJ6" s="714">
        <v>0.159</v>
      </c>
      <c r="AZK6" s="714">
        <v>0.16500000000000001</v>
      </c>
      <c r="AZL6" s="714">
        <v>0.16600000000000001</v>
      </c>
      <c r="AZM6" s="714">
        <v>0.157</v>
      </c>
      <c r="AZN6" s="714">
        <v>0.16300000000000001</v>
      </c>
      <c r="AZO6" s="714">
        <v>0.16700000000000001</v>
      </c>
      <c r="AZP6" s="714">
        <v>0.157</v>
      </c>
      <c r="AZQ6" s="714">
        <v>0.16300000000000001</v>
      </c>
      <c r="AZR6" s="714">
        <v>0.161</v>
      </c>
      <c r="AZS6" s="714">
        <v>0.16700000000000001</v>
      </c>
      <c r="AZT6" s="714">
        <v>0.17100000000000001</v>
      </c>
      <c r="AZU6" s="714">
        <v>0.16900000000000001</v>
      </c>
      <c r="AZV6" s="714">
        <v>0.17199999999999999</v>
      </c>
      <c r="AZW6" s="714">
        <v>0.17100000000000001</v>
      </c>
      <c r="AZX6" s="714">
        <v>0.16800000000000001</v>
      </c>
      <c r="AZY6" s="714">
        <v>0.17199999999999999</v>
      </c>
      <c r="AZZ6" s="714">
        <v>0.16500000000000001</v>
      </c>
      <c r="BAA6" s="714">
        <v>0.16900000000000001</v>
      </c>
      <c r="BAB6" s="714">
        <v>0.16500000000000001</v>
      </c>
      <c r="BAC6" s="714">
        <v>0.16600000000000001</v>
      </c>
      <c r="BAD6" s="714">
        <v>0.16900000000000001</v>
      </c>
      <c r="BAE6" s="714">
        <v>0.16500000000000001</v>
      </c>
      <c r="BAF6" s="714">
        <v>0.16600000000000001</v>
      </c>
      <c r="BAG6" s="714">
        <v>0.16500000000000001</v>
      </c>
      <c r="BAH6" s="714">
        <v>0.16700000000000001</v>
      </c>
      <c r="BAI6" s="714">
        <v>0.161</v>
      </c>
      <c r="BAJ6" s="714">
        <v>0.17299999999999999</v>
      </c>
      <c r="BAK6" s="714">
        <v>0.16900000000000001</v>
      </c>
      <c r="BAL6" s="714">
        <v>0.16500000000000001</v>
      </c>
      <c r="BAM6" s="714">
        <v>0.159</v>
      </c>
      <c r="BAN6" s="714">
        <v>0.16400000000000001</v>
      </c>
      <c r="BAO6" s="714">
        <v>0.161</v>
      </c>
      <c r="BAP6" s="714">
        <v>0.155</v>
      </c>
      <c r="BAQ6" s="714">
        <v>0.156</v>
      </c>
      <c r="BAR6" s="714">
        <v>0.16300000000000001</v>
      </c>
      <c r="BAS6" s="714">
        <v>0.16900000000000001</v>
      </c>
      <c r="BAT6" s="714">
        <v>0.159</v>
      </c>
      <c r="BAU6" s="714">
        <v>0.17199999999999999</v>
      </c>
      <c r="BAV6" s="714">
        <v>0.17100000000000001</v>
      </c>
      <c r="BAW6" s="714">
        <v>0.17199999999999999</v>
      </c>
      <c r="BAX6" s="714">
        <v>0.17100000000000001</v>
      </c>
      <c r="BAY6" s="714">
        <v>0.16900000000000001</v>
      </c>
      <c r="BAZ6" s="1036">
        <v>0.17100000000000001</v>
      </c>
      <c r="BBA6" s="1036">
        <v>0.17199999999999999</v>
      </c>
      <c r="BBB6" s="1036">
        <v>0.16200000000000001</v>
      </c>
      <c r="BBC6" s="1036">
        <v>0.16300000000000001</v>
      </c>
      <c r="BBD6" s="1036">
        <v>0.16300000000000001</v>
      </c>
      <c r="BBE6" s="1036">
        <v>0.16300000000000001</v>
      </c>
      <c r="BBF6" s="1036">
        <v>0.16400000000000001</v>
      </c>
      <c r="BBG6" s="1036">
        <v>0.16200000000000001</v>
      </c>
      <c r="BBH6" s="1036">
        <v>0.16400000000000001</v>
      </c>
      <c r="BBI6" s="1036">
        <v>0.16500000000000001</v>
      </c>
      <c r="BBJ6" s="1036">
        <v>0.159</v>
      </c>
      <c r="BBK6" s="1036">
        <v>0.159</v>
      </c>
      <c r="BBL6" s="1036">
        <v>0.16900000000000001</v>
      </c>
      <c r="BBM6" s="1036">
        <v>0.16300000000000001</v>
      </c>
      <c r="BBN6" s="1036">
        <v>0.16500000000000001</v>
      </c>
      <c r="BBO6" s="1036">
        <v>0.16500000000000001</v>
      </c>
      <c r="BBP6" s="1036">
        <v>0.16500000000000001</v>
      </c>
      <c r="BBQ6" s="1036">
        <v>0.16700000000000001</v>
      </c>
      <c r="BBR6" s="1036">
        <v>0.16400000000000001</v>
      </c>
      <c r="BBS6" s="1036">
        <v>0.16700000000000001</v>
      </c>
      <c r="BBT6" s="1036">
        <v>0.158</v>
      </c>
      <c r="BBU6" s="1036">
        <v>0.16200000000000001</v>
      </c>
      <c r="BBV6" s="1036">
        <v>0.16</v>
      </c>
      <c r="BBW6" s="1036">
        <v>0.16300000000000001</v>
      </c>
      <c r="BBX6" s="1036">
        <v>0.17199999999999999</v>
      </c>
      <c r="BBY6" s="1036">
        <v>0.16900000000000001</v>
      </c>
      <c r="BBZ6" s="1036">
        <v>0.16900000000000001</v>
      </c>
      <c r="BCA6" s="1036">
        <v>0.16900000000000001</v>
      </c>
      <c r="BCB6" s="1036">
        <v>0.16900000000000001</v>
      </c>
      <c r="BCC6" s="1036">
        <v>0.16900000000000001</v>
      </c>
      <c r="BCD6" s="1036">
        <v>0.16700000000000001</v>
      </c>
      <c r="BCE6" s="1036">
        <v>0.16900000000000001</v>
      </c>
      <c r="BCF6" s="1036">
        <v>0.16500000000000001</v>
      </c>
      <c r="BCG6" s="1036">
        <v>0.16800000000000001</v>
      </c>
      <c r="BCH6" s="1036">
        <v>0.17</v>
      </c>
      <c r="BCI6" s="1036">
        <v>0.16800000000000001</v>
      </c>
      <c r="BCJ6" s="1036">
        <v>0.16500000000000001</v>
      </c>
      <c r="BCK6" s="1036">
        <v>0.16800000000000001</v>
      </c>
      <c r="BCL6" s="1036">
        <v>0.18</v>
      </c>
      <c r="BCM6" s="1036">
        <v>0.17499999999999999</v>
      </c>
      <c r="BCN6" s="1036">
        <v>0.16800000000000001</v>
      </c>
      <c r="BCO6" s="1036">
        <v>0.16900000000000001</v>
      </c>
      <c r="BCP6" s="1036">
        <v>0.17100000000000001</v>
      </c>
      <c r="BCQ6" s="1036">
        <v>0.16500000000000001</v>
      </c>
      <c r="BCR6" s="1036">
        <v>0.16500000000000001</v>
      </c>
      <c r="BCS6" s="1036">
        <v>0.16</v>
      </c>
      <c r="BCT6" s="1036">
        <v>0.16300000000000001</v>
      </c>
      <c r="BCU6" s="1036">
        <v>0.14799999999999999</v>
      </c>
      <c r="BCV6" s="1036">
        <v>0.15</v>
      </c>
      <c r="BCW6" s="1036">
        <v>0.158</v>
      </c>
      <c r="BCX6" s="1036">
        <v>0.161</v>
      </c>
      <c r="BCY6" s="1036">
        <v>0.16200000000000001</v>
      </c>
      <c r="BCZ6" s="1036">
        <v>0.16200000000000001</v>
      </c>
      <c r="BDA6" s="1036">
        <v>0.16500000000000001</v>
      </c>
      <c r="BDB6" s="1036">
        <v>0.16600000000000001</v>
      </c>
      <c r="BDC6" s="1036">
        <v>0.16400000000000001</v>
      </c>
      <c r="BDD6" s="1036">
        <v>0.16800000000000001</v>
      </c>
      <c r="BDE6" s="1036">
        <v>0.17100000000000001</v>
      </c>
      <c r="BDF6" s="1036">
        <v>0.16900000000000001</v>
      </c>
      <c r="BDG6" s="1036">
        <v>0.16500000000000001</v>
      </c>
      <c r="BDH6" s="1036">
        <v>0.16900000000000001</v>
      </c>
      <c r="BDI6" s="1036">
        <v>0.16900000000000001</v>
      </c>
      <c r="BDJ6" s="1036">
        <v>0.17</v>
      </c>
      <c r="BDK6" s="1036">
        <v>0.17</v>
      </c>
      <c r="BDL6" s="1036">
        <v>0.16400000000000001</v>
      </c>
      <c r="BDM6" s="1036">
        <v>0.17</v>
      </c>
      <c r="BDN6" s="1036">
        <v>0.17599999999999999</v>
      </c>
      <c r="BDO6" s="1036">
        <v>0.17499999999999999</v>
      </c>
      <c r="BDP6" s="1036">
        <v>0.17199999999999999</v>
      </c>
      <c r="BDQ6" s="1036">
        <v>0.17199999999999999</v>
      </c>
      <c r="BDR6" s="1036">
        <v>0.16500000000000001</v>
      </c>
      <c r="BDS6" s="1036">
        <v>0.16300000000000001</v>
      </c>
      <c r="BDT6" s="1036">
        <v>0.16500000000000001</v>
      </c>
      <c r="BDU6" s="1036">
        <v>0.16</v>
      </c>
      <c r="BDV6" s="1036">
        <v>0.16200000000000001</v>
      </c>
      <c r="BDW6" s="1036">
        <v>0.16900000000000001</v>
      </c>
      <c r="BDX6" s="1036">
        <v>0.17100000000000001</v>
      </c>
      <c r="BDY6" s="1036">
        <v>0.16900000000000001</v>
      </c>
      <c r="BDZ6" s="1036">
        <v>0.17199999999999999</v>
      </c>
      <c r="BEA6" s="1036">
        <v>0.17299999999999999</v>
      </c>
      <c r="BEB6" s="1036">
        <v>0.17100000000000001</v>
      </c>
      <c r="BEC6" s="1036">
        <v>0.17699999999999999</v>
      </c>
      <c r="BED6" s="1036">
        <v>0.17899999999999999</v>
      </c>
      <c r="BEE6" s="1036">
        <v>0.17899999999999999</v>
      </c>
      <c r="BEF6" s="1036">
        <v>0.18099999999999999</v>
      </c>
      <c r="BEG6" s="1036">
        <v>0.17899999999999999</v>
      </c>
      <c r="BEH6" s="1036">
        <v>0.17799999999999999</v>
      </c>
      <c r="BEI6" s="1036">
        <v>0.16600000000000001</v>
      </c>
      <c r="BEJ6" s="1036">
        <v>0.17</v>
      </c>
      <c r="BEK6" s="1036">
        <v>0.17</v>
      </c>
      <c r="BEL6" s="1036">
        <v>0.17</v>
      </c>
      <c r="BEM6" s="1036">
        <v>0.17199999999999999</v>
      </c>
      <c r="BEN6" s="1036">
        <v>0.17499999999999999</v>
      </c>
      <c r="BEO6" s="1036">
        <v>0.17</v>
      </c>
      <c r="BEP6" s="1036">
        <v>0.16800000000000001</v>
      </c>
      <c r="BEQ6" s="1036">
        <v>0.17199999999999999</v>
      </c>
      <c r="BER6" s="1036">
        <v>0.17199999999999999</v>
      </c>
      <c r="BES6" s="1036">
        <v>0.16800000000000001</v>
      </c>
      <c r="BET6" s="1036">
        <v>0.17199999999999999</v>
      </c>
      <c r="BEU6" s="1036">
        <v>0.17499999999999999</v>
      </c>
      <c r="BEV6" s="1036">
        <v>0.16800000000000001</v>
      </c>
      <c r="BEW6" s="1036">
        <v>0.16900000000000001</v>
      </c>
      <c r="BEX6" s="1036">
        <v>0.151</v>
      </c>
      <c r="BEY6" s="1036">
        <v>0.158</v>
      </c>
      <c r="BEZ6" s="1036">
        <v>0.156</v>
      </c>
      <c r="BFA6" s="1036">
        <v>0.151</v>
      </c>
      <c r="BFB6" s="1036">
        <v>0.154</v>
      </c>
      <c r="BFC6" s="1036">
        <v>0.161</v>
      </c>
      <c r="BFD6" s="1036">
        <v>0.16500000000000001</v>
      </c>
      <c r="BFE6" s="1036">
        <v>0.16300000000000001</v>
      </c>
      <c r="BFF6" s="1036">
        <v>0.16600000000000001</v>
      </c>
      <c r="BFG6" s="1036">
        <v>0.16400000000000001</v>
      </c>
      <c r="BFH6" s="1036">
        <v>0.16800000000000001</v>
      </c>
      <c r="BFI6" s="1036">
        <v>0.16600000000000001</v>
      </c>
      <c r="BFJ6" s="1036">
        <v>0.17100000000000001</v>
      </c>
      <c r="BFK6" s="1036">
        <v>0.16900000000000001</v>
      </c>
      <c r="BFL6" s="1036">
        <v>0.17499999999999999</v>
      </c>
      <c r="BFM6" s="1036">
        <v>0.16500000000000001</v>
      </c>
      <c r="BFN6" s="1036">
        <v>0.16600000000000001</v>
      </c>
      <c r="BFO6" s="1036">
        <v>0.16700000000000001</v>
      </c>
      <c r="BFP6" s="1036">
        <v>0.16500000000000001</v>
      </c>
      <c r="BFQ6" s="1036">
        <v>0.16700000000000001</v>
      </c>
      <c r="BFR6" s="1036">
        <v>0.16700000000000001</v>
      </c>
      <c r="BFS6" s="1036">
        <v>0.16700000000000001</v>
      </c>
      <c r="BFT6" s="1036">
        <v>0.161</v>
      </c>
      <c r="BFU6" s="1036">
        <v>0.16200000000000001</v>
      </c>
      <c r="BFV6" s="1036">
        <v>0.16500000000000001</v>
      </c>
      <c r="BFW6" s="1036">
        <v>0.16800000000000001</v>
      </c>
      <c r="BFX6" s="1036">
        <v>0.17100000000000001</v>
      </c>
      <c r="BFY6" s="1036">
        <v>0.16500000000000001</v>
      </c>
      <c r="BFZ6" s="1036">
        <v>0.17199999999999999</v>
      </c>
      <c r="BGA6" s="1036">
        <v>0.17199999999999999</v>
      </c>
      <c r="BGB6" s="1036">
        <v>0.16800000000000001</v>
      </c>
      <c r="BGC6" s="1036">
        <v>0.16700000000000001</v>
      </c>
      <c r="BGD6" s="1036">
        <v>0.16500000000000001</v>
      </c>
      <c r="BGE6" s="1036">
        <v>0.16700000000000001</v>
      </c>
      <c r="BGF6" s="1036">
        <v>0.16600000000000001</v>
      </c>
      <c r="BGG6" s="1036">
        <v>0.16800000000000001</v>
      </c>
      <c r="BGH6" s="1036">
        <v>0.16700000000000001</v>
      </c>
      <c r="BGI6" s="1036">
        <v>0.16900000000000001</v>
      </c>
      <c r="BGJ6" s="1036">
        <v>0.16700000000000001</v>
      </c>
      <c r="BGK6" s="1036">
        <v>0.17100000000000001</v>
      </c>
      <c r="BGL6" s="1036">
        <v>0.16500000000000001</v>
      </c>
      <c r="BGM6" s="1036" t="s">
        <v>8</v>
      </c>
      <c r="BGN6" s="1036" t="s">
        <v>8</v>
      </c>
      <c r="BGO6" s="1036" t="s">
        <v>8</v>
      </c>
      <c r="BGP6" s="1036" t="s">
        <v>8</v>
      </c>
      <c r="BGQ6" s="1036" t="s">
        <v>8</v>
      </c>
      <c r="BGR6" s="1036" t="s">
        <v>8</v>
      </c>
      <c r="BGS6" s="1036" t="s">
        <v>8</v>
      </c>
      <c r="BGT6" s="1036" t="s">
        <v>8</v>
      </c>
      <c r="BGU6" s="1036" t="s">
        <v>8</v>
      </c>
      <c r="BGV6" s="1036" t="s">
        <v>8</v>
      </c>
      <c r="BGW6" s="1036" t="s">
        <v>8</v>
      </c>
      <c r="BGX6" s="1036" t="s">
        <v>8</v>
      </c>
      <c r="BGY6" s="1036" t="s">
        <v>8</v>
      </c>
      <c r="BGZ6" s="1036" t="s">
        <v>8</v>
      </c>
      <c r="BHA6" s="1036" t="s">
        <v>8</v>
      </c>
      <c r="BHB6" s="1036" t="s">
        <v>8</v>
      </c>
      <c r="BHC6" s="1036" t="s">
        <v>8</v>
      </c>
      <c r="BHD6" s="1036" t="s">
        <v>8</v>
      </c>
      <c r="BHE6" s="1036" t="s">
        <v>8</v>
      </c>
      <c r="BHF6" s="1036" t="s">
        <v>8</v>
      </c>
      <c r="BHG6" s="1036" t="s">
        <v>8</v>
      </c>
      <c r="BHH6" s="1036" t="s">
        <v>8</v>
      </c>
      <c r="BHI6" s="1036" t="s">
        <v>8</v>
      </c>
      <c r="BHJ6" s="1036" t="s">
        <v>8</v>
      </c>
      <c r="BHK6" s="1036" t="s">
        <v>8</v>
      </c>
      <c r="BHL6" s="1036" t="s">
        <v>8</v>
      </c>
      <c r="BHM6" s="1036" t="s">
        <v>8</v>
      </c>
      <c r="BHN6" s="1036" t="s">
        <v>8</v>
      </c>
      <c r="BHO6" s="1036" t="s">
        <v>8</v>
      </c>
      <c r="BHP6" s="1036" t="s">
        <v>8</v>
      </c>
      <c r="BHQ6" s="1036" t="s">
        <v>8</v>
      </c>
      <c r="BHR6" s="1036" t="s">
        <v>8</v>
      </c>
      <c r="BHS6" s="1036" t="s">
        <v>8</v>
      </c>
      <c r="BHT6" s="1036" t="s">
        <v>8</v>
      </c>
      <c r="BHU6" s="1036" t="s">
        <v>8</v>
      </c>
      <c r="BHV6" s="1037"/>
      <c r="BHW6" s="1037"/>
      <c r="BHX6" s="1037"/>
      <c r="BHY6" s="1037"/>
      <c r="BHZ6" s="1037"/>
      <c r="BIA6" s="1037"/>
      <c r="BIB6" s="1037"/>
      <c r="BIC6" s="1037"/>
      <c r="BID6" s="1037"/>
      <c r="BIE6" s="1037"/>
      <c r="BIF6" s="1037"/>
      <c r="BIG6" s="1037"/>
      <c r="BIH6" s="1037"/>
      <c r="BII6" s="1037"/>
      <c r="BIJ6" s="1037"/>
      <c r="BIK6" s="1037"/>
      <c r="BIL6" s="1037"/>
      <c r="BIM6" s="1037"/>
      <c r="BIN6" s="1037"/>
      <c r="BIO6" s="1037"/>
      <c r="BIP6" s="1037"/>
      <c r="BIQ6" s="1037"/>
      <c r="BIR6" s="1037"/>
      <c r="BIS6" s="1037"/>
      <c r="BIT6" s="1037"/>
      <c r="BIU6" s="1037"/>
      <c r="BIV6" s="1037"/>
      <c r="BIW6" s="1037"/>
      <c r="BIX6" s="1037"/>
      <c r="BIY6" s="1037"/>
      <c r="BIZ6" s="1037"/>
      <c r="BJA6" s="1037"/>
      <c r="BJB6" s="1037"/>
      <c r="BJC6" s="1037"/>
    </row>
    <row r="7" spans="1:1615" ht="43.5" customHeight="1" x14ac:dyDescent="0.2">
      <c r="A7" s="1"/>
      <c r="B7" s="1"/>
      <c r="C7" s="1"/>
      <c r="D7" s="1"/>
      <c r="E7" s="51"/>
      <c r="F7" s="51"/>
      <c r="G7" s="51"/>
      <c r="H7" s="1134">
        <v>42037</v>
      </c>
      <c r="I7" s="1038">
        <v>42038</v>
      </c>
      <c r="J7" s="1038">
        <v>42039</v>
      </c>
      <c r="K7" s="1038">
        <v>42040</v>
      </c>
      <c r="L7" s="1038">
        <v>42041</v>
      </c>
      <c r="M7" s="1038">
        <v>42042</v>
      </c>
      <c r="N7" s="1038">
        <v>42043</v>
      </c>
      <c r="O7" s="1038">
        <v>42044</v>
      </c>
      <c r="P7" s="1038">
        <v>42045</v>
      </c>
      <c r="Q7" s="1038">
        <v>42046</v>
      </c>
      <c r="R7" s="1038">
        <v>42047</v>
      </c>
      <c r="S7" s="1038">
        <v>42048</v>
      </c>
      <c r="T7" s="1038">
        <v>42049</v>
      </c>
      <c r="U7" s="1038">
        <v>42050</v>
      </c>
      <c r="V7" s="1038">
        <v>42051</v>
      </c>
      <c r="W7" s="1038">
        <v>42052</v>
      </c>
      <c r="X7" s="1038">
        <v>42053</v>
      </c>
      <c r="Y7" s="1038">
        <v>42054</v>
      </c>
      <c r="Z7" s="1038">
        <v>42055</v>
      </c>
      <c r="AA7" s="1038">
        <v>42056</v>
      </c>
      <c r="AB7" s="1038">
        <v>42057</v>
      </c>
      <c r="AC7" s="1038">
        <v>42058</v>
      </c>
      <c r="AD7" s="1038">
        <v>42059</v>
      </c>
      <c r="AE7" s="1038">
        <v>42060</v>
      </c>
      <c r="AF7" s="1038">
        <v>42061</v>
      </c>
      <c r="AG7" s="1038">
        <v>42062</v>
      </c>
      <c r="AH7" s="1038">
        <v>42063</v>
      </c>
      <c r="AI7" s="1038">
        <v>42064</v>
      </c>
      <c r="AJ7" s="1038">
        <v>42065</v>
      </c>
      <c r="AK7" s="1038">
        <v>42066</v>
      </c>
      <c r="AL7" s="1038">
        <v>42067</v>
      </c>
      <c r="AM7" s="1038">
        <v>42068</v>
      </c>
      <c r="AN7" s="1038">
        <v>42069</v>
      </c>
      <c r="AO7" s="1038">
        <v>42070</v>
      </c>
      <c r="AP7" s="1038">
        <v>42071</v>
      </c>
      <c r="AQ7" s="1038">
        <v>42072</v>
      </c>
      <c r="AR7" s="1038">
        <v>42073</v>
      </c>
      <c r="AS7" s="1038">
        <v>42074</v>
      </c>
      <c r="AT7" s="1038">
        <v>42075</v>
      </c>
      <c r="AU7" s="1038">
        <v>42076</v>
      </c>
      <c r="AV7" s="1038">
        <v>42077</v>
      </c>
      <c r="AW7" s="1038">
        <v>42078</v>
      </c>
      <c r="AX7" s="1038">
        <v>42079</v>
      </c>
      <c r="AY7" s="1038">
        <v>42080</v>
      </c>
      <c r="AZ7" s="1038">
        <v>42081</v>
      </c>
      <c r="BA7" s="1038">
        <v>42082</v>
      </c>
      <c r="BB7" s="1038">
        <v>42083</v>
      </c>
      <c r="BC7" s="1038">
        <v>42084</v>
      </c>
      <c r="BD7" s="1038">
        <v>42085</v>
      </c>
      <c r="BE7" s="1038">
        <v>42086</v>
      </c>
      <c r="BF7" s="1038">
        <v>42087</v>
      </c>
      <c r="BG7" s="1038">
        <v>42088</v>
      </c>
      <c r="BH7" s="1038">
        <v>42089</v>
      </c>
      <c r="BI7" s="1038">
        <v>42090</v>
      </c>
      <c r="BJ7" s="1038">
        <v>42091</v>
      </c>
      <c r="BK7" s="1038">
        <v>42092</v>
      </c>
      <c r="BL7" s="1038">
        <v>42093</v>
      </c>
      <c r="BM7" s="1038">
        <v>42094</v>
      </c>
      <c r="BN7" s="1038">
        <v>42095</v>
      </c>
      <c r="BO7" s="1038">
        <v>42096</v>
      </c>
      <c r="BP7" s="1038">
        <v>42097</v>
      </c>
      <c r="BQ7" s="1038">
        <v>42098</v>
      </c>
      <c r="BR7" s="1038">
        <v>42099</v>
      </c>
      <c r="BS7" s="1038">
        <v>42100</v>
      </c>
      <c r="BT7" s="1038">
        <v>42101</v>
      </c>
      <c r="BU7" s="1038">
        <v>42102</v>
      </c>
      <c r="BV7" s="1038">
        <v>42103</v>
      </c>
      <c r="BW7" s="1038">
        <v>42104</v>
      </c>
      <c r="BX7" s="1038">
        <v>42105</v>
      </c>
      <c r="BY7" s="1038">
        <v>42106</v>
      </c>
      <c r="BZ7" s="1038">
        <v>42107</v>
      </c>
      <c r="CA7" s="1038">
        <v>42108</v>
      </c>
      <c r="CB7" s="1038">
        <v>42109</v>
      </c>
      <c r="CC7" s="1038">
        <v>42110</v>
      </c>
      <c r="CD7" s="1038">
        <v>42111</v>
      </c>
      <c r="CE7" s="1038">
        <v>42112</v>
      </c>
      <c r="CF7" s="1038">
        <v>42113</v>
      </c>
      <c r="CG7" s="1038">
        <v>42114</v>
      </c>
      <c r="CH7" s="1038">
        <v>42115</v>
      </c>
      <c r="CI7" s="1038">
        <v>42116</v>
      </c>
      <c r="CJ7" s="1038">
        <v>42117</v>
      </c>
      <c r="CK7" s="1038">
        <v>42118</v>
      </c>
      <c r="CL7" s="1038">
        <v>42119</v>
      </c>
      <c r="CM7" s="1038">
        <v>42120</v>
      </c>
      <c r="CN7" s="1038">
        <v>42121</v>
      </c>
      <c r="CO7" s="1038">
        <v>42122</v>
      </c>
      <c r="CP7" s="1038">
        <v>42123</v>
      </c>
      <c r="CQ7" s="1038">
        <v>42124</v>
      </c>
      <c r="CR7" s="1038">
        <v>42125</v>
      </c>
      <c r="CS7" s="1038">
        <v>42126</v>
      </c>
      <c r="CT7" s="1038">
        <v>42127</v>
      </c>
      <c r="CU7" s="1038">
        <v>42128</v>
      </c>
      <c r="CV7" s="1038">
        <v>42129</v>
      </c>
      <c r="CW7" s="1038">
        <v>42130</v>
      </c>
      <c r="CX7" s="1038">
        <v>42131</v>
      </c>
      <c r="CY7" s="1038">
        <v>42132</v>
      </c>
      <c r="CZ7" s="1038">
        <v>42133</v>
      </c>
      <c r="DA7" s="1038">
        <v>42134</v>
      </c>
      <c r="DB7" s="1038">
        <v>42135</v>
      </c>
      <c r="DC7" s="1038">
        <v>42136</v>
      </c>
      <c r="DD7" s="1038">
        <v>42137</v>
      </c>
      <c r="DE7" s="1038">
        <v>42138</v>
      </c>
      <c r="DF7" s="1038">
        <v>42139</v>
      </c>
      <c r="DG7" s="1038">
        <v>42140</v>
      </c>
      <c r="DH7" s="1038">
        <v>42141</v>
      </c>
      <c r="DI7" s="1038">
        <v>42142</v>
      </c>
      <c r="DJ7" s="1038">
        <v>42143</v>
      </c>
      <c r="DK7" s="1038">
        <v>42144</v>
      </c>
      <c r="DL7" s="1038">
        <v>42145</v>
      </c>
      <c r="DM7" s="1038">
        <v>42146</v>
      </c>
      <c r="DN7" s="1038">
        <v>42147</v>
      </c>
      <c r="DO7" s="1038">
        <v>42148</v>
      </c>
      <c r="DP7" s="1038">
        <v>42149</v>
      </c>
      <c r="DQ7" s="1038">
        <v>42150</v>
      </c>
      <c r="DR7" s="1038">
        <v>42151</v>
      </c>
      <c r="DS7" s="1038">
        <v>42152</v>
      </c>
      <c r="DT7" s="1038">
        <v>42153</v>
      </c>
      <c r="DU7" s="1038">
        <v>42154</v>
      </c>
      <c r="DV7" s="1038">
        <v>42155</v>
      </c>
      <c r="DW7" s="1038">
        <v>42156</v>
      </c>
      <c r="DX7" s="1038">
        <v>42157</v>
      </c>
      <c r="DY7" s="1038">
        <v>42158</v>
      </c>
      <c r="DZ7" s="1038">
        <v>42159</v>
      </c>
      <c r="EA7" s="1038">
        <v>42160</v>
      </c>
      <c r="EB7" s="1038">
        <v>42161</v>
      </c>
      <c r="EC7" s="1038">
        <v>42162</v>
      </c>
      <c r="ED7" s="1038">
        <v>42163</v>
      </c>
      <c r="EE7" s="1038">
        <v>42164</v>
      </c>
      <c r="EF7" s="1038">
        <v>42165</v>
      </c>
      <c r="EG7" s="1038">
        <v>42166</v>
      </c>
      <c r="EH7" s="1038">
        <v>42167</v>
      </c>
      <c r="EI7" s="1038">
        <v>42168</v>
      </c>
      <c r="EJ7" s="1038">
        <v>42169</v>
      </c>
      <c r="EK7" s="1038">
        <v>42170</v>
      </c>
      <c r="EL7" s="1038">
        <v>42171</v>
      </c>
      <c r="EM7" s="1038">
        <v>42172</v>
      </c>
      <c r="EN7" s="1038">
        <v>42173</v>
      </c>
      <c r="EO7" s="1038">
        <v>42174</v>
      </c>
      <c r="EP7" s="1038">
        <v>42175</v>
      </c>
      <c r="EQ7" s="1038">
        <v>42176</v>
      </c>
      <c r="ER7" s="1038">
        <v>42177</v>
      </c>
      <c r="ES7" s="1038">
        <v>42178</v>
      </c>
      <c r="ET7" s="1038">
        <v>42179</v>
      </c>
      <c r="EU7" s="1038">
        <v>42180</v>
      </c>
      <c r="EV7" s="1038">
        <v>42181</v>
      </c>
      <c r="EW7" s="1038">
        <v>42182</v>
      </c>
      <c r="EX7" s="1038">
        <v>42183</v>
      </c>
      <c r="EY7" s="1038">
        <v>42184</v>
      </c>
      <c r="EZ7" s="1038">
        <v>42185</v>
      </c>
      <c r="FA7" s="1038">
        <v>42186</v>
      </c>
      <c r="FB7" s="1038">
        <v>42187</v>
      </c>
      <c r="FC7" s="1038">
        <v>42188</v>
      </c>
      <c r="FD7" s="1038">
        <v>42189</v>
      </c>
      <c r="FE7" s="1038">
        <v>42190</v>
      </c>
      <c r="FF7" s="1038">
        <v>42191</v>
      </c>
      <c r="FG7" s="1038">
        <v>42192</v>
      </c>
      <c r="FH7" s="1038">
        <v>42193</v>
      </c>
      <c r="FI7" s="1038">
        <v>42194</v>
      </c>
      <c r="FJ7" s="1038">
        <v>42195</v>
      </c>
      <c r="FK7" s="1038">
        <v>42196</v>
      </c>
      <c r="FL7" s="1038">
        <v>42197</v>
      </c>
      <c r="FM7" s="1038">
        <v>42198</v>
      </c>
      <c r="FN7" s="1038">
        <v>42199</v>
      </c>
      <c r="FO7" s="1038">
        <v>42200</v>
      </c>
      <c r="FP7" s="1038">
        <v>42201</v>
      </c>
      <c r="FQ7" s="1038">
        <v>42202</v>
      </c>
      <c r="FR7" s="1038">
        <v>42203</v>
      </c>
      <c r="FS7" s="1038">
        <v>42204</v>
      </c>
      <c r="FT7" s="1038">
        <v>42205</v>
      </c>
      <c r="FU7" s="1038">
        <v>42206</v>
      </c>
      <c r="FV7" s="1038">
        <v>42207</v>
      </c>
      <c r="FW7" s="1038">
        <v>42208</v>
      </c>
      <c r="FX7" s="1038">
        <v>42209</v>
      </c>
      <c r="FY7" s="1038">
        <v>42210</v>
      </c>
      <c r="FZ7" s="1038">
        <v>42211</v>
      </c>
      <c r="GA7" s="1038">
        <v>42212</v>
      </c>
      <c r="GB7" s="1038">
        <v>42213</v>
      </c>
      <c r="GC7" s="1038">
        <v>42214</v>
      </c>
      <c r="GD7" s="1038">
        <v>42215</v>
      </c>
      <c r="GE7" s="1038">
        <v>42216</v>
      </c>
      <c r="GF7" s="1038">
        <v>42217</v>
      </c>
      <c r="GG7" s="1038">
        <v>42218</v>
      </c>
      <c r="GH7" s="1038">
        <v>42219</v>
      </c>
      <c r="GI7" s="1038">
        <v>42220</v>
      </c>
      <c r="GJ7" s="1038">
        <v>42221</v>
      </c>
      <c r="GK7" s="1038">
        <v>42222</v>
      </c>
      <c r="GL7" s="1038">
        <v>42223</v>
      </c>
      <c r="GM7" s="1038">
        <v>42224</v>
      </c>
      <c r="GN7" s="1038">
        <v>42225</v>
      </c>
      <c r="GO7" s="1038">
        <v>42226</v>
      </c>
      <c r="GP7" s="1038">
        <v>42227</v>
      </c>
      <c r="GQ7" s="1038">
        <v>42228</v>
      </c>
      <c r="GR7" s="1038">
        <v>42229</v>
      </c>
      <c r="GS7" s="1038">
        <v>42230</v>
      </c>
      <c r="GT7" s="1038">
        <v>42231</v>
      </c>
      <c r="GU7" s="1038">
        <v>42232</v>
      </c>
      <c r="GV7" s="1038">
        <v>42233</v>
      </c>
      <c r="GW7" s="1038">
        <v>42234</v>
      </c>
      <c r="GX7" s="1038">
        <v>42235</v>
      </c>
      <c r="GY7" s="1038">
        <v>42236</v>
      </c>
      <c r="GZ7" s="1038">
        <v>42237</v>
      </c>
      <c r="HA7" s="1038">
        <v>42238</v>
      </c>
      <c r="HB7" s="1038">
        <v>42239</v>
      </c>
      <c r="HC7" s="1038">
        <v>42240</v>
      </c>
      <c r="HD7" s="1038">
        <v>42241</v>
      </c>
      <c r="HE7" s="1038">
        <v>42242</v>
      </c>
      <c r="HF7" s="1038">
        <v>42243</v>
      </c>
      <c r="HG7" s="1038">
        <v>42244</v>
      </c>
      <c r="HH7" s="1038">
        <v>42245</v>
      </c>
      <c r="HI7" s="1038">
        <v>42246</v>
      </c>
      <c r="HJ7" s="1038">
        <v>42247</v>
      </c>
      <c r="HK7" s="1038">
        <v>42248</v>
      </c>
      <c r="HL7" s="1038">
        <v>42249</v>
      </c>
      <c r="HM7" s="1038">
        <v>42250</v>
      </c>
      <c r="HN7" s="1038">
        <v>42251</v>
      </c>
      <c r="HO7" s="1038">
        <v>42252</v>
      </c>
      <c r="HP7" s="1038">
        <v>42253</v>
      </c>
      <c r="HQ7" s="1038">
        <v>42254</v>
      </c>
      <c r="HR7" s="1038">
        <v>42255</v>
      </c>
      <c r="HS7" s="1038">
        <v>42256</v>
      </c>
      <c r="HT7" s="1038">
        <v>42257</v>
      </c>
      <c r="HU7" s="1038">
        <v>42258</v>
      </c>
      <c r="HV7" s="1038">
        <v>42259</v>
      </c>
      <c r="HW7" s="1038">
        <v>42260</v>
      </c>
      <c r="HX7" s="1038">
        <v>42261</v>
      </c>
      <c r="HY7" s="1038">
        <v>42262</v>
      </c>
      <c r="HZ7" s="1038">
        <v>42263</v>
      </c>
      <c r="IA7" s="1038">
        <v>42264</v>
      </c>
      <c r="IB7" s="1038">
        <v>42265</v>
      </c>
      <c r="IC7" s="1038">
        <v>42266</v>
      </c>
      <c r="ID7" s="1038">
        <v>42267</v>
      </c>
      <c r="IE7" s="1038">
        <v>42268</v>
      </c>
      <c r="IF7" s="1038">
        <v>42269</v>
      </c>
      <c r="IG7" s="1038">
        <v>42270</v>
      </c>
      <c r="IH7" s="1038">
        <v>42271</v>
      </c>
      <c r="II7" s="1038">
        <v>42272</v>
      </c>
      <c r="IJ7" s="1038">
        <v>42273</v>
      </c>
      <c r="IK7" s="1038">
        <v>42274</v>
      </c>
      <c r="IL7" s="1038">
        <v>42275</v>
      </c>
      <c r="IM7" s="1038">
        <v>42276</v>
      </c>
      <c r="IN7" s="1038">
        <v>42277</v>
      </c>
      <c r="IO7" s="1038">
        <v>42278</v>
      </c>
      <c r="IP7" s="1038">
        <v>42279</v>
      </c>
      <c r="IQ7" s="1038">
        <v>42280</v>
      </c>
      <c r="IR7" s="1038">
        <v>42281</v>
      </c>
      <c r="IS7" s="1038">
        <v>42282</v>
      </c>
      <c r="IT7" s="1038">
        <v>42283</v>
      </c>
      <c r="IU7" s="1038">
        <v>42284</v>
      </c>
      <c r="IV7" s="1038">
        <v>42285</v>
      </c>
      <c r="IW7" s="1038">
        <v>42286</v>
      </c>
      <c r="IX7" s="1038">
        <v>42287</v>
      </c>
      <c r="IY7" s="1038">
        <v>42288</v>
      </c>
      <c r="IZ7" s="1038">
        <v>42289</v>
      </c>
      <c r="JA7" s="1038">
        <v>42290</v>
      </c>
      <c r="JB7" s="1038">
        <v>42291</v>
      </c>
      <c r="JC7" s="1038">
        <v>42292</v>
      </c>
      <c r="JD7" s="1038">
        <v>42293</v>
      </c>
      <c r="JE7" s="1038">
        <v>42294</v>
      </c>
      <c r="JF7" s="1038">
        <v>42295</v>
      </c>
      <c r="JG7" s="1038">
        <v>42296</v>
      </c>
      <c r="JH7" s="1038">
        <v>42297</v>
      </c>
      <c r="JI7" s="1038">
        <v>42298</v>
      </c>
      <c r="JJ7" s="1038">
        <v>42299</v>
      </c>
      <c r="JK7" s="1038">
        <v>42300</v>
      </c>
      <c r="JL7" s="1038">
        <v>42301</v>
      </c>
      <c r="JM7" s="1038">
        <v>42302</v>
      </c>
      <c r="JN7" s="1038">
        <v>42303</v>
      </c>
      <c r="JO7" s="1038">
        <v>42304</v>
      </c>
      <c r="JP7" s="1038">
        <v>42305</v>
      </c>
      <c r="JQ7" s="1038">
        <v>42306</v>
      </c>
      <c r="JR7" s="1038">
        <v>42307</v>
      </c>
      <c r="JS7" s="1038">
        <v>42308</v>
      </c>
      <c r="JT7" s="1038">
        <v>42309</v>
      </c>
      <c r="JU7" s="1038">
        <v>42310</v>
      </c>
      <c r="JV7" s="1038">
        <v>42311</v>
      </c>
      <c r="JW7" s="1038">
        <v>42312</v>
      </c>
      <c r="JX7" s="1038">
        <v>42313</v>
      </c>
      <c r="JY7" s="1038">
        <v>42314</v>
      </c>
      <c r="JZ7" s="1038">
        <v>42315</v>
      </c>
      <c r="KA7" s="1038">
        <v>42316</v>
      </c>
      <c r="KB7" s="1038">
        <v>42317</v>
      </c>
      <c r="KC7" s="1038">
        <v>42318</v>
      </c>
      <c r="KD7" s="1038">
        <v>42319</v>
      </c>
      <c r="KE7" s="1038">
        <v>42320</v>
      </c>
      <c r="KF7" s="1038">
        <v>42321</v>
      </c>
      <c r="KG7" s="1038">
        <v>42322</v>
      </c>
      <c r="KH7" s="1038">
        <v>42323</v>
      </c>
      <c r="KI7" s="1038">
        <v>42324</v>
      </c>
      <c r="KJ7" s="1038">
        <v>42325</v>
      </c>
      <c r="KK7" s="1038">
        <v>42326</v>
      </c>
      <c r="KL7" s="1038">
        <v>42327</v>
      </c>
      <c r="KM7" s="1038">
        <v>42328</v>
      </c>
      <c r="KN7" s="1038">
        <v>42329</v>
      </c>
      <c r="KO7" s="1038">
        <v>42330</v>
      </c>
      <c r="KP7" s="1038">
        <v>42331</v>
      </c>
      <c r="KQ7" s="1038">
        <v>42332</v>
      </c>
      <c r="KR7" s="1038">
        <v>42333</v>
      </c>
      <c r="KS7" s="1038">
        <v>42334</v>
      </c>
      <c r="KT7" s="1038">
        <v>42335</v>
      </c>
      <c r="KU7" s="1038">
        <v>42336</v>
      </c>
      <c r="KV7" s="1038">
        <v>42337</v>
      </c>
      <c r="KW7" s="1038">
        <v>42338</v>
      </c>
      <c r="KX7" s="1038">
        <v>42339</v>
      </c>
      <c r="KY7" s="1038">
        <v>42340</v>
      </c>
      <c r="KZ7" s="1038">
        <v>42341</v>
      </c>
      <c r="LA7" s="1038">
        <v>42342</v>
      </c>
      <c r="LB7" s="1038">
        <v>42343</v>
      </c>
      <c r="LC7" s="1038">
        <v>42344</v>
      </c>
      <c r="LD7" s="1038">
        <v>42345</v>
      </c>
      <c r="LE7" s="1038">
        <v>42346</v>
      </c>
      <c r="LF7" s="1038">
        <v>42347</v>
      </c>
      <c r="LG7" s="1038">
        <v>42348</v>
      </c>
      <c r="LH7" s="1038">
        <v>42349</v>
      </c>
      <c r="LI7" s="1038">
        <v>42350</v>
      </c>
      <c r="LJ7" s="1038">
        <v>42351</v>
      </c>
      <c r="LK7" s="1038">
        <v>42352</v>
      </c>
      <c r="LL7" s="1038">
        <v>42353</v>
      </c>
      <c r="LM7" s="1038">
        <v>42354</v>
      </c>
      <c r="LN7" s="1038">
        <v>42355</v>
      </c>
      <c r="LO7" s="1038">
        <v>42356</v>
      </c>
      <c r="LP7" s="1038">
        <v>42357</v>
      </c>
      <c r="LQ7" s="1038">
        <v>42358</v>
      </c>
      <c r="LR7" s="1038">
        <v>42359</v>
      </c>
      <c r="LS7" s="1038">
        <v>42360</v>
      </c>
      <c r="LT7" s="1038">
        <v>42361</v>
      </c>
      <c r="LU7" s="1038">
        <v>42362</v>
      </c>
      <c r="LV7" s="1038">
        <v>42363</v>
      </c>
      <c r="LW7" s="1038">
        <v>42364</v>
      </c>
      <c r="LX7" s="1038">
        <v>42365</v>
      </c>
      <c r="LY7" s="1038">
        <v>42366</v>
      </c>
      <c r="LZ7" s="1038">
        <v>42367</v>
      </c>
      <c r="MA7" s="1038">
        <v>42368</v>
      </c>
      <c r="MB7" s="1038">
        <v>42369</v>
      </c>
      <c r="MC7" s="1038">
        <v>42370</v>
      </c>
      <c r="MD7" s="1038">
        <v>42371</v>
      </c>
      <c r="ME7" s="1038">
        <v>42372</v>
      </c>
      <c r="MF7" s="1038">
        <v>42373</v>
      </c>
      <c r="MG7" s="1038">
        <v>42374</v>
      </c>
      <c r="MH7" s="1038">
        <v>42375</v>
      </c>
      <c r="MI7" s="1038">
        <v>42376</v>
      </c>
      <c r="MJ7" s="1038">
        <v>42377</v>
      </c>
      <c r="MK7" s="1038">
        <v>42378</v>
      </c>
      <c r="ML7" s="1038">
        <v>42379</v>
      </c>
      <c r="MM7" s="1038">
        <v>42380</v>
      </c>
      <c r="MN7" s="1038">
        <v>42381</v>
      </c>
      <c r="MO7" s="1038">
        <v>42382</v>
      </c>
      <c r="MP7" s="1038">
        <v>42383</v>
      </c>
      <c r="MQ7" s="1038">
        <v>42384</v>
      </c>
      <c r="MR7" s="1038">
        <v>42385</v>
      </c>
      <c r="MS7" s="1038">
        <v>42386</v>
      </c>
      <c r="MT7" s="1038">
        <v>42387</v>
      </c>
      <c r="MU7" s="1038">
        <v>42388</v>
      </c>
      <c r="MV7" s="1038">
        <v>42389</v>
      </c>
      <c r="MW7" s="1038">
        <v>42390</v>
      </c>
      <c r="MX7" s="1038">
        <v>42391</v>
      </c>
      <c r="MY7" s="1038">
        <v>42392</v>
      </c>
      <c r="MZ7" s="1038">
        <v>42393</v>
      </c>
      <c r="NA7" s="1038">
        <v>42394</v>
      </c>
      <c r="NB7" s="1038">
        <v>42395</v>
      </c>
      <c r="NC7" s="1038">
        <v>42396</v>
      </c>
      <c r="ND7" s="1038">
        <v>42397</v>
      </c>
      <c r="NE7" s="1038">
        <v>42398</v>
      </c>
      <c r="NF7" s="1038">
        <v>42399</v>
      </c>
      <c r="NG7" s="1038">
        <v>42400</v>
      </c>
      <c r="NH7" s="1038">
        <v>42401</v>
      </c>
      <c r="NI7" s="1038">
        <v>42402</v>
      </c>
      <c r="NJ7" s="1038">
        <v>42403</v>
      </c>
      <c r="NK7" s="1038">
        <v>42404</v>
      </c>
      <c r="NL7" s="1038">
        <v>42405</v>
      </c>
      <c r="NM7" s="1038">
        <v>42406</v>
      </c>
      <c r="NN7" s="1038">
        <v>42407</v>
      </c>
      <c r="NO7" s="1038">
        <v>42408</v>
      </c>
      <c r="NP7" s="1038">
        <v>42409</v>
      </c>
      <c r="NQ7" s="1038">
        <v>42410</v>
      </c>
      <c r="NR7" s="1038">
        <v>42411</v>
      </c>
      <c r="NS7" s="1038">
        <v>42412</v>
      </c>
      <c r="NT7" s="1038">
        <v>42413</v>
      </c>
      <c r="NU7" s="1038">
        <v>42414</v>
      </c>
      <c r="NV7" s="1038">
        <v>42415</v>
      </c>
      <c r="NW7" s="1038">
        <v>42416</v>
      </c>
      <c r="NX7" s="1038">
        <v>42417</v>
      </c>
      <c r="NY7" s="1038">
        <v>42418</v>
      </c>
      <c r="NZ7" s="1038">
        <v>42419</v>
      </c>
      <c r="OA7" s="1038">
        <v>42420</v>
      </c>
      <c r="OB7" s="1038">
        <v>42421</v>
      </c>
      <c r="OC7" s="1038">
        <v>42422</v>
      </c>
      <c r="OD7" s="1038">
        <v>42423</v>
      </c>
      <c r="OE7" s="1038">
        <v>42424</v>
      </c>
      <c r="OF7" s="1038">
        <v>42425</v>
      </c>
      <c r="OG7" s="1038">
        <v>42426</v>
      </c>
      <c r="OH7" s="1038">
        <v>42427</v>
      </c>
      <c r="OI7" s="1038">
        <v>42428</v>
      </c>
      <c r="OJ7" s="1038">
        <v>42429</v>
      </c>
      <c r="OK7" s="1038">
        <v>42430</v>
      </c>
      <c r="OL7" s="1038">
        <v>42431</v>
      </c>
      <c r="OM7" s="1038">
        <v>42432</v>
      </c>
      <c r="ON7" s="1038">
        <v>42433</v>
      </c>
      <c r="OO7" s="1038">
        <v>42434</v>
      </c>
      <c r="OP7" s="1038">
        <v>42435</v>
      </c>
      <c r="OQ7" s="1038">
        <v>42436</v>
      </c>
      <c r="OR7" s="1038">
        <v>42437</v>
      </c>
      <c r="OS7" s="1038">
        <v>42438</v>
      </c>
      <c r="OT7" s="1038">
        <v>42439</v>
      </c>
      <c r="OU7" s="1038">
        <v>42440</v>
      </c>
      <c r="OV7" s="1038">
        <v>42441</v>
      </c>
      <c r="OW7" s="1038">
        <v>42442</v>
      </c>
      <c r="OX7" s="1038">
        <v>42443</v>
      </c>
      <c r="OY7" s="1038">
        <v>42444</v>
      </c>
      <c r="OZ7" s="1038">
        <v>42445</v>
      </c>
      <c r="PA7" s="1038">
        <v>42446</v>
      </c>
      <c r="PB7" s="1038">
        <v>42447</v>
      </c>
      <c r="PC7" s="1038">
        <v>42448</v>
      </c>
      <c r="PD7" s="1038">
        <v>42449</v>
      </c>
      <c r="PE7" s="1038">
        <v>42450</v>
      </c>
      <c r="PF7" s="1038">
        <v>42451</v>
      </c>
      <c r="PG7" s="1038">
        <v>42452</v>
      </c>
      <c r="PH7" s="1038">
        <v>42453</v>
      </c>
      <c r="PI7" s="1038">
        <v>42454</v>
      </c>
      <c r="PJ7" s="1038">
        <v>42455</v>
      </c>
      <c r="PK7" s="1038">
        <v>42456</v>
      </c>
      <c r="PL7" s="1038">
        <v>42457</v>
      </c>
      <c r="PM7" s="1038">
        <v>42458</v>
      </c>
      <c r="PN7" s="1038">
        <v>42459</v>
      </c>
      <c r="PO7" s="1038">
        <v>42460</v>
      </c>
      <c r="PP7" s="1038">
        <v>42461</v>
      </c>
      <c r="PQ7" s="1038">
        <v>42462</v>
      </c>
      <c r="PR7" s="1038">
        <v>42463</v>
      </c>
      <c r="PS7" s="1038">
        <v>42464</v>
      </c>
      <c r="PT7" s="1038">
        <v>42465</v>
      </c>
      <c r="PU7" s="1038">
        <v>42466</v>
      </c>
      <c r="PV7" s="1038">
        <v>42467</v>
      </c>
      <c r="PW7" s="1038">
        <v>42468</v>
      </c>
      <c r="PX7" s="1038">
        <v>42469</v>
      </c>
      <c r="PY7" s="1038">
        <v>42470</v>
      </c>
      <c r="PZ7" s="1038">
        <v>42471</v>
      </c>
      <c r="QA7" s="1038">
        <v>42472</v>
      </c>
      <c r="QB7" s="1038">
        <v>42473</v>
      </c>
      <c r="QC7" s="1038">
        <v>42474</v>
      </c>
      <c r="QD7" s="1038">
        <v>42475</v>
      </c>
      <c r="QE7" s="1038">
        <v>42476</v>
      </c>
      <c r="QF7" s="1038">
        <v>42477</v>
      </c>
      <c r="QG7" s="1038">
        <v>42478</v>
      </c>
      <c r="QH7" s="1038">
        <v>42479</v>
      </c>
      <c r="QI7" s="1038">
        <v>42480</v>
      </c>
      <c r="QJ7" s="1038">
        <v>42481</v>
      </c>
      <c r="QK7" s="1038">
        <v>42482</v>
      </c>
      <c r="QL7" s="1038">
        <v>42483</v>
      </c>
      <c r="QM7" s="1038">
        <v>42484</v>
      </c>
      <c r="QN7" s="1038">
        <v>42485</v>
      </c>
      <c r="QO7" s="1038">
        <v>42486</v>
      </c>
      <c r="QP7" s="1038">
        <v>42487</v>
      </c>
      <c r="QQ7" s="1038">
        <v>42488</v>
      </c>
      <c r="QR7" s="1038">
        <v>42489</v>
      </c>
      <c r="QS7" s="1038">
        <v>42490</v>
      </c>
      <c r="QT7" s="1038">
        <v>42491</v>
      </c>
      <c r="QU7" s="1038">
        <v>42492</v>
      </c>
      <c r="QV7" s="1038">
        <v>42493</v>
      </c>
      <c r="QW7" s="1038">
        <v>42494</v>
      </c>
      <c r="QX7" s="1038">
        <v>42495</v>
      </c>
      <c r="QY7" s="1038">
        <v>42496</v>
      </c>
      <c r="QZ7" s="1038">
        <v>42497</v>
      </c>
      <c r="RA7" s="1038">
        <v>42498</v>
      </c>
      <c r="RB7" s="1038">
        <v>42499</v>
      </c>
      <c r="RC7" s="1038">
        <v>42500</v>
      </c>
      <c r="RD7" s="1038">
        <v>42501</v>
      </c>
      <c r="RE7" s="1038">
        <v>42502</v>
      </c>
      <c r="RF7" s="1038">
        <v>42503</v>
      </c>
      <c r="RG7" s="1038">
        <v>42504</v>
      </c>
      <c r="RH7" s="1038">
        <v>42505</v>
      </c>
      <c r="RI7" s="1038">
        <v>42506</v>
      </c>
      <c r="RJ7" s="1038">
        <v>42507</v>
      </c>
      <c r="RK7" s="1038">
        <v>42508</v>
      </c>
      <c r="RL7" s="1038">
        <v>42509</v>
      </c>
      <c r="RM7" s="1038">
        <v>42510</v>
      </c>
      <c r="RN7" s="1038">
        <v>42511</v>
      </c>
      <c r="RO7" s="1038">
        <v>42512</v>
      </c>
      <c r="RP7" s="1038">
        <v>42513</v>
      </c>
      <c r="RQ7" s="1038">
        <v>42514</v>
      </c>
      <c r="RR7" s="1038">
        <v>42515</v>
      </c>
      <c r="RS7" s="1038">
        <v>42516</v>
      </c>
      <c r="RT7" s="1038">
        <v>42517</v>
      </c>
      <c r="RU7" s="1038">
        <v>42518</v>
      </c>
      <c r="RV7" s="1038">
        <v>42519</v>
      </c>
      <c r="RW7" s="1038">
        <v>42520</v>
      </c>
      <c r="RX7" s="1038">
        <v>42521</v>
      </c>
      <c r="RY7" s="1038">
        <v>42522</v>
      </c>
      <c r="RZ7" s="1038">
        <v>42523</v>
      </c>
      <c r="SA7" s="1038">
        <v>42524</v>
      </c>
      <c r="SB7" s="1038">
        <v>42525</v>
      </c>
      <c r="SC7" s="1038">
        <v>42526</v>
      </c>
      <c r="SD7" s="1038">
        <v>42527</v>
      </c>
      <c r="SE7" s="1038">
        <v>42528</v>
      </c>
      <c r="SF7" s="1038">
        <v>42529</v>
      </c>
      <c r="SG7" s="1038">
        <v>42530</v>
      </c>
      <c r="SH7" s="1038">
        <v>42531</v>
      </c>
      <c r="SI7" s="1038">
        <v>42532</v>
      </c>
      <c r="SJ7" s="1038">
        <v>42533</v>
      </c>
      <c r="SK7" s="1038">
        <v>42534</v>
      </c>
      <c r="SL7" s="1038">
        <v>42535</v>
      </c>
      <c r="SM7" s="1038">
        <v>42536</v>
      </c>
      <c r="SN7" s="1038">
        <v>42537</v>
      </c>
      <c r="SO7" s="1038">
        <v>42538</v>
      </c>
      <c r="SP7" s="1038">
        <v>42539</v>
      </c>
      <c r="SQ7" s="1038">
        <v>42540</v>
      </c>
      <c r="SR7" s="1038">
        <v>42541</v>
      </c>
      <c r="SS7" s="1038">
        <v>42542</v>
      </c>
      <c r="ST7" s="1038">
        <v>42543</v>
      </c>
      <c r="SU7" s="1038">
        <v>42544</v>
      </c>
      <c r="SV7" s="1038">
        <v>42545</v>
      </c>
      <c r="SW7" s="1038">
        <v>42546</v>
      </c>
      <c r="SX7" s="1038">
        <v>42547</v>
      </c>
      <c r="SY7" s="1038">
        <v>42548</v>
      </c>
      <c r="SZ7" s="1038">
        <v>42549</v>
      </c>
      <c r="TA7" s="1038">
        <v>42550</v>
      </c>
      <c r="TB7" s="1038">
        <v>42551</v>
      </c>
      <c r="TC7" s="1038">
        <v>42552</v>
      </c>
      <c r="TD7" s="1038">
        <v>42553</v>
      </c>
      <c r="TE7" s="1038">
        <v>42554</v>
      </c>
      <c r="TF7" s="1038">
        <v>42555</v>
      </c>
      <c r="TG7" s="1038">
        <v>42556</v>
      </c>
      <c r="TH7" s="1038">
        <v>42557</v>
      </c>
      <c r="TI7" s="1038">
        <v>42558</v>
      </c>
      <c r="TJ7" s="1038">
        <v>42559</v>
      </c>
      <c r="TK7" s="1038">
        <v>42560</v>
      </c>
      <c r="TL7" s="1038">
        <v>42561</v>
      </c>
      <c r="TM7" s="1038">
        <v>42562</v>
      </c>
      <c r="TN7" s="1038">
        <v>42563</v>
      </c>
      <c r="TO7" s="1038">
        <v>42564</v>
      </c>
      <c r="TP7" s="1038">
        <v>42565</v>
      </c>
      <c r="TQ7" s="1038">
        <v>42566</v>
      </c>
      <c r="TR7" s="1038">
        <v>42567</v>
      </c>
      <c r="TS7" s="1038">
        <v>42568</v>
      </c>
      <c r="TT7" s="1038">
        <v>42569</v>
      </c>
      <c r="TU7" s="1038">
        <v>42570</v>
      </c>
      <c r="TV7" s="1038">
        <v>42571</v>
      </c>
      <c r="TW7" s="1038">
        <v>42572</v>
      </c>
      <c r="TX7" s="1038">
        <v>42573</v>
      </c>
      <c r="TY7" s="1038">
        <v>42574</v>
      </c>
      <c r="TZ7" s="1038">
        <v>42575</v>
      </c>
      <c r="UA7" s="1038">
        <v>42576</v>
      </c>
      <c r="UB7" s="1038">
        <v>42577</v>
      </c>
      <c r="UC7" s="1038">
        <v>42578</v>
      </c>
      <c r="UD7" s="1038">
        <v>42579</v>
      </c>
      <c r="UE7" s="1038">
        <v>42580</v>
      </c>
      <c r="UF7" s="1038">
        <v>42581</v>
      </c>
      <c r="UG7" s="1038">
        <v>42582</v>
      </c>
      <c r="UH7" s="1038">
        <v>42583</v>
      </c>
      <c r="UI7" s="1038">
        <v>42584</v>
      </c>
      <c r="UJ7" s="1038">
        <v>42585</v>
      </c>
      <c r="UK7" s="1038">
        <v>42586</v>
      </c>
      <c r="UL7" s="1038">
        <v>42587</v>
      </c>
      <c r="UM7" s="1038">
        <v>42588</v>
      </c>
      <c r="UN7" s="1038">
        <v>42589</v>
      </c>
      <c r="UO7" s="1038">
        <v>42590</v>
      </c>
      <c r="UP7" s="1038">
        <v>42591</v>
      </c>
      <c r="UQ7" s="1038">
        <v>42592</v>
      </c>
      <c r="UR7" s="1038">
        <v>42593</v>
      </c>
      <c r="US7" s="1038">
        <v>42594</v>
      </c>
      <c r="UT7" s="1038">
        <v>42595</v>
      </c>
      <c r="UU7" s="1038">
        <v>42596</v>
      </c>
      <c r="UV7" s="1038">
        <v>42597</v>
      </c>
      <c r="UW7" s="1038">
        <v>42598</v>
      </c>
      <c r="UX7" s="1038">
        <v>42599</v>
      </c>
      <c r="UY7" s="1038">
        <v>42600</v>
      </c>
      <c r="UZ7" s="1038">
        <v>42601</v>
      </c>
      <c r="VA7" s="1038">
        <v>42602</v>
      </c>
      <c r="VB7" s="1038">
        <v>42603</v>
      </c>
      <c r="VC7" s="1038">
        <v>42604</v>
      </c>
      <c r="VD7" s="1038">
        <v>42605</v>
      </c>
      <c r="VE7" s="1038">
        <v>42606</v>
      </c>
      <c r="VF7" s="1038">
        <v>42607</v>
      </c>
      <c r="VG7" s="1038">
        <v>42608</v>
      </c>
      <c r="VH7" s="1038">
        <v>42609</v>
      </c>
      <c r="VI7" s="1038">
        <v>42610</v>
      </c>
      <c r="VJ7" s="1038">
        <v>42611</v>
      </c>
      <c r="VK7" s="1038">
        <v>42612</v>
      </c>
      <c r="VL7" s="1038">
        <v>42613</v>
      </c>
      <c r="VM7" s="1038">
        <v>42614</v>
      </c>
      <c r="VN7" s="1038">
        <v>42615</v>
      </c>
      <c r="VO7" s="1038">
        <v>42616</v>
      </c>
      <c r="VP7" s="1038">
        <v>42617</v>
      </c>
      <c r="VQ7" s="1038">
        <v>42618</v>
      </c>
      <c r="VR7" s="1038">
        <v>42619</v>
      </c>
      <c r="VS7" s="1038">
        <v>42620</v>
      </c>
      <c r="VT7" s="1038">
        <v>42621</v>
      </c>
      <c r="VU7" s="1038">
        <v>42622</v>
      </c>
      <c r="VV7" s="1038">
        <v>42623</v>
      </c>
      <c r="VW7" s="1038">
        <v>42624</v>
      </c>
      <c r="VX7" s="1038">
        <v>42625</v>
      </c>
      <c r="VY7" s="1038">
        <v>42626</v>
      </c>
      <c r="VZ7" s="1038">
        <v>42627</v>
      </c>
      <c r="WA7" s="1038">
        <v>42628</v>
      </c>
      <c r="WB7" s="1038">
        <v>42629</v>
      </c>
      <c r="WC7" s="1038">
        <v>42630</v>
      </c>
      <c r="WD7" s="1038">
        <v>42631</v>
      </c>
      <c r="WE7" s="1038">
        <v>42632</v>
      </c>
      <c r="WF7" s="1038">
        <v>42633</v>
      </c>
      <c r="WG7" s="1038">
        <v>42634</v>
      </c>
      <c r="WH7" s="1038">
        <v>42635</v>
      </c>
      <c r="WI7" s="1038">
        <v>42636</v>
      </c>
      <c r="WJ7" s="1038">
        <v>42637</v>
      </c>
      <c r="WK7" s="1038">
        <v>42638</v>
      </c>
      <c r="WL7" s="1038">
        <v>42639</v>
      </c>
      <c r="WM7" s="1038">
        <v>42640</v>
      </c>
      <c r="WN7" s="1038">
        <v>42641</v>
      </c>
      <c r="WO7" s="1038">
        <v>42642</v>
      </c>
      <c r="WP7" s="1038">
        <v>42643</v>
      </c>
      <c r="WQ7" s="1038">
        <v>42644</v>
      </c>
      <c r="WR7" s="1038">
        <v>42645</v>
      </c>
      <c r="WS7" s="1038">
        <v>42646</v>
      </c>
      <c r="WT7" s="1038">
        <v>42647</v>
      </c>
      <c r="WU7" s="1038">
        <v>42648</v>
      </c>
      <c r="WV7" s="1038">
        <v>42649</v>
      </c>
      <c r="WW7" s="1038">
        <v>42650</v>
      </c>
      <c r="WX7" s="1038">
        <v>42651</v>
      </c>
      <c r="WY7" s="1038">
        <v>42652</v>
      </c>
      <c r="WZ7" s="1038">
        <v>42653</v>
      </c>
      <c r="XA7" s="1038">
        <v>42654</v>
      </c>
      <c r="XB7" s="1038">
        <v>42655</v>
      </c>
      <c r="XC7" s="1038">
        <v>42656</v>
      </c>
      <c r="XD7" s="1038">
        <v>42657</v>
      </c>
      <c r="XE7" s="1038">
        <v>42658</v>
      </c>
      <c r="XF7" s="1038">
        <v>42659</v>
      </c>
      <c r="XG7" s="1038">
        <v>42660</v>
      </c>
      <c r="XH7" s="1038">
        <v>42661</v>
      </c>
      <c r="XI7" s="1038">
        <v>42662</v>
      </c>
      <c r="XJ7" s="1038">
        <v>42663</v>
      </c>
      <c r="XK7" s="1038">
        <v>42664</v>
      </c>
      <c r="XL7" s="1038">
        <v>42665</v>
      </c>
      <c r="XM7" s="1038">
        <v>42666</v>
      </c>
      <c r="XN7" s="1038">
        <v>42667</v>
      </c>
      <c r="XO7" s="1038">
        <v>42668</v>
      </c>
      <c r="XP7" s="1038">
        <v>42669</v>
      </c>
      <c r="XQ7" s="1038">
        <v>42670</v>
      </c>
      <c r="XR7" s="1038">
        <v>42671</v>
      </c>
      <c r="XS7" s="1038">
        <v>42672</v>
      </c>
      <c r="XT7" s="1038">
        <v>42673</v>
      </c>
      <c r="XU7" s="1038">
        <v>42674</v>
      </c>
      <c r="XV7" s="1038">
        <v>42675</v>
      </c>
      <c r="XW7" s="1038">
        <v>42676</v>
      </c>
      <c r="XX7" s="1038">
        <v>42677</v>
      </c>
      <c r="XY7" s="1038">
        <v>42678</v>
      </c>
      <c r="XZ7" s="1038">
        <v>42679</v>
      </c>
      <c r="YA7" s="1038">
        <v>42680</v>
      </c>
      <c r="YB7" s="1038">
        <v>42681</v>
      </c>
      <c r="YC7" s="1038">
        <v>42682</v>
      </c>
      <c r="YD7" s="1038">
        <v>42683</v>
      </c>
      <c r="YE7" s="1038">
        <v>42684</v>
      </c>
      <c r="YF7" s="1038">
        <v>42685</v>
      </c>
      <c r="YG7" s="1038">
        <v>42686</v>
      </c>
      <c r="YH7" s="1038">
        <v>42687</v>
      </c>
      <c r="YI7" s="1038">
        <v>42688</v>
      </c>
      <c r="YJ7" s="1038">
        <v>42689</v>
      </c>
      <c r="YK7" s="1038">
        <v>42690</v>
      </c>
      <c r="YL7" s="1038">
        <v>42691</v>
      </c>
      <c r="YM7" s="1038">
        <v>42692</v>
      </c>
      <c r="YN7" s="1038">
        <v>42693</v>
      </c>
      <c r="YO7" s="1038">
        <v>42694</v>
      </c>
      <c r="YP7" s="1038">
        <v>42695</v>
      </c>
      <c r="YQ7" s="1038">
        <v>42696</v>
      </c>
      <c r="YR7" s="1038">
        <v>42697</v>
      </c>
      <c r="YS7" s="1038">
        <v>42698</v>
      </c>
      <c r="YT7" s="1038">
        <v>42699</v>
      </c>
      <c r="YU7" s="1038">
        <v>42700</v>
      </c>
      <c r="YV7" s="1038">
        <v>42701</v>
      </c>
      <c r="YW7" s="1038">
        <v>42702</v>
      </c>
      <c r="YX7" s="1038">
        <v>42703</v>
      </c>
      <c r="YY7" s="1038">
        <v>42704</v>
      </c>
      <c r="YZ7" s="1038">
        <v>42705</v>
      </c>
      <c r="ZA7" s="1038">
        <v>42706</v>
      </c>
      <c r="ZB7" s="1038">
        <v>42707</v>
      </c>
      <c r="ZC7" s="1038">
        <v>42708</v>
      </c>
      <c r="ZD7" s="1038">
        <v>42709</v>
      </c>
      <c r="ZE7" s="1038">
        <v>42710</v>
      </c>
      <c r="ZF7" s="1038">
        <v>42711</v>
      </c>
      <c r="ZG7" s="1038">
        <v>42712</v>
      </c>
      <c r="ZH7" s="1038">
        <v>42713</v>
      </c>
      <c r="ZI7" s="1038">
        <v>42714</v>
      </c>
      <c r="ZJ7" s="1038">
        <v>42715</v>
      </c>
      <c r="ZK7" s="1038">
        <v>42716</v>
      </c>
      <c r="ZL7" s="1038">
        <v>42717</v>
      </c>
      <c r="ZM7" s="1038">
        <v>42718</v>
      </c>
      <c r="ZN7" s="1038">
        <v>42719</v>
      </c>
      <c r="ZO7" s="1038">
        <v>42720</v>
      </c>
      <c r="ZP7" s="1038">
        <v>42721</v>
      </c>
      <c r="ZQ7" s="1038">
        <v>42722</v>
      </c>
      <c r="ZR7" s="1038">
        <v>42723</v>
      </c>
      <c r="ZS7" s="1038">
        <v>42724</v>
      </c>
      <c r="ZT7" s="1038">
        <v>42725</v>
      </c>
      <c r="ZU7" s="1038">
        <v>42726</v>
      </c>
      <c r="ZV7" s="1038">
        <v>42727</v>
      </c>
      <c r="ZW7" s="1038">
        <v>42728</v>
      </c>
      <c r="ZX7" s="1038">
        <v>42729</v>
      </c>
      <c r="ZY7" s="1038">
        <v>42730</v>
      </c>
      <c r="ZZ7" s="1038">
        <v>42731</v>
      </c>
      <c r="AAA7" s="1038">
        <v>42732</v>
      </c>
      <c r="AAB7" s="1038">
        <v>42733</v>
      </c>
      <c r="AAC7" s="1038">
        <v>42734</v>
      </c>
      <c r="AAD7" s="1038">
        <v>42735</v>
      </c>
      <c r="AAE7" s="1038">
        <v>42736</v>
      </c>
      <c r="AAF7" s="1038">
        <v>42737</v>
      </c>
      <c r="AAG7" s="1038">
        <v>42738</v>
      </c>
      <c r="AAH7" s="1038">
        <v>42739</v>
      </c>
      <c r="AAI7" s="1038">
        <v>42740</v>
      </c>
      <c r="AAJ7" s="1038">
        <v>42741</v>
      </c>
      <c r="AAK7" s="1038">
        <v>42742</v>
      </c>
      <c r="AAL7" s="1038">
        <v>42743</v>
      </c>
      <c r="AAM7" s="1038">
        <v>42744</v>
      </c>
      <c r="AAN7" s="1038">
        <v>42745</v>
      </c>
      <c r="AAO7" s="1038">
        <v>42746</v>
      </c>
      <c r="AAP7" s="1038">
        <v>42747</v>
      </c>
      <c r="AAQ7" s="1038">
        <v>42748</v>
      </c>
      <c r="AAR7" s="1038">
        <v>42749</v>
      </c>
      <c r="AAS7" s="1038">
        <v>42750</v>
      </c>
      <c r="AAT7" s="1038">
        <v>42751</v>
      </c>
      <c r="AAU7" s="1038">
        <v>42752</v>
      </c>
      <c r="AAV7" s="1038">
        <v>42753</v>
      </c>
      <c r="AAW7" s="1038">
        <v>42754</v>
      </c>
      <c r="AAX7" s="1038">
        <v>42755</v>
      </c>
      <c r="AAY7" s="1038">
        <v>42756</v>
      </c>
      <c r="AAZ7" s="1038">
        <v>42757</v>
      </c>
      <c r="ABA7" s="1038">
        <v>42758</v>
      </c>
      <c r="ABB7" s="1038">
        <v>42759</v>
      </c>
      <c r="ABC7" s="1038">
        <v>42760</v>
      </c>
      <c r="ABD7" s="1038">
        <v>42761</v>
      </c>
      <c r="ABE7" s="1038">
        <v>42762</v>
      </c>
      <c r="ABF7" s="1038">
        <v>42763</v>
      </c>
      <c r="ABG7" s="1038">
        <v>42764</v>
      </c>
      <c r="ABH7" s="1038">
        <v>42765</v>
      </c>
      <c r="ABI7" s="1038">
        <v>42766</v>
      </c>
      <c r="ABJ7" s="1038">
        <v>42767</v>
      </c>
      <c r="ABK7" s="1038">
        <v>42768</v>
      </c>
      <c r="ABL7" s="1038">
        <v>42769</v>
      </c>
      <c r="ABM7" s="1038">
        <v>42770</v>
      </c>
      <c r="ABN7" s="1038">
        <v>42771</v>
      </c>
      <c r="ABO7" s="1038">
        <v>42772</v>
      </c>
      <c r="ABP7" s="1038">
        <v>42773</v>
      </c>
      <c r="ABQ7" s="1038">
        <v>42774</v>
      </c>
      <c r="ABR7" s="1038">
        <v>42775</v>
      </c>
      <c r="ABS7" s="1038">
        <v>42776</v>
      </c>
      <c r="ABT7" s="1038">
        <v>42777</v>
      </c>
      <c r="ABU7" s="1038">
        <v>42778</v>
      </c>
      <c r="ABV7" s="1038">
        <v>42779</v>
      </c>
      <c r="ABW7" s="1038">
        <v>42780</v>
      </c>
      <c r="ABX7" s="1038">
        <v>42781</v>
      </c>
      <c r="ABY7" s="1038">
        <v>42782</v>
      </c>
      <c r="ABZ7" s="1038">
        <v>42783</v>
      </c>
      <c r="ACA7" s="1038">
        <v>42784</v>
      </c>
      <c r="ACB7" s="1038">
        <v>42785</v>
      </c>
      <c r="ACC7" s="1038">
        <v>42786</v>
      </c>
      <c r="ACD7" s="1038">
        <v>42787</v>
      </c>
      <c r="ACE7" s="1038">
        <v>42788</v>
      </c>
      <c r="ACF7" s="1038">
        <v>42789</v>
      </c>
      <c r="ACG7" s="1038">
        <v>42790</v>
      </c>
      <c r="ACH7" s="1038">
        <v>42791</v>
      </c>
      <c r="ACI7" s="1038">
        <v>42792</v>
      </c>
      <c r="ACJ7" s="1038">
        <v>42793</v>
      </c>
      <c r="ACK7" s="1038">
        <v>42794</v>
      </c>
      <c r="ACL7" s="1038">
        <v>42795</v>
      </c>
      <c r="ACM7" s="1038">
        <v>42796</v>
      </c>
      <c r="ACN7" s="1038">
        <v>42797</v>
      </c>
      <c r="ACO7" s="1038">
        <v>42798</v>
      </c>
      <c r="ACP7" s="1038">
        <v>42799</v>
      </c>
      <c r="ACQ7" s="1038">
        <v>42800</v>
      </c>
      <c r="ACR7" s="1038">
        <v>42801</v>
      </c>
      <c r="ACS7" s="1038">
        <v>42802</v>
      </c>
      <c r="ACT7" s="1038">
        <v>42803</v>
      </c>
      <c r="ACU7" s="1038">
        <v>42804</v>
      </c>
      <c r="ACV7" s="1038">
        <v>42805</v>
      </c>
      <c r="ACW7" s="1038">
        <v>42806</v>
      </c>
      <c r="ACX7" s="1038">
        <v>42807</v>
      </c>
      <c r="ACY7" s="1038">
        <v>42808</v>
      </c>
      <c r="ACZ7" s="1038">
        <v>42809</v>
      </c>
      <c r="ADA7" s="1038">
        <v>42810</v>
      </c>
      <c r="ADB7" s="1038">
        <v>42811</v>
      </c>
      <c r="ADC7" s="1038">
        <v>42812</v>
      </c>
      <c r="ADD7" s="1038">
        <v>42813</v>
      </c>
      <c r="ADE7" s="1038">
        <v>42814</v>
      </c>
      <c r="ADF7" s="1038">
        <v>42815</v>
      </c>
      <c r="ADG7" s="1038">
        <v>42816</v>
      </c>
      <c r="ADH7" s="1038">
        <v>42817</v>
      </c>
      <c r="ADI7" s="1038">
        <v>42818</v>
      </c>
      <c r="ADJ7" s="1038">
        <v>42819</v>
      </c>
      <c r="ADK7" s="1038">
        <v>42820</v>
      </c>
      <c r="ADL7" s="1038">
        <v>42821</v>
      </c>
      <c r="ADM7" s="1038">
        <v>42822</v>
      </c>
      <c r="ADN7" s="1038">
        <v>42823</v>
      </c>
      <c r="ADO7" s="1038">
        <v>42824</v>
      </c>
      <c r="ADP7" s="1038">
        <v>42825</v>
      </c>
      <c r="ADQ7" s="1038">
        <v>42826</v>
      </c>
      <c r="ADR7" s="1038">
        <v>42827</v>
      </c>
      <c r="ADS7" s="1038">
        <v>42828</v>
      </c>
      <c r="ADT7" s="1038">
        <v>42829</v>
      </c>
      <c r="ADU7" s="1038">
        <v>42830</v>
      </c>
      <c r="ADV7" s="1038">
        <v>42831</v>
      </c>
      <c r="ADW7" s="1038">
        <v>42832</v>
      </c>
      <c r="ADX7" s="1038">
        <v>42833</v>
      </c>
      <c r="ADY7" s="1038">
        <v>42834</v>
      </c>
      <c r="ADZ7" s="1038">
        <v>42835</v>
      </c>
      <c r="AEA7" s="1038">
        <v>42836</v>
      </c>
      <c r="AEB7" s="1038">
        <v>42837</v>
      </c>
      <c r="AEC7" s="1038">
        <v>42838</v>
      </c>
      <c r="AED7" s="1038">
        <v>42839</v>
      </c>
      <c r="AEE7" s="1038">
        <v>42840</v>
      </c>
      <c r="AEF7" s="1038">
        <v>42841</v>
      </c>
      <c r="AEG7" s="1038">
        <v>42842</v>
      </c>
      <c r="AEH7" s="1038">
        <v>42843</v>
      </c>
      <c r="AEI7" s="1038">
        <v>42844</v>
      </c>
      <c r="AEJ7" s="1038">
        <v>42845</v>
      </c>
      <c r="AEK7" s="1038">
        <v>42846</v>
      </c>
      <c r="AEL7" s="1038">
        <v>42847</v>
      </c>
      <c r="AEM7" s="1038">
        <v>42848</v>
      </c>
      <c r="AEN7" s="1038">
        <v>42849</v>
      </c>
      <c r="AEO7" s="1038">
        <v>42850</v>
      </c>
      <c r="AEP7" s="1038">
        <v>42851</v>
      </c>
      <c r="AEQ7" s="1038">
        <v>42852</v>
      </c>
      <c r="AER7" s="1038">
        <v>42853</v>
      </c>
      <c r="AES7" s="1038">
        <v>42854</v>
      </c>
      <c r="AET7" s="1038">
        <v>42855</v>
      </c>
      <c r="AEU7" s="1038">
        <v>42856</v>
      </c>
      <c r="AEV7" s="1038">
        <v>42857</v>
      </c>
      <c r="AEW7" s="1038">
        <v>42858</v>
      </c>
      <c r="AEX7" s="1038">
        <v>42859</v>
      </c>
      <c r="AEY7" s="1038">
        <v>42860</v>
      </c>
      <c r="AEZ7" s="1038">
        <v>42861</v>
      </c>
      <c r="AFA7" s="1038">
        <v>42862</v>
      </c>
      <c r="AFB7" s="1038">
        <v>42863</v>
      </c>
      <c r="AFC7" s="1038">
        <v>42864</v>
      </c>
      <c r="AFD7" s="1038">
        <v>42865</v>
      </c>
      <c r="AFE7" s="1038">
        <v>42866</v>
      </c>
      <c r="AFF7" s="1038">
        <v>42867</v>
      </c>
      <c r="AFG7" s="1038">
        <v>42868</v>
      </c>
      <c r="AFH7" s="1038">
        <v>42869</v>
      </c>
      <c r="AFI7" s="1038">
        <v>42870</v>
      </c>
      <c r="AFJ7" s="1038">
        <v>42871</v>
      </c>
      <c r="AFK7" s="1038">
        <v>42872</v>
      </c>
      <c r="AFL7" s="1038">
        <v>42873</v>
      </c>
      <c r="AFM7" s="1038">
        <v>42874</v>
      </c>
      <c r="AFN7" s="1038">
        <v>42875</v>
      </c>
      <c r="AFO7" s="1038">
        <v>42876</v>
      </c>
      <c r="AFP7" s="1038">
        <v>42877</v>
      </c>
      <c r="AFQ7" s="1038">
        <v>42878</v>
      </c>
      <c r="AFR7" s="1038">
        <v>42879</v>
      </c>
      <c r="AFS7" s="1038">
        <v>42880</v>
      </c>
      <c r="AFT7" s="1038">
        <v>42881</v>
      </c>
      <c r="AFU7" s="1038">
        <v>42882</v>
      </c>
      <c r="AFV7" s="1038">
        <v>42883</v>
      </c>
      <c r="AFW7" s="1038">
        <v>42884</v>
      </c>
      <c r="AFX7" s="1038">
        <v>42885</v>
      </c>
      <c r="AFY7" s="1038">
        <v>42886</v>
      </c>
      <c r="AFZ7" s="1038">
        <v>42887</v>
      </c>
      <c r="AGA7" s="1038">
        <v>42888</v>
      </c>
      <c r="AGB7" s="1038">
        <v>42889</v>
      </c>
      <c r="AGC7" s="1038">
        <v>42890</v>
      </c>
      <c r="AGD7" s="1038">
        <v>42891</v>
      </c>
      <c r="AGE7" s="1038">
        <v>42892</v>
      </c>
      <c r="AGF7" s="1038">
        <v>42893</v>
      </c>
      <c r="AGG7" s="1038">
        <v>42894</v>
      </c>
      <c r="AGH7" s="1038">
        <v>42895</v>
      </c>
      <c r="AGI7" s="1038">
        <v>42896</v>
      </c>
      <c r="AGJ7" s="1038">
        <v>42897</v>
      </c>
      <c r="AGK7" s="1038">
        <v>42898</v>
      </c>
      <c r="AGL7" s="1038">
        <v>42899</v>
      </c>
      <c r="AGM7" s="1038">
        <v>42900</v>
      </c>
      <c r="AGN7" s="1038">
        <v>42901</v>
      </c>
      <c r="AGO7" s="1038">
        <v>42902</v>
      </c>
      <c r="AGP7" s="1038">
        <v>42903</v>
      </c>
      <c r="AGQ7" s="1038">
        <v>42904</v>
      </c>
      <c r="AGR7" s="1038">
        <v>42905</v>
      </c>
      <c r="AGS7" s="1038">
        <v>42906</v>
      </c>
      <c r="AGT7" s="1038">
        <v>42907</v>
      </c>
      <c r="AGU7" s="1038">
        <v>42908</v>
      </c>
      <c r="AGV7" s="1038">
        <v>42909</v>
      </c>
      <c r="AGW7" s="1038">
        <v>42910</v>
      </c>
      <c r="AGX7" s="1038">
        <v>42911</v>
      </c>
      <c r="AGY7" s="1038">
        <v>42912</v>
      </c>
      <c r="AGZ7" s="1038">
        <v>42913</v>
      </c>
      <c r="AHA7" s="1038">
        <v>42914</v>
      </c>
      <c r="AHB7" s="1038">
        <v>42915</v>
      </c>
      <c r="AHC7" s="1038">
        <v>42916</v>
      </c>
      <c r="AHD7" s="1038">
        <v>42917</v>
      </c>
      <c r="AHE7" s="1038">
        <v>42918</v>
      </c>
      <c r="AHF7" s="1038">
        <v>42919</v>
      </c>
      <c r="AHG7" s="1038">
        <v>42920</v>
      </c>
      <c r="AHH7" s="1038">
        <v>42921</v>
      </c>
      <c r="AHI7" s="1038">
        <v>42922</v>
      </c>
      <c r="AHJ7" s="1038">
        <v>42923</v>
      </c>
      <c r="AHK7" s="1038">
        <v>42924</v>
      </c>
      <c r="AHL7" s="1038">
        <v>42925</v>
      </c>
      <c r="AHM7" s="1038">
        <v>42926</v>
      </c>
      <c r="AHN7" s="1038">
        <v>42927</v>
      </c>
      <c r="AHO7" s="1038">
        <v>42928</v>
      </c>
      <c r="AHP7" s="1038">
        <v>42929</v>
      </c>
      <c r="AHQ7" s="1038">
        <v>42930</v>
      </c>
      <c r="AHR7" s="1038">
        <v>42931</v>
      </c>
      <c r="AHS7" s="1038">
        <v>42932</v>
      </c>
      <c r="AHT7" s="1038">
        <v>42933</v>
      </c>
      <c r="AHU7" s="1038">
        <v>42934</v>
      </c>
      <c r="AHV7" s="1038">
        <v>42935</v>
      </c>
      <c r="AHW7" s="1038">
        <v>42936</v>
      </c>
      <c r="AHX7" s="1038">
        <v>42937</v>
      </c>
      <c r="AHY7" s="1038">
        <v>42938</v>
      </c>
      <c r="AHZ7" s="1038">
        <v>42939</v>
      </c>
      <c r="AIA7" s="1038">
        <v>42940</v>
      </c>
      <c r="AIB7" s="1038">
        <v>42941</v>
      </c>
      <c r="AIC7" s="1038">
        <v>42942</v>
      </c>
      <c r="AID7" s="1038">
        <v>42943</v>
      </c>
      <c r="AIE7" s="1038">
        <v>42944</v>
      </c>
      <c r="AIF7" s="1038">
        <v>42945</v>
      </c>
      <c r="AIG7" s="1038">
        <v>42946</v>
      </c>
      <c r="AIH7" s="1038">
        <v>42947</v>
      </c>
      <c r="AII7" s="1038">
        <v>42948</v>
      </c>
      <c r="AIJ7" s="1038">
        <v>42949</v>
      </c>
      <c r="AIK7" s="1038">
        <v>42950</v>
      </c>
      <c r="AIL7" s="1038">
        <v>42951</v>
      </c>
      <c r="AIM7" s="1038">
        <v>42952</v>
      </c>
      <c r="AIN7" s="1038">
        <v>42953</v>
      </c>
      <c r="AIO7" s="1038">
        <v>42954</v>
      </c>
      <c r="AIP7" s="1038">
        <v>42955</v>
      </c>
      <c r="AIQ7" s="1038">
        <v>42956</v>
      </c>
      <c r="AIR7" s="1038">
        <v>42957</v>
      </c>
      <c r="AIS7" s="1038">
        <v>42958</v>
      </c>
      <c r="AIT7" s="1038">
        <v>42959</v>
      </c>
      <c r="AIU7" s="1038">
        <v>42960</v>
      </c>
      <c r="AIV7" s="1038">
        <v>42961</v>
      </c>
      <c r="AIW7" s="1038">
        <v>42962</v>
      </c>
      <c r="AIX7" s="1038">
        <v>42963</v>
      </c>
      <c r="AIY7" s="1038">
        <v>42964</v>
      </c>
      <c r="AIZ7" s="1038">
        <v>42965</v>
      </c>
      <c r="AJA7" s="1038">
        <v>42966</v>
      </c>
      <c r="AJB7" s="1038">
        <v>42967</v>
      </c>
      <c r="AJC7" s="1038">
        <v>42968</v>
      </c>
      <c r="AJD7" s="1038">
        <v>42969</v>
      </c>
      <c r="AJE7" s="1038">
        <v>42970</v>
      </c>
      <c r="AJF7" s="1038">
        <v>42971</v>
      </c>
      <c r="AJG7" s="1038">
        <v>42972</v>
      </c>
      <c r="AJH7" s="1038">
        <v>42973</v>
      </c>
      <c r="AJI7" s="1038">
        <v>42974</v>
      </c>
      <c r="AJJ7" s="1038">
        <v>42975</v>
      </c>
      <c r="AJK7" s="1038">
        <v>42976</v>
      </c>
      <c r="AJL7" s="1038">
        <v>42977</v>
      </c>
      <c r="AJM7" s="1038">
        <v>42978</v>
      </c>
      <c r="AJN7" s="1038">
        <v>42979</v>
      </c>
      <c r="AJO7" s="1038">
        <v>42980</v>
      </c>
      <c r="AJP7" s="1038">
        <v>42981</v>
      </c>
      <c r="AJQ7" s="1038">
        <v>42982</v>
      </c>
      <c r="AJR7" s="1038">
        <v>42983</v>
      </c>
      <c r="AJS7" s="1038">
        <v>42984</v>
      </c>
      <c r="AJT7" s="1038">
        <v>42985</v>
      </c>
      <c r="AJU7" s="1038">
        <v>42986</v>
      </c>
      <c r="AJV7" s="1038">
        <v>42987</v>
      </c>
      <c r="AJW7" s="1038">
        <v>42988</v>
      </c>
      <c r="AJX7" s="1038">
        <v>42989</v>
      </c>
      <c r="AJY7" s="1038">
        <v>42990</v>
      </c>
      <c r="AJZ7" s="1038">
        <v>42991</v>
      </c>
      <c r="AKA7" s="1038">
        <v>42992</v>
      </c>
      <c r="AKB7" s="1038">
        <v>42993</v>
      </c>
      <c r="AKC7" s="1038">
        <v>42994</v>
      </c>
      <c r="AKD7" s="1038">
        <v>42995</v>
      </c>
      <c r="AKE7" s="1038">
        <v>42996</v>
      </c>
      <c r="AKF7" s="1038">
        <v>42997</v>
      </c>
      <c r="AKG7" s="1038">
        <v>42998</v>
      </c>
      <c r="AKH7" s="1038">
        <v>42999</v>
      </c>
      <c r="AKI7" s="1038">
        <v>43000</v>
      </c>
      <c r="AKJ7" s="1038">
        <v>43001</v>
      </c>
      <c r="AKK7" s="1038">
        <v>43002</v>
      </c>
      <c r="AKL7" s="1038">
        <v>43003</v>
      </c>
      <c r="AKM7" s="1038">
        <v>43004</v>
      </c>
      <c r="AKN7" s="1038">
        <v>43005</v>
      </c>
      <c r="AKO7" s="1038">
        <v>43006</v>
      </c>
      <c r="AKP7" s="1038">
        <v>43007</v>
      </c>
      <c r="AKQ7" s="1038">
        <v>43008</v>
      </c>
      <c r="AKR7" s="1038">
        <v>43009</v>
      </c>
      <c r="AKS7" s="1038">
        <v>43010</v>
      </c>
      <c r="AKT7" s="1038">
        <v>43011</v>
      </c>
      <c r="AKU7" s="1038">
        <v>43012</v>
      </c>
      <c r="AKV7" s="1038">
        <v>43013</v>
      </c>
      <c r="AKW7" s="1038">
        <v>43014</v>
      </c>
      <c r="AKX7" s="1038">
        <v>43015</v>
      </c>
      <c r="AKY7" s="1038">
        <v>43016</v>
      </c>
      <c r="AKZ7" s="1038">
        <v>43017</v>
      </c>
      <c r="ALA7" s="1038">
        <v>43018</v>
      </c>
      <c r="ALB7" s="1038">
        <v>43019</v>
      </c>
      <c r="ALC7" s="1038">
        <v>43020</v>
      </c>
      <c r="ALD7" s="1038">
        <v>43021</v>
      </c>
      <c r="ALE7" s="1038">
        <v>43022</v>
      </c>
      <c r="ALF7" s="1038">
        <v>43023</v>
      </c>
      <c r="ALG7" s="1038">
        <v>43024</v>
      </c>
      <c r="ALH7" s="1038">
        <v>43025</v>
      </c>
      <c r="ALI7" s="1038">
        <v>43026</v>
      </c>
      <c r="ALJ7" s="1038">
        <v>43027</v>
      </c>
      <c r="ALK7" s="1038">
        <v>43028</v>
      </c>
      <c r="ALL7" s="1038">
        <v>43029</v>
      </c>
      <c r="ALM7" s="1038">
        <v>43030</v>
      </c>
      <c r="ALN7" s="1038">
        <v>43031</v>
      </c>
      <c r="ALO7" s="1038">
        <v>43032</v>
      </c>
      <c r="ALP7" s="1038">
        <v>43033</v>
      </c>
      <c r="ALQ7" s="1038">
        <v>43034</v>
      </c>
      <c r="ALR7" s="1038">
        <v>43035</v>
      </c>
      <c r="ALS7" s="1038">
        <v>43036</v>
      </c>
      <c r="ALT7" s="1038">
        <v>43037</v>
      </c>
      <c r="ALU7" s="1038">
        <v>43038</v>
      </c>
      <c r="ALV7" s="1038">
        <v>43039</v>
      </c>
      <c r="ALW7" s="1038">
        <v>43040</v>
      </c>
      <c r="ALX7" s="1038">
        <v>43041</v>
      </c>
      <c r="ALY7" s="1038">
        <v>43042</v>
      </c>
      <c r="ALZ7" s="1038">
        <v>43043</v>
      </c>
      <c r="AMA7" s="1038">
        <v>43044</v>
      </c>
      <c r="AMB7" s="1038">
        <v>43045</v>
      </c>
      <c r="AMC7" s="1038">
        <v>43046</v>
      </c>
      <c r="AMD7" s="1038">
        <v>43047</v>
      </c>
      <c r="AME7" s="1038">
        <v>43048</v>
      </c>
      <c r="AMF7" s="1038">
        <v>43049</v>
      </c>
      <c r="AMG7" s="1038">
        <v>43050</v>
      </c>
      <c r="AMH7" s="1038">
        <v>43051</v>
      </c>
      <c r="AMI7" s="1038">
        <v>43052</v>
      </c>
      <c r="AMJ7" s="1038">
        <v>43053</v>
      </c>
      <c r="AMK7" s="1038">
        <v>43054</v>
      </c>
      <c r="AML7" s="1038">
        <v>43055</v>
      </c>
      <c r="AMM7" s="1038">
        <v>43056</v>
      </c>
      <c r="AMN7" s="1038">
        <v>43057</v>
      </c>
      <c r="AMO7" s="1038">
        <v>43058</v>
      </c>
      <c r="AMP7" s="1038">
        <v>43059</v>
      </c>
      <c r="AMQ7" s="1038">
        <v>43060</v>
      </c>
      <c r="AMR7" s="1038">
        <v>43061</v>
      </c>
      <c r="AMS7" s="1038">
        <v>43062</v>
      </c>
      <c r="AMT7" s="1038">
        <v>43063</v>
      </c>
      <c r="AMU7" s="1038">
        <v>43064</v>
      </c>
      <c r="AMV7" s="1038">
        <v>43065</v>
      </c>
      <c r="AMW7" s="1038">
        <v>43066</v>
      </c>
      <c r="AMX7" s="1038">
        <v>43067</v>
      </c>
      <c r="AMY7" s="1038">
        <v>43068</v>
      </c>
      <c r="AMZ7" s="1038">
        <v>43069</v>
      </c>
      <c r="ANA7" s="1038">
        <v>43070</v>
      </c>
      <c r="ANB7" s="1038">
        <v>43071</v>
      </c>
      <c r="ANC7" s="1038">
        <v>43072</v>
      </c>
      <c r="AND7" s="1038">
        <v>43073</v>
      </c>
      <c r="ANE7" s="1038">
        <v>43074</v>
      </c>
      <c r="ANF7" s="1038">
        <v>43075</v>
      </c>
      <c r="ANG7" s="1038">
        <v>43076</v>
      </c>
      <c r="ANH7" s="1038">
        <v>43077</v>
      </c>
      <c r="ANI7" s="1038">
        <v>43078</v>
      </c>
      <c r="ANJ7" s="1038">
        <v>43079</v>
      </c>
      <c r="ANK7" s="1038">
        <v>43080</v>
      </c>
      <c r="ANL7" s="1038">
        <v>43081</v>
      </c>
      <c r="ANM7" s="1038">
        <v>43082</v>
      </c>
      <c r="ANN7" s="1038">
        <v>43083</v>
      </c>
      <c r="ANO7" s="1038">
        <v>43084</v>
      </c>
      <c r="ANP7" s="1038">
        <v>43085</v>
      </c>
      <c r="ANQ7" s="1038">
        <v>43086</v>
      </c>
      <c r="ANR7" s="1038">
        <v>43087</v>
      </c>
      <c r="ANS7" s="1038">
        <v>43088</v>
      </c>
      <c r="ANT7" s="1038">
        <v>43089</v>
      </c>
      <c r="ANU7" s="1038">
        <v>43090</v>
      </c>
      <c r="ANV7" s="1038">
        <v>43091</v>
      </c>
      <c r="ANW7" s="1038">
        <v>43092</v>
      </c>
      <c r="ANX7" s="1038">
        <v>43093</v>
      </c>
      <c r="ANY7" s="1038">
        <v>43094</v>
      </c>
      <c r="ANZ7" s="1038">
        <v>43095</v>
      </c>
      <c r="AOA7" s="1038">
        <v>43096</v>
      </c>
      <c r="AOB7" s="1038">
        <v>43097</v>
      </c>
      <c r="AOC7" s="1038">
        <v>43098</v>
      </c>
      <c r="AOD7" s="1038">
        <v>43099</v>
      </c>
      <c r="AOE7" s="1038">
        <v>43100</v>
      </c>
      <c r="AOF7" s="1038">
        <v>43101</v>
      </c>
      <c r="AOG7" s="1038">
        <v>43102</v>
      </c>
      <c r="AOH7" s="1038">
        <v>43103</v>
      </c>
      <c r="AOI7" s="1038">
        <v>43104</v>
      </c>
      <c r="AOJ7" s="1038">
        <v>43105</v>
      </c>
      <c r="AOK7" s="1038">
        <v>43106</v>
      </c>
      <c r="AOL7" s="1038">
        <v>43107</v>
      </c>
      <c r="AOM7" s="1038">
        <v>43108</v>
      </c>
      <c r="AON7" s="1038">
        <v>43109</v>
      </c>
      <c r="AOO7" s="1038">
        <v>43110</v>
      </c>
      <c r="AOP7" s="1038">
        <v>43111</v>
      </c>
      <c r="AOQ7" s="1038">
        <v>43112</v>
      </c>
      <c r="AOR7" s="1038">
        <v>43113</v>
      </c>
      <c r="AOS7" s="1038">
        <v>43114</v>
      </c>
      <c r="AOT7" s="1038">
        <v>43115</v>
      </c>
      <c r="AOU7" s="1038">
        <v>43116</v>
      </c>
      <c r="AOV7" s="1038">
        <v>43117</v>
      </c>
      <c r="AOW7" s="1038">
        <v>43118</v>
      </c>
      <c r="AOX7" s="1038">
        <v>43119</v>
      </c>
      <c r="AOY7" s="1038">
        <v>43120</v>
      </c>
      <c r="AOZ7" s="1038">
        <v>43121</v>
      </c>
      <c r="APA7" s="1038">
        <v>43122</v>
      </c>
      <c r="APB7" s="1038">
        <v>43123</v>
      </c>
      <c r="APC7" s="1038">
        <v>43124</v>
      </c>
      <c r="APD7" s="1038">
        <v>43125</v>
      </c>
      <c r="APE7" s="1038">
        <v>43126</v>
      </c>
      <c r="APF7" s="1038">
        <v>43127</v>
      </c>
      <c r="APG7" s="1038">
        <v>43128</v>
      </c>
      <c r="APH7" s="1038">
        <v>43129</v>
      </c>
      <c r="API7" s="1038">
        <v>43130</v>
      </c>
      <c r="APJ7" s="1038">
        <v>43131</v>
      </c>
      <c r="APK7" s="1038">
        <v>43132</v>
      </c>
      <c r="APL7" s="1038">
        <v>43133</v>
      </c>
      <c r="APM7" s="1038">
        <v>43134</v>
      </c>
      <c r="APN7" s="1038">
        <v>43135</v>
      </c>
      <c r="APO7" s="1038">
        <v>43136</v>
      </c>
      <c r="APP7" s="1038">
        <v>43137</v>
      </c>
      <c r="APQ7" s="1038">
        <v>43138</v>
      </c>
      <c r="APR7" s="1038">
        <v>43139</v>
      </c>
      <c r="APS7" s="1038">
        <v>43140</v>
      </c>
      <c r="APT7" s="1038">
        <v>43141</v>
      </c>
      <c r="APU7" s="1038">
        <v>43142</v>
      </c>
      <c r="APV7" s="1038">
        <v>43143</v>
      </c>
      <c r="APW7" s="1038">
        <v>43144</v>
      </c>
      <c r="APX7" s="1038">
        <v>43145</v>
      </c>
      <c r="APY7" s="1038">
        <v>43146</v>
      </c>
      <c r="APZ7" s="1038">
        <v>43147</v>
      </c>
      <c r="AQA7" s="1038">
        <v>43148</v>
      </c>
      <c r="AQB7" s="1038">
        <v>43149</v>
      </c>
      <c r="AQC7" s="1038">
        <v>43150</v>
      </c>
      <c r="AQD7" s="1038">
        <v>43151</v>
      </c>
      <c r="AQE7" s="1038">
        <v>43152</v>
      </c>
      <c r="AQF7" s="1038">
        <v>43153</v>
      </c>
      <c r="AQG7" s="1038">
        <v>43154</v>
      </c>
      <c r="AQH7" s="1038">
        <v>43155</v>
      </c>
      <c r="AQI7" s="1038">
        <v>43156</v>
      </c>
      <c r="AQJ7" s="1038">
        <v>43157</v>
      </c>
      <c r="AQK7" s="1038">
        <v>43158</v>
      </c>
      <c r="AQL7" s="1038">
        <v>43159</v>
      </c>
      <c r="AQM7" s="1038">
        <v>43160</v>
      </c>
      <c r="AQN7" s="1038">
        <v>43161</v>
      </c>
      <c r="AQO7" s="1038">
        <v>43162</v>
      </c>
      <c r="AQP7" s="1038">
        <v>43163</v>
      </c>
      <c r="AQQ7" s="1038">
        <v>43164</v>
      </c>
      <c r="AQR7" s="1038">
        <v>43165</v>
      </c>
      <c r="AQS7" s="1038">
        <v>43166</v>
      </c>
      <c r="AQT7" s="1038">
        <v>43167</v>
      </c>
      <c r="AQU7" s="1038">
        <v>43168</v>
      </c>
      <c r="AQV7" s="1038">
        <v>43169</v>
      </c>
      <c r="AQW7" s="1038">
        <v>43170</v>
      </c>
      <c r="AQX7" s="1038">
        <v>43171</v>
      </c>
      <c r="AQY7" s="1038">
        <v>43172</v>
      </c>
      <c r="AQZ7" s="1038">
        <v>43173</v>
      </c>
      <c r="ARA7" s="1038">
        <v>43174</v>
      </c>
      <c r="ARB7" s="1038">
        <v>43175</v>
      </c>
      <c r="ARC7" s="1038">
        <v>43176</v>
      </c>
      <c r="ARD7" s="1038">
        <v>43177</v>
      </c>
      <c r="ARE7" s="1038">
        <v>43178</v>
      </c>
      <c r="ARF7" s="1038">
        <v>43179</v>
      </c>
      <c r="ARG7" s="1038">
        <v>43180</v>
      </c>
      <c r="ARH7" s="1038">
        <v>43181</v>
      </c>
      <c r="ARI7" s="1038">
        <v>43182</v>
      </c>
      <c r="ARJ7" s="1038">
        <v>43183</v>
      </c>
      <c r="ARK7" s="1038">
        <v>43184</v>
      </c>
      <c r="ARL7" s="1038">
        <v>43185</v>
      </c>
      <c r="ARM7" s="1038">
        <v>43186</v>
      </c>
      <c r="ARN7" s="1038">
        <v>43187</v>
      </c>
      <c r="ARO7" s="1038">
        <v>43188</v>
      </c>
      <c r="ARP7" s="1038">
        <v>43189</v>
      </c>
      <c r="ARQ7" s="1038">
        <v>43190</v>
      </c>
      <c r="ARR7" s="1038">
        <v>43191</v>
      </c>
      <c r="ARS7" s="1038">
        <v>43192</v>
      </c>
      <c r="ART7" s="1038">
        <v>43193</v>
      </c>
      <c r="ARU7" s="1038">
        <v>43194</v>
      </c>
      <c r="ARV7" s="1038">
        <v>43195</v>
      </c>
      <c r="ARW7" s="1038">
        <v>43196</v>
      </c>
      <c r="ARX7" s="1038">
        <v>43197</v>
      </c>
      <c r="ARY7" s="1038">
        <v>43198</v>
      </c>
      <c r="ARZ7" s="1038">
        <v>43199</v>
      </c>
      <c r="ASA7" s="1038">
        <v>43200</v>
      </c>
      <c r="ASB7" s="1038">
        <v>43201</v>
      </c>
      <c r="ASC7" s="1038">
        <v>43202</v>
      </c>
      <c r="ASD7" s="1038">
        <v>43203</v>
      </c>
      <c r="ASE7" s="1038">
        <v>43204</v>
      </c>
      <c r="ASF7" s="1038">
        <v>43205</v>
      </c>
      <c r="ASG7" s="1038">
        <v>43206</v>
      </c>
      <c r="ASH7" s="1038">
        <v>43207</v>
      </c>
      <c r="ASI7" s="1038">
        <v>43208</v>
      </c>
      <c r="ASJ7" s="1038">
        <v>43209</v>
      </c>
      <c r="ASK7" s="1038">
        <v>43210</v>
      </c>
      <c r="ASL7" s="1038">
        <v>43211</v>
      </c>
      <c r="ASM7" s="1038">
        <v>43212</v>
      </c>
      <c r="ASN7" s="1038">
        <v>43213</v>
      </c>
      <c r="ASO7" s="1038">
        <v>43214</v>
      </c>
      <c r="ASP7" s="1038">
        <v>43215</v>
      </c>
      <c r="ASQ7" s="1038">
        <v>43216</v>
      </c>
      <c r="ASR7" s="1038">
        <v>43217</v>
      </c>
      <c r="ASS7" s="1038">
        <v>43218</v>
      </c>
      <c r="AST7" s="1038">
        <v>43219</v>
      </c>
      <c r="ASU7" s="1038">
        <v>43220</v>
      </c>
      <c r="ASV7" s="1038">
        <v>43221</v>
      </c>
      <c r="ASW7" s="1038">
        <v>43222</v>
      </c>
      <c r="ASX7" s="1038">
        <v>43223</v>
      </c>
      <c r="ASY7" s="1038">
        <v>43224</v>
      </c>
      <c r="ASZ7" s="1038">
        <v>43225</v>
      </c>
      <c r="ATA7" s="1038">
        <v>43226</v>
      </c>
      <c r="ATB7" s="1038">
        <v>43227</v>
      </c>
      <c r="ATC7" s="1038">
        <v>43228</v>
      </c>
      <c r="ATD7" s="1038">
        <v>43229</v>
      </c>
      <c r="ATE7" s="1038">
        <v>43230</v>
      </c>
      <c r="ATF7" s="1038">
        <v>43231</v>
      </c>
      <c r="ATG7" s="1038">
        <v>43232</v>
      </c>
      <c r="ATH7" s="1038">
        <v>43233</v>
      </c>
      <c r="ATI7" s="1038">
        <v>43234</v>
      </c>
      <c r="ATJ7" s="1038">
        <v>43235</v>
      </c>
      <c r="ATK7" s="1038">
        <v>43236</v>
      </c>
      <c r="ATL7" s="1038">
        <v>43237</v>
      </c>
      <c r="ATM7" s="1038">
        <v>43238</v>
      </c>
      <c r="ATN7" s="1038">
        <v>43239</v>
      </c>
      <c r="ATO7" s="1038">
        <v>43240</v>
      </c>
      <c r="ATP7" s="1038">
        <v>43241</v>
      </c>
      <c r="ATQ7" s="1038">
        <v>43242</v>
      </c>
      <c r="ATR7" s="1038">
        <v>43243</v>
      </c>
      <c r="ATS7" s="1038">
        <v>43244</v>
      </c>
      <c r="ATT7" s="1038">
        <v>43245</v>
      </c>
      <c r="ATU7" s="1038">
        <v>43246</v>
      </c>
      <c r="ATV7" s="1038">
        <v>43247</v>
      </c>
      <c r="ATW7" s="1038">
        <v>43248</v>
      </c>
      <c r="ATX7" s="1038">
        <v>43249</v>
      </c>
      <c r="ATY7" s="1038">
        <v>43250</v>
      </c>
      <c r="ATZ7" s="1038">
        <v>43251</v>
      </c>
      <c r="AUA7" s="1038">
        <v>43252</v>
      </c>
      <c r="AUB7" s="1038">
        <v>43253</v>
      </c>
      <c r="AUC7" s="1038">
        <v>43254</v>
      </c>
      <c r="AUD7" s="1038">
        <v>43255</v>
      </c>
      <c r="AUE7" s="1038">
        <v>43256</v>
      </c>
      <c r="AUF7" s="1038">
        <v>43257</v>
      </c>
      <c r="AUG7" s="1038">
        <v>43258</v>
      </c>
      <c r="AUH7" s="1038">
        <v>43259</v>
      </c>
      <c r="AUI7" s="1038">
        <v>43260</v>
      </c>
      <c r="AUJ7" s="1038">
        <v>43261</v>
      </c>
      <c r="AUK7" s="1038">
        <v>43262</v>
      </c>
      <c r="AUL7" s="1038">
        <v>43263</v>
      </c>
      <c r="AUM7" s="1038">
        <v>43264</v>
      </c>
      <c r="AUN7" s="1038">
        <v>43265</v>
      </c>
      <c r="AUO7" s="1038">
        <v>43266</v>
      </c>
      <c r="AUP7" s="1038">
        <v>43267</v>
      </c>
      <c r="AUQ7" s="1038">
        <v>43268</v>
      </c>
      <c r="AUR7" s="1038">
        <v>43269</v>
      </c>
      <c r="AUS7" s="1038">
        <v>43270</v>
      </c>
      <c r="AUT7" s="1038">
        <v>43271</v>
      </c>
      <c r="AUU7" s="1038">
        <v>43272</v>
      </c>
      <c r="AUV7" s="1038">
        <v>43273</v>
      </c>
      <c r="AUW7" s="1038">
        <v>43274</v>
      </c>
      <c r="AUX7" s="1038">
        <v>43275</v>
      </c>
      <c r="AUY7" s="1038">
        <v>43276</v>
      </c>
      <c r="AUZ7" s="1038">
        <v>43277</v>
      </c>
      <c r="AVA7" s="1038">
        <v>43278</v>
      </c>
      <c r="AVB7" s="1038">
        <v>43279</v>
      </c>
      <c r="AVC7" s="1038">
        <v>43280</v>
      </c>
      <c r="AVD7" s="1038">
        <v>43281</v>
      </c>
      <c r="AVE7" s="1038">
        <v>43282</v>
      </c>
      <c r="AVF7" s="1038">
        <v>43283</v>
      </c>
      <c r="AVG7" s="1038">
        <v>43284</v>
      </c>
      <c r="AVH7" s="1038">
        <v>43285</v>
      </c>
      <c r="AVI7" s="1038">
        <v>43286</v>
      </c>
      <c r="AVJ7" s="1038">
        <v>43287</v>
      </c>
      <c r="AVK7" s="1038">
        <v>43288</v>
      </c>
      <c r="AVL7" s="1038">
        <v>43289</v>
      </c>
      <c r="AVM7" s="1038">
        <v>43290</v>
      </c>
      <c r="AVN7" s="1038">
        <v>43291</v>
      </c>
      <c r="AVO7" s="1038">
        <v>43292</v>
      </c>
      <c r="AVP7" s="1038">
        <v>43293</v>
      </c>
      <c r="AVQ7" s="1038">
        <v>43294</v>
      </c>
      <c r="AVR7" s="1038">
        <v>43295</v>
      </c>
      <c r="AVS7" s="1038">
        <v>43296</v>
      </c>
      <c r="AVT7" s="1038">
        <v>43297</v>
      </c>
      <c r="AVU7" s="1038">
        <v>43298</v>
      </c>
      <c r="AVV7" s="1038">
        <v>43299</v>
      </c>
      <c r="AVW7" s="1038">
        <v>43300</v>
      </c>
      <c r="AVX7" s="1038">
        <v>43301</v>
      </c>
      <c r="AVY7" s="1038">
        <v>43302</v>
      </c>
      <c r="AVZ7" s="1038">
        <v>43303</v>
      </c>
      <c r="AWA7" s="1038">
        <v>43304</v>
      </c>
      <c r="AWB7" s="1038">
        <v>43305</v>
      </c>
      <c r="AWC7" s="1038">
        <v>43306</v>
      </c>
      <c r="AWD7" s="1038">
        <v>43307</v>
      </c>
      <c r="AWE7" s="1038">
        <v>43308</v>
      </c>
      <c r="AWF7" s="1038">
        <v>43309</v>
      </c>
      <c r="AWG7" s="1038">
        <v>43310</v>
      </c>
      <c r="AWH7" s="1038">
        <v>43311</v>
      </c>
      <c r="AWI7" s="1038">
        <v>43312</v>
      </c>
      <c r="AWJ7" s="1038">
        <v>43313</v>
      </c>
      <c r="AWK7" s="1038">
        <v>43314</v>
      </c>
      <c r="AWL7" s="1038">
        <v>43315</v>
      </c>
      <c r="AWM7" s="1038">
        <v>43316</v>
      </c>
      <c r="AWN7" s="1038">
        <v>43317</v>
      </c>
      <c r="AWO7" s="1038">
        <v>43318</v>
      </c>
      <c r="AWP7" s="1038">
        <v>43319</v>
      </c>
      <c r="AWQ7" s="1038">
        <v>43320</v>
      </c>
      <c r="AWR7" s="1038">
        <v>43321</v>
      </c>
      <c r="AWS7" s="1038">
        <v>43322</v>
      </c>
      <c r="AWT7" s="1038">
        <v>43323</v>
      </c>
      <c r="AWU7" s="1038">
        <v>43324</v>
      </c>
      <c r="AWV7" s="1038">
        <v>43325</v>
      </c>
      <c r="AWW7" s="1038">
        <v>43326</v>
      </c>
      <c r="AWX7" s="1038">
        <v>43327</v>
      </c>
      <c r="AWY7" s="1038">
        <v>43328</v>
      </c>
      <c r="AWZ7" s="1038">
        <v>43329</v>
      </c>
      <c r="AXA7" s="1038">
        <v>43330</v>
      </c>
      <c r="AXB7" s="1038">
        <v>43331</v>
      </c>
      <c r="AXC7" s="1038">
        <v>43332</v>
      </c>
      <c r="AXD7" s="1038">
        <v>43333</v>
      </c>
      <c r="AXE7" s="1038">
        <v>43334</v>
      </c>
      <c r="AXF7" s="1038">
        <v>43335</v>
      </c>
      <c r="AXG7" s="1038">
        <v>43336</v>
      </c>
      <c r="AXH7" s="1038">
        <v>43337</v>
      </c>
      <c r="AXI7" s="1038">
        <v>43338</v>
      </c>
      <c r="AXJ7" s="1038">
        <v>43339</v>
      </c>
      <c r="AXK7" s="1038">
        <v>43340</v>
      </c>
      <c r="AXL7" s="1038">
        <v>43341</v>
      </c>
      <c r="AXM7" s="1038">
        <v>43342</v>
      </c>
      <c r="AXN7" s="1038">
        <v>43343</v>
      </c>
      <c r="AXO7" s="1038">
        <v>43344</v>
      </c>
      <c r="AXP7" s="1038">
        <v>43345</v>
      </c>
      <c r="AXQ7" s="1038">
        <v>43346</v>
      </c>
      <c r="AXR7" s="1038">
        <v>43347</v>
      </c>
      <c r="AXS7" s="1038">
        <v>43348</v>
      </c>
      <c r="AXT7" s="1038">
        <v>43349</v>
      </c>
      <c r="AXU7" s="1038">
        <v>43350</v>
      </c>
      <c r="AXV7" s="1038">
        <v>43351</v>
      </c>
      <c r="AXW7" s="1038">
        <v>43352</v>
      </c>
      <c r="AXX7" s="1038">
        <v>43353</v>
      </c>
      <c r="AXY7" s="1038">
        <v>43354</v>
      </c>
      <c r="AXZ7" s="1038">
        <v>43355</v>
      </c>
      <c r="AYA7" s="1038">
        <v>43356</v>
      </c>
      <c r="AYB7" s="1038">
        <v>43357</v>
      </c>
      <c r="AYC7" s="1038">
        <v>43358</v>
      </c>
      <c r="AYD7" s="1038">
        <v>43359</v>
      </c>
      <c r="AYE7" s="1038">
        <v>43360</v>
      </c>
      <c r="AYF7" s="1038">
        <v>43361</v>
      </c>
      <c r="AYG7" s="1038">
        <v>43362</v>
      </c>
      <c r="AYH7" s="1038">
        <v>43363</v>
      </c>
      <c r="AYI7" s="1038">
        <v>43364</v>
      </c>
      <c r="AYJ7" s="1038">
        <v>43365</v>
      </c>
      <c r="AYK7" s="1038">
        <v>43366</v>
      </c>
      <c r="AYL7" s="1038">
        <v>43367</v>
      </c>
      <c r="AYM7" s="1038">
        <v>43368</v>
      </c>
      <c r="AYN7" s="1038">
        <v>43369</v>
      </c>
      <c r="AYO7" s="1038">
        <v>43370</v>
      </c>
      <c r="AYP7" s="1038">
        <v>43371</v>
      </c>
      <c r="AYQ7" s="1038">
        <v>43372</v>
      </c>
      <c r="AYR7" s="1038">
        <v>43373</v>
      </c>
      <c r="AYS7" s="1038">
        <v>43374</v>
      </c>
      <c r="AYT7" s="1038">
        <v>43375</v>
      </c>
      <c r="AYU7" s="1038">
        <v>43376</v>
      </c>
      <c r="AYV7" s="1038">
        <v>43377</v>
      </c>
      <c r="AYW7" s="1038">
        <v>43378</v>
      </c>
      <c r="AYX7" s="1038">
        <v>43379</v>
      </c>
      <c r="AYY7" s="1038">
        <v>43380</v>
      </c>
      <c r="AYZ7" s="1038">
        <v>43381</v>
      </c>
      <c r="AZA7" s="1038">
        <v>43382</v>
      </c>
      <c r="AZB7" s="1038">
        <v>43383</v>
      </c>
      <c r="AZC7" s="1038">
        <v>43384</v>
      </c>
      <c r="AZD7" s="1038">
        <v>43385</v>
      </c>
      <c r="AZE7" s="1038">
        <v>43386</v>
      </c>
      <c r="AZF7" s="1038">
        <v>43387</v>
      </c>
      <c r="AZG7" s="1038">
        <v>43388</v>
      </c>
      <c r="AZH7" s="1038">
        <v>43389</v>
      </c>
      <c r="AZI7" s="1038">
        <v>43390</v>
      </c>
      <c r="AZJ7" s="1038">
        <v>43391</v>
      </c>
      <c r="AZK7" s="1038">
        <v>43392</v>
      </c>
      <c r="AZL7" s="1038">
        <v>43393</v>
      </c>
      <c r="AZM7" s="1038">
        <v>43394</v>
      </c>
      <c r="AZN7" s="1038">
        <v>43395</v>
      </c>
      <c r="AZO7" s="1038">
        <v>43396</v>
      </c>
      <c r="AZP7" s="1038">
        <v>43397</v>
      </c>
      <c r="AZQ7" s="1038">
        <v>43398</v>
      </c>
      <c r="AZR7" s="1038">
        <v>43399</v>
      </c>
      <c r="AZS7" s="1038">
        <v>43400</v>
      </c>
      <c r="AZT7" s="1038">
        <v>43401</v>
      </c>
      <c r="AZU7" s="1038">
        <v>43402</v>
      </c>
      <c r="AZV7" s="1038">
        <v>43403</v>
      </c>
      <c r="AZW7" s="1038">
        <v>43404</v>
      </c>
      <c r="AZX7" s="1038">
        <v>43405</v>
      </c>
      <c r="AZY7" s="1038">
        <v>43406</v>
      </c>
      <c r="AZZ7" s="1038">
        <v>43407</v>
      </c>
      <c r="BAA7" s="1038">
        <v>43408</v>
      </c>
      <c r="BAB7" s="1038">
        <v>43409</v>
      </c>
      <c r="BAC7" s="1038">
        <v>43410</v>
      </c>
      <c r="BAD7" s="1038">
        <v>43411</v>
      </c>
      <c r="BAE7" s="1038">
        <v>43412</v>
      </c>
      <c r="BAF7" s="1038">
        <v>43413</v>
      </c>
      <c r="BAG7" s="1038">
        <v>43414</v>
      </c>
      <c r="BAH7" s="1038">
        <v>43415</v>
      </c>
      <c r="BAI7" s="1038">
        <v>43416</v>
      </c>
      <c r="BAJ7" s="1038">
        <v>43417</v>
      </c>
      <c r="BAK7" s="1038">
        <v>43418</v>
      </c>
      <c r="BAL7" s="1038">
        <v>43419</v>
      </c>
      <c r="BAM7" s="1038">
        <v>43420</v>
      </c>
      <c r="BAN7" s="1038">
        <v>43421</v>
      </c>
      <c r="BAO7" s="1038">
        <v>43422</v>
      </c>
      <c r="BAP7" s="1038">
        <v>43423</v>
      </c>
      <c r="BAQ7" s="1038">
        <v>43424</v>
      </c>
      <c r="BAR7" s="1038">
        <v>43425</v>
      </c>
      <c r="BAS7" s="1038">
        <v>43426</v>
      </c>
      <c r="BAT7" s="1038">
        <v>43427</v>
      </c>
      <c r="BAU7" s="1038">
        <v>43428</v>
      </c>
      <c r="BAV7" s="1038">
        <v>43429</v>
      </c>
      <c r="BAW7" s="1038">
        <v>43430</v>
      </c>
      <c r="BAX7" s="1038">
        <v>43431</v>
      </c>
      <c r="BAY7" s="1038">
        <v>43432</v>
      </c>
      <c r="BAZ7" s="1038">
        <v>43433</v>
      </c>
      <c r="BBA7" s="1038">
        <v>43434</v>
      </c>
      <c r="BBB7" s="1038">
        <v>43435</v>
      </c>
      <c r="BBC7" s="1038">
        <v>43436</v>
      </c>
      <c r="BBD7" s="1038">
        <v>43437</v>
      </c>
      <c r="BBE7" s="1038">
        <v>43438</v>
      </c>
      <c r="BBF7" s="1038">
        <v>43439</v>
      </c>
      <c r="BBG7" s="1038">
        <v>43440</v>
      </c>
      <c r="BBH7" s="1038">
        <v>43441</v>
      </c>
      <c r="BBI7" s="1038">
        <v>43442</v>
      </c>
      <c r="BBJ7" s="1038">
        <v>43443</v>
      </c>
      <c r="BBK7" s="1038">
        <v>43444</v>
      </c>
      <c r="BBL7" s="1038">
        <v>43445</v>
      </c>
      <c r="BBM7" s="1038">
        <v>43446</v>
      </c>
      <c r="BBN7" s="1038">
        <v>43447</v>
      </c>
      <c r="BBO7" s="1038">
        <v>43448</v>
      </c>
      <c r="BBP7" s="1038">
        <v>43449</v>
      </c>
      <c r="BBQ7" s="1038">
        <v>43450</v>
      </c>
      <c r="BBR7" s="1038">
        <v>43451</v>
      </c>
      <c r="BBS7" s="1038">
        <v>43452</v>
      </c>
      <c r="BBT7" s="1038">
        <v>43453</v>
      </c>
      <c r="BBU7" s="1038">
        <v>43454</v>
      </c>
      <c r="BBV7" s="1038">
        <v>43455</v>
      </c>
      <c r="BBW7" s="1038">
        <v>43456</v>
      </c>
      <c r="BBX7" s="1038">
        <v>43457</v>
      </c>
      <c r="BBY7" s="1038">
        <v>43458</v>
      </c>
      <c r="BBZ7" s="1038">
        <v>43459</v>
      </c>
      <c r="BCA7" s="1038">
        <v>43460</v>
      </c>
      <c r="BCB7" s="1038">
        <v>43461</v>
      </c>
      <c r="BCC7" s="1038">
        <v>43462</v>
      </c>
      <c r="BCD7" s="1038">
        <v>43463</v>
      </c>
      <c r="BCE7" s="1038">
        <v>43464</v>
      </c>
      <c r="BCF7" s="1038">
        <v>43465</v>
      </c>
      <c r="BCG7" s="1038">
        <v>43466</v>
      </c>
      <c r="BCH7" s="1038">
        <v>43467</v>
      </c>
      <c r="BCI7" s="1038">
        <v>43468</v>
      </c>
      <c r="BCJ7" s="1038">
        <v>43469</v>
      </c>
      <c r="BCK7" s="1038">
        <v>43470</v>
      </c>
      <c r="BCL7" s="1038">
        <v>43471</v>
      </c>
      <c r="BCM7" s="1038">
        <v>43472</v>
      </c>
      <c r="BCN7" s="1038">
        <v>43473</v>
      </c>
      <c r="BCO7" s="1038">
        <v>43474</v>
      </c>
      <c r="BCP7" s="1038">
        <v>43475</v>
      </c>
      <c r="BCQ7" s="1038">
        <v>43476</v>
      </c>
      <c r="BCR7" s="1038">
        <v>43477</v>
      </c>
      <c r="BCS7" s="1038">
        <v>43478</v>
      </c>
      <c r="BCT7" s="1038">
        <v>43479</v>
      </c>
      <c r="BCU7" s="1038">
        <v>43480</v>
      </c>
      <c r="BCV7" s="1038">
        <v>43481</v>
      </c>
      <c r="BCW7" s="1038">
        <v>43482</v>
      </c>
      <c r="BCX7" s="1038">
        <v>43483</v>
      </c>
      <c r="BCY7" s="1038">
        <v>43484</v>
      </c>
      <c r="BCZ7" s="1038">
        <v>43485</v>
      </c>
      <c r="BDA7" s="1038">
        <v>43486</v>
      </c>
      <c r="BDB7" s="1038">
        <v>43487</v>
      </c>
      <c r="BDC7" s="1038">
        <v>43488</v>
      </c>
      <c r="BDD7" s="1038">
        <v>43489</v>
      </c>
      <c r="BDE7" s="1038">
        <v>43490</v>
      </c>
      <c r="BDF7" s="1038">
        <v>43491</v>
      </c>
      <c r="BDG7" s="1038">
        <v>43492</v>
      </c>
      <c r="BDH7" s="1038">
        <v>43493</v>
      </c>
      <c r="BDI7" s="1038">
        <v>43494</v>
      </c>
      <c r="BDJ7" s="1038">
        <v>43495</v>
      </c>
      <c r="BDK7" s="1038">
        <v>43496</v>
      </c>
      <c r="BDL7" s="1038">
        <v>43497</v>
      </c>
      <c r="BDM7" s="1038">
        <v>43498</v>
      </c>
      <c r="BDN7" s="1038">
        <v>43499</v>
      </c>
      <c r="BDO7" s="1038">
        <v>43500</v>
      </c>
      <c r="BDP7" s="1038">
        <v>43501</v>
      </c>
      <c r="BDQ7" s="1038">
        <v>43502</v>
      </c>
      <c r="BDR7" s="1038">
        <v>43503</v>
      </c>
      <c r="BDS7" s="1038">
        <v>43504</v>
      </c>
      <c r="BDT7" s="1038">
        <v>43505</v>
      </c>
      <c r="BDU7" s="1038">
        <v>43506</v>
      </c>
      <c r="BDV7" s="1038">
        <v>43507</v>
      </c>
      <c r="BDW7" s="1038">
        <v>43508</v>
      </c>
      <c r="BDX7" s="1038">
        <v>43509</v>
      </c>
      <c r="BDY7" s="1038">
        <v>43510</v>
      </c>
      <c r="BDZ7" s="1038">
        <v>43511</v>
      </c>
      <c r="BEA7" s="1038">
        <v>43512</v>
      </c>
      <c r="BEB7" s="1038">
        <v>43513</v>
      </c>
      <c r="BEC7" s="1038">
        <v>43514</v>
      </c>
      <c r="BED7" s="1038">
        <v>43515</v>
      </c>
      <c r="BEE7" s="1038">
        <v>43516</v>
      </c>
      <c r="BEF7" s="1038">
        <v>43517</v>
      </c>
      <c r="BEG7" s="1038">
        <v>43518</v>
      </c>
      <c r="BEH7" s="1038">
        <v>43519</v>
      </c>
      <c r="BEI7" s="1038">
        <v>43520</v>
      </c>
      <c r="BEJ7" s="1038">
        <v>43521</v>
      </c>
      <c r="BEK7" s="1038">
        <v>43522</v>
      </c>
      <c r="BEL7" s="1038">
        <v>43523</v>
      </c>
      <c r="BEM7" s="1038">
        <v>43524</v>
      </c>
      <c r="BEN7" s="1038">
        <v>43525</v>
      </c>
      <c r="BEO7" s="1038">
        <v>43526</v>
      </c>
      <c r="BEP7" s="1038">
        <v>43527</v>
      </c>
      <c r="BEQ7" s="1038">
        <v>43528</v>
      </c>
      <c r="BER7" s="1038">
        <v>43529</v>
      </c>
      <c r="BES7" s="1038">
        <v>43530</v>
      </c>
      <c r="BET7" s="1038">
        <v>43531</v>
      </c>
      <c r="BEU7" s="1038">
        <v>43532</v>
      </c>
      <c r="BEV7" s="1038">
        <v>43533</v>
      </c>
      <c r="BEW7" s="1038">
        <v>43534</v>
      </c>
      <c r="BEX7" s="1038">
        <v>43535</v>
      </c>
      <c r="BEY7" s="1038">
        <v>43536</v>
      </c>
      <c r="BEZ7" s="1038">
        <v>43537</v>
      </c>
      <c r="BFA7" s="1038">
        <v>43538</v>
      </c>
      <c r="BFB7" s="1038">
        <v>43539</v>
      </c>
      <c r="BFC7" s="1038">
        <v>43540</v>
      </c>
      <c r="BFD7" s="1038">
        <v>43541</v>
      </c>
      <c r="BFE7" s="1038">
        <v>43542</v>
      </c>
      <c r="BFF7" s="1038">
        <v>43543</v>
      </c>
      <c r="BFG7" s="1038">
        <v>43544</v>
      </c>
      <c r="BFH7" s="1038">
        <v>43545</v>
      </c>
      <c r="BFI7" s="1038">
        <v>43546</v>
      </c>
      <c r="BFJ7" s="1038">
        <v>43547</v>
      </c>
      <c r="BFK7" s="1038">
        <v>43548</v>
      </c>
      <c r="BFL7" s="1038">
        <v>43549</v>
      </c>
      <c r="BFM7" s="1038">
        <v>43550</v>
      </c>
      <c r="BFN7" s="1038">
        <v>43551</v>
      </c>
      <c r="BFO7" s="1038">
        <v>43552</v>
      </c>
      <c r="BFP7" s="1038">
        <v>43553</v>
      </c>
      <c r="BFQ7" s="1038">
        <v>43554</v>
      </c>
      <c r="BFR7" s="1038">
        <v>43555</v>
      </c>
      <c r="BFS7" s="1038">
        <v>43556</v>
      </c>
      <c r="BFT7" s="1038">
        <v>43557</v>
      </c>
      <c r="BFU7" s="1038">
        <v>43558</v>
      </c>
      <c r="BFV7" s="1038">
        <v>43559</v>
      </c>
      <c r="BFW7" s="1038">
        <v>43560</v>
      </c>
      <c r="BFX7" s="1038">
        <v>43561</v>
      </c>
      <c r="BFY7" s="1038">
        <v>43562</v>
      </c>
      <c r="BFZ7" s="1038">
        <v>43563</v>
      </c>
      <c r="BGA7" s="1038">
        <v>43564</v>
      </c>
      <c r="BGB7" s="1038">
        <v>43565</v>
      </c>
      <c r="BGC7" s="1038">
        <v>43566</v>
      </c>
      <c r="BGD7" s="1038">
        <v>43567</v>
      </c>
      <c r="BGE7" s="1038">
        <v>43568</v>
      </c>
      <c r="BGF7" s="1038">
        <v>43569</v>
      </c>
      <c r="BGG7" s="1038">
        <v>43570</v>
      </c>
      <c r="BGH7" s="1038">
        <v>43571</v>
      </c>
      <c r="BGI7" s="1038">
        <v>43572</v>
      </c>
      <c r="BGJ7" s="1038">
        <v>43573</v>
      </c>
      <c r="BGK7" s="1038">
        <v>43574</v>
      </c>
      <c r="BGL7" s="1038">
        <v>43575</v>
      </c>
      <c r="BGM7" s="1038">
        <v>43693</v>
      </c>
      <c r="BGN7" s="1038">
        <v>43694</v>
      </c>
      <c r="BGO7" s="1038">
        <v>43695</v>
      </c>
      <c r="BGP7" s="1038">
        <v>43696</v>
      </c>
      <c r="BGQ7" s="1038">
        <v>43697</v>
      </c>
      <c r="BGR7" s="1038">
        <v>43698</v>
      </c>
      <c r="BGS7" s="1038">
        <v>43699</v>
      </c>
      <c r="BGT7" s="1038">
        <v>43700</v>
      </c>
      <c r="BGU7" s="1038">
        <v>43701</v>
      </c>
      <c r="BGV7" s="1038">
        <v>43702</v>
      </c>
      <c r="BGW7" s="1038">
        <v>43703</v>
      </c>
      <c r="BGX7" s="1038">
        <v>43704</v>
      </c>
      <c r="BGY7" s="1038">
        <v>43705</v>
      </c>
      <c r="BGZ7" s="1038">
        <v>43706</v>
      </c>
      <c r="BHA7" s="1038">
        <v>43707</v>
      </c>
      <c r="BHB7" s="1038">
        <v>43708</v>
      </c>
      <c r="BHC7" s="1038">
        <v>43709</v>
      </c>
      <c r="BHD7" s="1038">
        <v>43710</v>
      </c>
      <c r="BHE7" s="1038">
        <v>43711</v>
      </c>
      <c r="BHF7" s="1038">
        <v>43712</v>
      </c>
      <c r="BHG7" s="1038">
        <v>43713</v>
      </c>
      <c r="BHH7" s="1038">
        <v>43714</v>
      </c>
      <c r="BHI7" s="1038">
        <v>43715</v>
      </c>
      <c r="BHJ7" s="1038">
        <v>43716</v>
      </c>
      <c r="BHK7" s="1038">
        <v>43717</v>
      </c>
      <c r="BHL7" s="1038">
        <v>43718</v>
      </c>
      <c r="BHM7" s="1038">
        <v>43719</v>
      </c>
      <c r="BHN7" s="1038">
        <v>43720</v>
      </c>
      <c r="BHO7" s="1038">
        <v>43721</v>
      </c>
      <c r="BHP7" s="1038">
        <v>43722</v>
      </c>
      <c r="BHQ7" s="1038">
        <v>43723</v>
      </c>
      <c r="BHR7" s="1038">
        <v>43724</v>
      </c>
      <c r="BHS7" s="1038">
        <v>43725</v>
      </c>
      <c r="BHT7" s="1038">
        <v>43726</v>
      </c>
      <c r="BHU7" s="1038">
        <v>43727</v>
      </c>
    </row>
    <row r="8" spans="1:1615" ht="31.5" hidden="1" customHeight="1" x14ac:dyDescent="0.2">
      <c r="A8" s="1"/>
      <c r="B8" s="1"/>
      <c r="C8" s="1"/>
      <c r="D8" s="1"/>
      <c r="E8" s="1142"/>
      <c r="F8" s="1142"/>
      <c r="G8" s="1142"/>
      <c r="H8" s="1135">
        <f>H9*1.12</f>
        <v>1709.7920000000001</v>
      </c>
      <c r="I8" s="11">
        <f t="shared" ref="I8:Q8" si="0">I9*1.12</f>
        <v>3260.32</v>
      </c>
      <c r="J8" s="11">
        <f t="shared" si="0"/>
        <v>2194.3040000000001</v>
      </c>
      <c r="K8" s="11">
        <f t="shared" si="0"/>
        <v>1758.2880000000002</v>
      </c>
      <c r="L8" s="11">
        <f t="shared" si="0"/>
        <v>3301.76</v>
      </c>
      <c r="M8" s="11">
        <f t="shared" si="0"/>
        <v>1723.68</v>
      </c>
      <c r="N8" s="11">
        <f t="shared" si="0"/>
        <v>2492.0000000000005</v>
      </c>
      <c r="O8" s="11">
        <f t="shared" si="0"/>
        <v>1584.8000000000002</v>
      </c>
      <c r="P8" s="11">
        <f t="shared" si="0"/>
        <v>1489.6000000000001</v>
      </c>
      <c r="Q8" s="11">
        <f t="shared" si="0"/>
        <v>1233.1200000000001</v>
      </c>
      <c r="R8" s="11">
        <f t="shared" ref="R8:AQ8" si="1">R9*1.12</f>
        <v>2478.5600000000004</v>
      </c>
      <c r="S8" s="11">
        <f t="shared" si="1"/>
        <v>1855.8400000000001</v>
      </c>
      <c r="T8" s="11">
        <f t="shared" si="1"/>
        <v>2437.1200000000003</v>
      </c>
      <c r="U8" s="11">
        <f t="shared" si="1"/>
        <v>3620.9600000000005</v>
      </c>
      <c r="V8" s="11">
        <f t="shared" si="1"/>
        <v>1066.24</v>
      </c>
      <c r="W8" s="11">
        <f t="shared" si="1"/>
        <v>1994.7200000000003</v>
      </c>
      <c r="X8" s="11">
        <f t="shared" si="1"/>
        <v>2306.0800000000004</v>
      </c>
      <c r="Y8" s="11">
        <f t="shared" si="1"/>
        <v>2713.76</v>
      </c>
      <c r="Z8" s="11">
        <f t="shared" si="1"/>
        <v>1308.1600000000001</v>
      </c>
      <c r="AA8" s="11">
        <f t="shared" si="1"/>
        <v>3399.2000000000003</v>
      </c>
      <c r="AB8" s="11">
        <f t="shared" si="1"/>
        <v>2582.7200000000003</v>
      </c>
      <c r="AC8" s="11">
        <f t="shared" si="1"/>
        <v>2354.2400000000002</v>
      </c>
      <c r="AD8" s="11">
        <f t="shared" si="1"/>
        <v>776.16000000000008</v>
      </c>
      <c r="AE8" s="11">
        <f t="shared" si="1"/>
        <v>907.2</v>
      </c>
      <c r="AF8" s="11">
        <f t="shared" si="1"/>
        <v>637.28000000000009</v>
      </c>
      <c r="AG8" s="11">
        <f t="shared" si="1"/>
        <v>1821.1200000000001</v>
      </c>
      <c r="AH8" s="11">
        <f t="shared" si="1"/>
        <v>2720.4800000000005</v>
      </c>
      <c r="AI8" s="11">
        <f t="shared" si="1"/>
        <v>2887.36</v>
      </c>
      <c r="AJ8" s="11">
        <f t="shared" si="1"/>
        <v>2610.7200000000003</v>
      </c>
      <c r="AK8" s="11">
        <f t="shared" si="1"/>
        <v>3170.7200000000003</v>
      </c>
      <c r="AL8" s="11">
        <f t="shared" si="1"/>
        <v>3392.4800000000005</v>
      </c>
      <c r="AM8" s="11">
        <f t="shared" si="1"/>
        <v>3523.5200000000004</v>
      </c>
      <c r="AN8" s="11">
        <f t="shared" si="1"/>
        <v>3308.4800000000005</v>
      </c>
      <c r="AO8" s="11">
        <f t="shared" si="1"/>
        <v>2471.84</v>
      </c>
      <c r="AP8" s="11">
        <f t="shared" si="1"/>
        <v>858.81600000000003</v>
      </c>
      <c r="AQ8" s="11">
        <f t="shared" si="1"/>
        <v>616.67200000000014</v>
      </c>
      <c r="AR8" s="11">
        <f>AR9*1.0884</f>
        <v>692.22239999999999</v>
      </c>
      <c r="AS8" s="11">
        <f t="shared" ref="AS8:BA8" si="2">AS9*1.0884</f>
        <v>3055.1388000000002</v>
      </c>
      <c r="AT8" s="11">
        <f t="shared" si="2"/>
        <v>2994.1884</v>
      </c>
      <c r="AU8" s="11">
        <f t="shared" si="2"/>
        <v>2711.2044000000001</v>
      </c>
      <c r="AV8" s="11">
        <f t="shared" si="2"/>
        <v>2912.5583999999999</v>
      </c>
      <c r="AW8" s="11">
        <f t="shared" si="2"/>
        <v>2670.9336000000003</v>
      </c>
      <c r="AX8" s="11">
        <f t="shared" si="2"/>
        <v>3491.5871999999999</v>
      </c>
      <c r="AY8" s="11">
        <f t="shared" si="2"/>
        <v>2778.6851999999999</v>
      </c>
      <c r="AZ8" s="11">
        <f t="shared" si="2"/>
        <v>3835.5216</v>
      </c>
      <c r="BA8" s="11">
        <f t="shared" si="2"/>
        <v>2583.8616000000002</v>
      </c>
      <c r="BB8" s="11">
        <f t="shared" ref="BB8:BL8" si="3">BB9*1.12</f>
        <v>2042.88</v>
      </c>
      <c r="BC8" s="11">
        <f t="shared" si="3"/>
        <v>2741.76</v>
      </c>
      <c r="BD8" s="11">
        <f t="shared" si="3"/>
        <v>2832.4800000000005</v>
      </c>
      <c r="BE8" s="11">
        <f t="shared" si="3"/>
        <v>3627.6800000000003</v>
      </c>
      <c r="BF8" s="11">
        <f t="shared" si="3"/>
        <v>2652.1600000000003</v>
      </c>
      <c r="BG8" s="11">
        <f t="shared" si="3"/>
        <v>3538.0800000000004</v>
      </c>
      <c r="BH8" s="11">
        <f t="shared" si="3"/>
        <v>3407.0400000000004</v>
      </c>
      <c r="BI8" s="11">
        <f t="shared" si="3"/>
        <v>3662.4000000000005</v>
      </c>
      <c r="BJ8" s="11">
        <f t="shared" si="3"/>
        <v>2401.2800000000002</v>
      </c>
      <c r="BK8" s="11">
        <f t="shared" si="3"/>
        <v>4154.0800000000008</v>
      </c>
      <c r="BL8" s="11">
        <f t="shared" si="3"/>
        <v>3808.0000000000005</v>
      </c>
      <c r="BM8" s="11">
        <f t="shared" ref="BM8:CQ8" si="4">BM9*1.12</f>
        <v>3683.6800000000003</v>
      </c>
      <c r="BN8" s="11">
        <f t="shared" si="4"/>
        <v>3475.36</v>
      </c>
      <c r="BO8" s="11">
        <f t="shared" si="4"/>
        <v>2250.0800000000004</v>
      </c>
      <c r="BP8" s="11">
        <f t="shared" si="4"/>
        <v>1890.5600000000002</v>
      </c>
      <c r="BQ8" s="11">
        <f t="shared" si="4"/>
        <v>3171.84</v>
      </c>
      <c r="BR8" s="11">
        <f t="shared" si="4"/>
        <v>2256.8000000000002</v>
      </c>
      <c r="BS8" s="11">
        <f t="shared" si="4"/>
        <v>3448.4800000000005</v>
      </c>
      <c r="BT8" s="11">
        <f t="shared" si="4"/>
        <v>3475.36</v>
      </c>
      <c r="BU8" s="11">
        <f t="shared" si="4"/>
        <v>2167.2000000000003</v>
      </c>
      <c r="BV8" s="11">
        <f t="shared" si="4"/>
        <v>3566.0800000000004</v>
      </c>
      <c r="BW8" s="11">
        <f t="shared" si="4"/>
        <v>3268.1600000000003</v>
      </c>
      <c r="BX8" s="11">
        <f t="shared" si="4"/>
        <v>2513.2800000000002</v>
      </c>
      <c r="BY8" s="11">
        <f t="shared" si="4"/>
        <v>2430.4</v>
      </c>
      <c r="BZ8" s="11">
        <f t="shared" si="4"/>
        <v>5102.72</v>
      </c>
      <c r="CA8" s="11">
        <f t="shared" si="4"/>
        <v>2685.76</v>
      </c>
      <c r="CB8" s="11">
        <f t="shared" si="4"/>
        <v>1516.4800000000002</v>
      </c>
      <c r="CC8" s="11">
        <f t="shared" si="4"/>
        <v>5122.88</v>
      </c>
      <c r="CD8" s="11">
        <f t="shared" si="4"/>
        <v>3371.2000000000003</v>
      </c>
      <c r="CE8" s="11">
        <f t="shared" si="4"/>
        <v>2983.6800000000003</v>
      </c>
      <c r="CF8" s="11">
        <f t="shared" si="4"/>
        <v>3004.9600000000005</v>
      </c>
      <c r="CG8" s="11">
        <f t="shared" si="4"/>
        <v>1377.6000000000001</v>
      </c>
      <c r="CH8" s="11">
        <f t="shared" si="4"/>
        <v>4306.4000000000005</v>
      </c>
      <c r="CI8" s="11">
        <f t="shared" si="4"/>
        <v>3025.1200000000003</v>
      </c>
      <c r="CJ8" s="11">
        <f t="shared" si="4"/>
        <v>2811.2000000000003</v>
      </c>
      <c r="CK8" s="11">
        <f t="shared" si="4"/>
        <v>2499.84</v>
      </c>
      <c r="CL8" s="11">
        <f t="shared" si="4"/>
        <v>2513.2800000000002</v>
      </c>
      <c r="CM8" s="11">
        <f t="shared" si="4"/>
        <v>2700.32</v>
      </c>
      <c r="CN8" s="11">
        <f t="shared" si="4"/>
        <v>1718.0800000000002</v>
      </c>
      <c r="CO8" s="11">
        <f t="shared" si="4"/>
        <v>1205.1200000000001</v>
      </c>
      <c r="CP8" s="11">
        <f t="shared" si="4"/>
        <v>900.48000000000013</v>
      </c>
      <c r="CQ8" s="11">
        <f t="shared" si="4"/>
        <v>1703.5200000000002</v>
      </c>
      <c r="CR8" s="11">
        <f t="shared" ref="CR8:DT8" si="5">CR9*1.12</f>
        <v>2685.76</v>
      </c>
      <c r="CS8" s="11">
        <f t="shared" si="5"/>
        <v>2983.6800000000003</v>
      </c>
      <c r="CT8" s="11">
        <f t="shared" si="5"/>
        <v>2879.5200000000004</v>
      </c>
      <c r="CU8" s="11">
        <f t="shared" si="5"/>
        <v>2859.36</v>
      </c>
      <c r="CV8" s="11">
        <f t="shared" si="5"/>
        <v>3073.28</v>
      </c>
      <c r="CW8" s="11">
        <f t="shared" si="5"/>
        <v>3524.6400000000003</v>
      </c>
      <c r="CX8" s="11">
        <f t="shared" si="5"/>
        <v>2644.32</v>
      </c>
      <c r="CY8" s="11">
        <f t="shared" si="5"/>
        <v>2922.0800000000004</v>
      </c>
      <c r="CZ8" s="11">
        <f t="shared" si="5"/>
        <v>4763.3600000000006</v>
      </c>
      <c r="DA8" s="11">
        <f t="shared" si="5"/>
        <v>2554.7200000000003</v>
      </c>
      <c r="DB8" s="11">
        <f t="shared" si="5"/>
        <v>4126.0800000000008</v>
      </c>
      <c r="DC8" s="11">
        <f t="shared" si="5"/>
        <v>4036.4800000000005</v>
      </c>
      <c r="DD8" s="11">
        <f t="shared" si="5"/>
        <v>2652.1600000000003</v>
      </c>
      <c r="DE8" s="11">
        <f t="shared" si="5"/>
        <v>3461.9200000000005</v>
      </c>
      <c r="DF8" s="11">
        <f t="shared" si="5"/>
        <v>3261.4400000000005</v>
      </c>
      <c r="DG8" s="11">
        <f t="shared" si="5"/>
        <v>2132.48</v>
      </c>
      <c r="DH8" s="11">
        <f t="shared" si="5"/>
        <v>3029.6000000000004</v>
      </c>
      <c r="DI8" s="11">
        <f t="shared" si="5"/>
        <v>3808.0000000000005</v>
      </c>
      <c r="DJ8" s="11">
        <f t="shared" si="5"/>
        <v>2492.0000000000005</v>
      </c>
      <c r="DK8" s="11">
        <f t="shared" si="5"/>
        <v>2811.2000000000003</v>
      </c>
      <c r="DL8" s="11">
        <f t="shared" si="5"/>
        <v>2513.2800000000002</v>
      </c>
      <c r="DM8" s="11">
        <f t="shared" si="5"/>
        <v>1239.8400000000001</v>
      </c>
      <c r="DN8" s="11">
        <f t="shared" si="5"/>
        <v>1135.68</v>
      </c>
      <c r="DO8" s="11">
        <f t="shared" si="5"/>
        <v>3446.2400000000002</v>
      </c>
      <c r="DP8" s="11">
        <f t="shared" si="5"/>
        <v>4901.1200000000008</v>
      </c>
      <c r="DQ8" s="11">
        <f t="shared" si="5"/>
        <v>3571.6800000000003</v>
      </c>
      <c r="DR8" s="11">
        <f t="shared" si="5"/>
        <v>2145.92</v>
      </c>
      <c r="DS8" s="11">
        <f t="shared" si="5"/>
        <v>4290.72</v>
      </c>
      <c r="DT8" s="11">
        <f t="shared" si="5"/>
        <v>4000.6400000000003</v>
      </c>
      <c r="DU8" s="11">
        <f>DU9*1.12</f>
        <v>3987.2000000000003</v>
      </c>
      <c r="DV8" s="11">
        <f>DV9*1.12</f>
        <v>4770.0800000000008</v>
      </c>
      <c r="DW8" s="11">
        <f t="shared" ref="DW8:GC8" si="6">DW9*1.12</f>
        <v>2935.5200000000004</v>
      </c>
      <c r="DX8" s="11">
        <f t="shared" si="6"/>
        <v>5877.76</v>
      </c>
      <c r="DY8" s="11">
        <f t="shared" si="6"/>
        <v>8078.56</v>
      </c>
      <c r="DZ8" s="11">
        <f t="shared" si="6"/>
        <v>5967.3600000000006</v>
      </c>
      <c r="EA8" s="11">
        <f t="shared" si="6"/>
        <v>6839.8400000000011</v>
      </c>
      <c r="EB8" s="11">
        <f t="shared" si="6"/>
        <v>5121.76</v>
      </c>
      <c r="EC8" s="11">
        <f t="shared" si="6"/>
        <v>7760.4800000000005</v>
      </c>
      <c r="ED8" s="11">
        <f t="shared" si="6"/>
        <v>4873.1200000000008</v>
      </c>
      <c r="EE8" s="11">
        <f t="shared" si="6"/>
        <v>4562.88</v>
      </c>
      <c r="EF8" s="11">
        <f t="shared" si="6"/>
        <v>7445.7600000000011</v>
      </c>
      <c r="EG8" s="11">
        <f t="shared" si="6"/>
        <v>7350.56</v>
      </c>
      <c r="EH8" s="11">
        <f t="shared" si="6"/>
        <v>7075.0400000000009</v>
      </c>
      <c r="EI8" s="11">
        <f t="shared" si="6"/>
        <v>7143.3600000000006</v>
      </c>
      <c r="EJ8" s="11">
        <f t="shared" si="6"/>
        <v>5815.0400000000009</v>
      </c>
      <c r="EK8" s="11">
        <f t="shared" si="6"/>
        <v>5731.0400000000009</v>
      </c>
      <c r="EL8" s="11">
        <f t="shared" si="6"/>
        <v>5061.2800000000007</v>
      </c>
      <c r="EM8" s="11">
        <f t="shared" si="6"/>
        <v>5684.0000000000009</v>
      </c>
      <c r="EN8" s="11">
        <f t="shared" si="6"/>
        <v>6000.9600000000009</v>
      </c>
      <c r="EO8" s="11">
        <f t="shared" si="6"/>
        <v>5815.0400000000009</v>
      </c>
      <c r="EP8" s="11">
        <f t="shared" si="6"/>
        <v>4818.2400000000007</v>
      </c>
      <c r="EQ8" s="11">
        <f t="shared" si="6"/>
        <v>4056.6400000000003</v>
      </c>
      <c r="ER8" s="11">
        <f t="shared" si="6"/>
        <v>6056.9600000000009</v>
      </c>
      <c r="ES8" s="11">
        <f t="shared" si="6"/>
        <v>6874.56</v>
      </c>
      <c r="ET8" s="11">
        <f t="shared" si="6"/>
        <v>7420.0000000000009</v>
      </c>
      <c r="EU8" s="11">
        <f t="shared" si="6"/>
        <v>9185.1200000000008</v>
      </c>
      <c r="EV8" s="11">
        <f t="shared" si="6"/>
        <v>7184.8000000000011</v>
      </c>
      <c r="EW8" s="11">
        <f t="shared" si="6"/>
        <v>7420.0000000000009</v>
      </c>
      <c r="EX8" s="11">
        <f t="shared" si="6"/>
        <v>8611.68</v>
      </c>
      <c r="EY8" s="11">
        <f t="shared" si="6"/>
        <v>7075.0400000000009</v>
      </c>
      <c r="EZ8" s="26">
        <f t="shared" si="6"/>
        <v>8538.880000000001</v>
      </c>
      <c r="FA8" s="11">
        <f t="shared" si="6"/>
        <v>6560.9600000000009</v>
      </c>
      <c r="FB8" s="11">
        <f t="shared" si="6"/>
        <v>8664.3200000000015</v>
      </c>
      <c r="FC8" s="11">
        <f t="shared" si="6"/>
        <v>5610.0800000000008</v>
      </c>
      <c r="FD8" s="11">
        <f t="shared" si="6"/>
        <v>7350.56</v>
      </c>
      <c r="FE8" s="12">
        <f t="shared" si="6"/>
        <v>5303.2000000000007</v>
      </c>
      <c r="FF8" s="11">
        <f t="shared" si="6"/>
        <v>4608.8</v>
      </c>
      <c r="FG8" s="11">
        <f t="shared" si="6"/>
        <v>4233.6000000000004</v>
      </c>
      <c r="FH8" s="11">
        <f t="shared" si="6"/>
        <v>3814.7200000000003</v>
      </c>
      <c r="FI8" s="11">
        <f t="shared" si="6"/>
        <v>4540.4800000000005</v>
      </c>
      <c r="FJ8" s="11">
        <f t="shared" si="6"/>
        <v>3142.7200000000003</v>
      </c>
      <c r="FK8" s="11">
        <f t="shared" si="6"/>
        <v>4419.5200000000004</v>
      </c>
      <c r="FL8" s="11">
        <f t="shared" si="6"/>
        <v>2942.2400000000002</v>
      </c>
      <c r="FM8" s="11">
        <f t="shared" si="6"/>
        <v>4632.3200000000006</v>
      </c>
      <c r="FN8" s="11">
        <f t="shared" si="6"/>
        <v>4595.3600000000006</v>
      </c>
      <c r="FO8" s="11">
        <f t="shared" si="6"/>
        <v>3230.0800000000004</v>
      </c>
      <c r="FP8" s="11">
        <f t="shared" si="6"/>
        <v>4832.8</v>
      </c>
      <c r="FQ8" s="11">
        <f t="shared" si="6"/>
        <v>4794.72</v>
      </c>
      <c r="FR8" s="11">
        <f t="shared" si="6"/>
        <v>3198.7200000000003</v>
      </c>
      <c r="FS8" s="11">
        <f t="shared" si="6"/>
        <v>4551.68</v>
      </c>
      <c r="FT8" s="11">
        <f t="shared" si="6"/>
        <v>3925.6000000000004</v>
      </c>
      <c r="FU8" s="11">
        <f t="shared" si="6"/>
        <v>2767.5200000000004</v>
      </c>
      <c r="FV8" s="11">
        <f t="shared" si="6"/>
        <v>4926.88</v>
      </c>
      <c r="FW8" s="11">
        <f t="shared" si="6"/>
        <v>4720.8</v>
      </c>
      <c r="FX8" s="11">
        <f t="shared" si="6"/>
        <v>4733.1200000000008</v>
      </c>
      <c r="FY8" s="11">
        <f t="shared" si="6"/>
        <v>5040.0000000000009</v>
      </c>
      <c r="FZ8" s="11">
        <f t="shared" si="6"/>
        <v>4895.5200000000004</v>
      </c>
      <c r="GA8" s="11">
        <f t="shared" si="6"/>
        <v>5051.2000000000007</v>
      </c>
      <c r="GB8" s="11">
        <f t="shared" si="6"/>
        <v>5044.4800000000005</v>
      </c>
      <c r="GC8" s="11">
        <f t="shared" si="6"/>
        <v>6104.0000000000009</v>
      </c>
      <c r="GD8" s="11">
        <f>GD9*1.12</f>
        <v>5910.2400000000007</v>
      </c>
      <c r="GE8" s="26">
        <f t="shared" ref="GE8:GT8" si="7">GE9*1.12</f>
        <v>8247.68</v>
      </c>
      <c r="GF8" s="11">
        <f t="shared" si="7"/>
        <v>6832.0000000000009</v>
      </c>
      <c r="GG8" s="11">
        <f t="shared" si="7"/>
        <v>6646.0800000000008</v>
      </c>
      <c r="GH8" s="11">
        <f t="shared" si="7"/>
        <v>7642.880000000001</v>
      </c>
      <c r="GI8" s="11">
        <f t="shared" si="7"/>
        <v>6133.1200000000008</v>
      </c>
      <c r="GJ8" s="11">
        <f t="shared" si="7"/>
        <v>6535.2000000000007</v>
      </c>
      <c r="GK8" s="11">
        <f t="shared" si="7"/>
        <v>8006.880000000001</v>
      </c>
      <c r="GL8" s="12">
        <f t="shared" si="7"/>
        <v>5577.6</v>
      </c>
      <c r="GM8" s="11">
        <f t="shared" si="7"/>
        <v>5447.68</v>
      </c>
      <c r="GN8" s="11">
        <f t="shared" si="7"/>
        <v>5756.8</v>
      </c>
      <c r="GO8" s="11">
        <f t="shared" si="7"/>
        <v>5990.880000000001</v>
      </c>
      <c r="GP8" s="11">
        <f t="shared" si="7"/>
        <v>5663.84</v>
      </c>
      <c r="GQ8" s="11">
        <f t="shared" si="7"/>
        <v>5676.1600000000008</v>
      </c>
      <c r="GR8" s="11">
        <f t="shared" si="7"/>
        <v>5479.0400000000009</v>
      </c>
      <c r="GS8" s="11">
        <f>GS9*1.12</f>
        <v>5699.68</v>
      </c>
      <c r="GT8" s="11">
        <f t="shared" si="7"/>
        <v>5447.68</v>
      </c>
      <c r="GU8" s="12">
        <f t="shared" ref="GU8:HA8" si="8">GU9*1.14</f>
        <v>4495.0199999999995</v>
      </c>
      <c r="GV8" s="13">
        <f t="shared" si="8"/>
        <v>4381.0199999999995</v>
      </c>
      <c r="GW8" s="11">
        <f t="shared" si="8"/>
        <v>4053.8399999999997</v>
      </c>
      <c r="GX8" s="11">
        <f t="shared" si="8"/>
        <v>4318.32</v>
      </c>
      <c r="GY8" s="11">
        <f t="shared" si="8"/>
        <v>3777.9599999999996</v>
      </c>
      <c r="GZ8" s="11">
        <f t="shared" si="8"/>
        <v>4268.16</v>
      </c>
      <c r="HA8" s="11">
        <f t="shared" si="8"/>
        <v>4300.08</v>
      </c>
      <c r="HB8" s="13">
        <f t="shared" ref="HB8:HH8" si="9">HB9*1.12</f>
        <v>4230.2400000000007</v>
      </c>
      <c r="HC8" s="11">
        <f t="shared" si="9"/>
        <v>4323.2000000000007</v>
      </c>
      <c r="HD8" s="11">
        <f t="shared" si="9"/>
        <v>4273.92</v>
      </c>
      <c r="HE8" s="11">
        <f t="shared" si="9"/>
        <v>4242.5600000000004</v>
      </c>
      <c r="HF8" s="11">
        <f t="shared" si="9"/>
        <v>4570.72</v>
      </c>
      <c r="HG8" s="11">
        <f t="shared" si="9"/>
        <v>4520.3200000000006</v>
      </c>
      <c r="HH8" s="11">
        <f t="shared" si="9"/>
        <v>4440.8</v>
      </c>
      <c r="HI8" s="13">
        <f>HI9*1.14</f>
        <v>4834.74</v>
      </c>
      <c r="HJ8" s="12">
        <f>HJ9*1.14</f>
        <v>4802.82</v>
      </c>
      <c r="HK8" s="11">
        <f t="shared" ref="HK8:HU8" si="10">HK9*1.14</f>
        <v>4582.7999999999993</v>
      </c>
      <c r="HL8" s="11">
        <f t="shared" si="10"/>
        <v>4858.6799999999994</v>
      </c>
      <c r="HM8" s="11">
        <f t="shared" si="10"/>
        <v>4921.3799999999992</v>
      </c>
      <c r="HN8" s="11">
        <f t="shared" si="10"/>
        <v>4865.5199999999995</v>
      </c>
      <c r="HO8" s="11">
        <f t="shared" si="10"/>
        <v>4966.9799999999996</v>
      </c>
      <c r="HP8" s="11">
        <f t="shared" si="10"/>
        <v>4884.8999999999996</v>
      </c>
      <c r="HQ8" s="11">
        <f t="shared" si="10"/>
        <v>4909.9799999999996</v>
      </c>
      <c r="HR8" s="11">
        <f t="shared" si="10"/>
        <v>4507.5599999999995</v>
      </c>
      <c r="HS8" s="11">
        <f t="shared" si="10"/>
        <v>4431.1799999999994</v>
      </c>
      <c r="HT8" s="11">
        <f t="shared" si="10"/>
        <v>4457.3999999999996</v>
      </c>
      <c r="HU8" s="11">
        <f t="shared" si="10"/>
        <v>4438.0199999999995</v>
      </c>
      <c r="HV8" s="11">
        <f>HV9*1.14</f>
        <v>4301.2199999999993</v>
      </c>
      <c r="HW8" s="11">
        <f>HW9*1.14</f>
        <v>4362.78</v>
      </c>
      <c r="HX8" s="11">
        <f>HX9*1.14</f>
        <v>4488.1799999999994</v>
      </c>
      <c r="HY8" s="11">
        <f>HY9*1.14</f>
        <v>4350.24</v>
      </c>
      <c r="HZ8" s="12">
        <f t="shared" ref="HZ8:IM8" si="11">HZ9*1.14</f>
        <v>4872.3599999999997</v>
      </c>
      <c r="IA8" s="11">
        <f t="shared" si="11"/>
        <v>5432.0999999999995</v>
      </c>
      <c r="IB8" s="11">
        <f t="shared" si="11"/>
        <v>5444.6399999999994</v>
      </c>
      <c r="IC8" s="11">
        <f t="shared" si="11"/>
        <v>5595.12</v>
      </c>
      <c r="ID8" s="11">
        <f t="shared" si="11"/>
        <v>5280.48</v>
      </c>
      <c r="IE8" s="11">
        <f t="shared" si="11"/>
        <v>5324.94</v>
      </c>
      <c r="IF8" s="11">
        <f t="shared" si="11"/>
        <v>5305.5599999999995</v>
      </c>
      <c r="IG8" s="11">
        <f t="shared" si="11"/>
        <v>5255.4</v>
      </c>
      <c r="IH8" s="11">
        <f t="shared" si="11"/>
        <v>5167.62</v>
      </c>
      <c r="II8" s="11">
        <f t="shared" si="11"/>
        <v>5123.16</v>
      </c>
      <c r="IJ8" s="11">
        <f t="shared" si="11"/>
        <v>5117.4599999999991</v>
      </c>
      <c r="IK8" s="11">
        <f t="shared" si="11"/>
        <v>5180.16</v>
      </c>
      <c r="IL8" s="11">
        <f t="shared" si="11"/>
        <v>5199.54</v>
      </c>
      <c r="IM8" s="11">
        <f t="shared" si="11"/>
        <v>4507.5599999999995</v>
      </c>
      <c r="IN8" s="11">
        <f>IN9*1.14</f>
        <v>5500.4999999999991</v>
      </c>
      <c r="IO8" s="11">
        <f t="shared" ref="IO8:JE8" si="12">IO9*1.14</f>
        <v>5784.36</v>
      </c>
      <c r="IP8" s="11">
        <f t="shared" si="12"/>
        <v>5104.9199999999992</v>
      </c>
      <c r="IQ8" s="11">
        <f t="shared" si="12"/>
        <v>4953.2999999999993</v>
      </c>
      <c r="IR8" s="11">
        <f t="shared" si="12"/>
        <v>5212.08</v>
      </c>
      <c r="IS8" s="11">
        <f t="shared" si="12"/>
        <v>5262.24</v>
      </c>
      <c r="IT8" s="11">
        <f t="shared" si="12"/>
        <v>5085.54</v>
      </c>
      <c r="IU8" s="11">
        <f t="shared" si="12"/>
        <v>5877.8399999999992</v>
      </c>
      <c r="IV8" s="11">
        <f t="shared" si="12"/>
        <v>5230.32</v>
      </c>
      <c r="IW8" s="11">
        <f t="shared" si="12"/>
        <v>5330.6399999999994</v>
      </c>
      <c r="IX8" s="11">
        <f t="shared" si="12"/>
        <v>5589.4199999999992</v>
      </c>
      <c r="IY8" s="11">
        <f t="shared" si="12"/>
        <v>5343.1799999999994</v>
      </c>
      <c r="IZ8" s="11">
        <f t="shared" si="12"/>
        <v>5314.6799999999994</v>
      </c>
      <c r="JA8" s="11">
        <f t="shared" si="12"/>
        <v>5262.24</v>
      </c>
      <c r="JB8" s="11">
        <f t="shared" si="12"/>
        <v>5104.9199999999992</v>
      </c>
      <c r="JC8" s="11">
        <f t="shared" si="12"/>
        <v>5010.2999999999993</v>
      </c>
      <c r="JD8" s="11">
        <f t="shared" si="12"/>
        <v>5167.62</v>
      </c>
      <c r="JE8" s="11">
        <f t="shared" si="12"/>
        <v>5104.9199999999992</v>
      </c>
      <c r="JF8" s="12">
        <f t="shared" ref="JF8:JM8" si="13">JF9*1.14</f>
        <v>5249.7</v>
      </c>
      <c r="JG8" s="11">
        <f t="shared" si="13"/>
        <v>5627.04</v>
      </c>
      <c r="JH8" s="11">
        <f t="shared" si="13"/>
        <v>6079.62</v>
      </c>
      <c r="JI8" s="11">
        <f t="shared" si="13"/>
        <v>5972.4599999999991</v>
      </c>
      <c r="JJ8" s="11">
        <f t="shared" si="13"/>
        <v>6236.94</v>
      </c>
      <c r="JK8" s="12">
        <f t="shared" si="13"/>
        <v>6299.6399999999994</v>
      </c>
      <c r="JL8" s="12">
        <f t="shared" si="13"/>
        <v>6287.0999999999995</v>
      </c>
      <c r="JM8" s="11">
        <f t="shared" si="13"/>
        <v>6331.5599999999995</v>
      </c>
      <c r="JN8" s="13">
        <f>JN9*1.138</f>
        <v>7859.0279999999993</v>
      </c>
      <c r="JO8" s="11">
        <f>JO9*1.138</f>
        <v>7696.293999999999</v>
      </c>
      <c r="JP8" s="11">
        <f t="shared" ref="JP8:KA8" si="14">JP9*1.138</f>
        <v>6093.99</v>
      </c>
      <c r="JQ8" s="11">
        <f t="shared" si="14"/>
        <v>7626.8759999999993</v>
      </c>
      <c r="JR8" s="11">
        <f t="shared" si="14"/>
        <v>6099.6799999999994</v>
      </c>
      <c r="JS8" s="11">
        <f t="shared" si="14"/>
        <v>7940.963999999999</v>
      </c>
      <c r="JT8" s="11">
        <f t="shared" si="14"/>
        <v>6370.5239999999994</v>
      </c>
      <c r="JU8" s="11">
        <f t="shared" si="14"/>
        <v>7626.8759999999993</v>
      </c>
      <c r="JV8" s="11">
        <f t="shared" si="14"/>
        <v>7884.0639999999994</v>
      </c>
      <c r="JW8" s="11">
        <f t="shared" si="14"/>
        <v>6131.5439999999999</v>
      </c>
      <c r="JX8" s="11">
        <f t="shared" si="14"/>
        <v>7237.6799999999994</v>
      </c>
      <c r="JY8" s="11">
        <f t="shared" si="14"/>
        <v>6006.3639999999996</v>
      </c>
      <c r="JZ8" s="11">
        <f t="shared" si="14"/>
        <v>7200.1259999999993</v>
      </c>
      <c r="KA8" s="11">
        <f t="shared" si="14"/>
        <v>7507.3859999999995</v>
      </c>
      <c r="KB8" s="13">
        <f>KB9*1.1275</f>
        <v>6230.5649999999996</v>
      </c>
      <c r="KC8" s="11">
        <f t="shared" ref="KC8:KV8" si="15">KC9*1.1275</f>
        <v>8048.0949999999993</v>
      </c>
      <c r="KD8" s="11">
        <f t="shared" si="15"/>
        <v>6585.7275</v>
      </c>
      <c r="KE8" s="11">
        <f t="shared" si="15"/>
        <v>8016.5249999999996</v>
      </c>
      <c r="KF8" s="11">
        <f t="shared" si="15"/>
        <v>6230.5649999999996</v>
      </c>
      <c r="KG8" s="11">
        <f t="shared" si="15"/>
        <v>7717.7374999999993</v>
      </c>
      <c r="KH8" s="11">
        <f t="shared" si="15"/>
        <v>7252.08</v>
      </c>
      <c r="KI8" s="12">
        <f t="shared" si="15"/>
        <v>5931.7775000000001</v>
      </c>
      <c r="KJ8" s="11">
        <f t="shared" si="15"/>
        <v>6616.17</v>
      </c>
      <c r="KK8" s="11">
        <f t="shared" si="15"/>
        <v>6559.7950000000001</v>
      </c>
      <c r="KL8" s="11">
        <f t="shared" si="15"/>
        <v>6610.5324999999993</v>
      </c>
      <c r="KM8" s="11">
        <f t="shared" si="15"/>
        <v>6467.34</v>
      </c>
      <c r="KN8" s="11">
        <f t="shared" si="15"/>
        <v>6504.5474999999997</v>
      </c>
      <c r="KO8" s="11">
        <f t="shared" si="15"/>
        <v>6442.5349999999999</v>
      </c>
      <c r="KP8" s="12">
        <f t="shared" si="15"/>
        <v>6740.1949999999997</v>
      </c>
      <c r="KQ8" s="11">
        <f t="shared" si="15"/>
        <v>7966.915</v>
      </c>
      <c r="KR8" s="12">
        <f t="shared" si="15"/>
        <v>6000.5549999999994</v>
      </c>
      <c r="KS8" s="11">
        <f t="shared" si="15"/>
        <v>7096.4849999999997</v>
      </c>
      <c r="KT8" s="12">
        <f t="shared" si="15"/>
        <v>5079.3874999999998</v>
      </c>
      <c r="KU8" s="11">
        <f t="shared" si="15"/>
        <v>4849.3774999999996</v>
      </c>
      <c r="KV8" s="11">
        <f t="shared" si="15"/>
        <v>4352.1499999999996</v>
      </c>
      <c r="KW8" s="11">
        <f t="shared" ref="KW8:MB8" si="16">KW9*(KW6+1)</f>
        <v>4140</v>
      </c>
      <c r="KX8" s="11">
        <f t="shared" si="16"/>
        <v>4299.8505000000005</v>
      </c>
      <c r="KY8" s="12">
        <f t="shared" si="16"/>
        <v>5565.2800000000007</v>
      </c>
      <c r="KZ8" s="11">
        <f t="shared" si="16"/>
        <v>7742.9000000000005</v>
      </c>
      <c r="LA8" s="11">
        <f t="shared" si="16"/>
        <v>6374.7449999999999</v>
      </c>
      <c r="LB8" s="11">
        <f t="shared" si="16"/>
        <v>7737.9100000000008</v>
      </c>
      <c r="LC8" s="11">
        <f t="shared" si="16"/>
        <v>6287.1200000000008</v>
      </c>
      <c r="LD8" s="12">
        <f t="shared" si="16"/>
        <v>7491.5700000000006</v>
      </c>
      <c r="LE8" s="12">
        <f t="shared" si="16"/>
        <v>5104.8900000000003</v>
      </c>
      <c r="LF8" s="11">
        <f t="shared" si="16"/>
        <v>5864.82</v>
      </c>
      <c r="LG8" s="11">
        <f t="shared" si="16"/>
        <v>6686.07</v>
      </c>
      <c r="LH8" s="11">
        <f t="shared" si="16"/>
        <v>6846.9516000000003</v>
      </c>
      <c r="LI8" s="12">
        <f t="shared" si="16"/>
        <v>6621.0884999999998</v>
      </c>
      <c r="LJ8" s="12">
        <f t="shared" si="16"/>
        <v>5174.4000000000005</v>
      </c>
      <c r="LK8" s="11">
        <f t="shared" si="16"/>
        <v>6856.3</v>
      </c>
      <c r="LL8" s="11">
        <f t="shared" si="16"/>
        <v>5155.7000000000007</v>
      </c>
      <c r="LM8" s="11">
        <f t="shared" si="16"/>
        <v>4374.5240000000003</v>
      </c>
      <c r="LN8" s="11">
        <f t="shared" si="16"/>
        <v>3677.6600000000003</v>
      </c>
      <c r="LO8" s="11">
        <f t="shared" si="16"/>
        <v>6279.9000000000005</v>
      </c>
      <c r="LP8" s="12">
        <f t="shared" si="16"/>
        <v>6174.6479999999992</v>
      </c>
      <c r="LQ8" s="11">
        <f t="shared" si="16"/>
        <v>7439.6400000000012</v>
      </c>
      <c r="LR8" s="11">
        <f t="shared" si="16"/>
        <v>5365.24</v>
      </c>
      <c r="LS8" s="11">
        <f t="shared" si="16"/>
        <v>7332.4800000000005</v>
      </c>
      <c r="LT8" s="11">
        <f t="shared" si="16"/>
        <v>6010.0800000000008</v>
      </c>
      <c r="LU8" s="11">
        <f t="shared" si="16"/>
        <v>7351.68</v>
      </c>
      <c r="LV8" s="11">
        <f t="shared" si="16"/>
        <v>6266.25</v>
      </c>
      <c r="LW8" s="11">
        <f t="shared" si="16"/>
        <v>7681.68</v>
      </c>
      <c r="LX8" s="11">
        <f t="shared" si="16"/>
        <v>6115.2000000000007</v>
      </c>
      <c r="LY8" s="11">
        <f t="shared" si="16"/>
        <v>7661.1949999999997</v>
      </c>
      <c r="LZ8" s="11">
        <f t="shared" si="16"/>
        <v>6177.915</v>
      </c>
      <c r="MA8" s="11">
        <f t="shared" si="16"/>
        <v>4792.32</v>
      </c>
      <c r="MB8" s="11">
        <f t="shared" si="16"/>
        <v>7886.6440000000011</v>
      </c>
      <c r="MC8" s="11">
        <f t="shared" ref="MC8:NH8" si="17">MC9*(MC6+1)</f>
        <v>7867.1400000000012</v>
      </c>
      <c r="MD8" s="11">
        <f t="shared" si="17"/>
        <v>6637.22</v>
      </c>
      <c r="ME8" s="11">
        <f t="shared" si="17"/>
        <v>8164.2599999999993</v>
      </c>
      <c r="MF8" s="11">
        <f t="shared" si="17"/>
        <v>6352.2199999999993</v>
      </c>
      <c r="MG8" s="11">
        <f t="shared" si="17"/>
        <v>7679.2759999999998</v>
      </c>
      <c r="MH8" s="11">
        <f t="shared" si="17"/>
        <v>6701.94</v>
      </c>
      <c r="MI8" s="11">
        <f t="shared" si="17"/>
        <v>7832.8050000000003</v>
      </c>
      <c r="MJ8" s="12">
        <f t="shared" si="17"/>
        <v>6295.32</v>
      </c>
      <c r="MK8" s="11">
        <f t="shared" si="17"/>
        <v>6320.8399999999992</v>
      </c>
      <c r="ML8" s="11">
        <f t="shared" si="17"/>
        <v>7695.36</v>
      </c>
      <c r="MM8" s="11">
        <f t="shared" si="17"/>
        <v>6173.5199999999995</v>
      </c>
      <c r="MN8" s="11">
        <f t="shared" si="17"/>
        <v>7670.3550000000005</v>
      </c>
      <c r="MO8" s="11">
        <f t="shared" si="17"/>
        <v>8017.6200000000008</v>
      </c>
      <c r="MP8" s="11">
        <f t="shared" si="17"/>
        <v>6619.86</v>
      </c>
      <c r="MQ8" s="11">
        <f t="shared" si="17"/>
        <v>8088.5479999999998</v>
      </c>
      <c r="MR8" s="11">
        <f t="shared" si="17"/>
        <v>6462.7979999999998</v>
      </c>
      <c r="MS8" s="11">
        <f t="shared" si="17"/>
        <v>7539.2279999999992</v>
      </c>
      <c r="MT8" s="11">
        <f t="shared" si="17"/>
        <v>6534.4850000000006</v>
      </c>
      <c r="MU8" s="11">
        <f t="shared" si="17"/>
        <v>7977.0599999999995</v>
      </c>
      <c r="MV8" s="11">
        <f t="shared" si="17"/>
        <v>6296.4670000000006</v>
      </c>
      <c r="MW8" s="11">
        <f t="shared" si="17"/>
        <v>7877.3850000000002</v>
      </c>
      <c r="MX8" s="11">
        <f t="shared" si="17"/>
        <v>5965.7040000000006</v>
      </c>
      <c r="MY8" s="11">
        <f t="shared" si="17"/>
        <v>7684.6590000000006</v>
      </c>
      <c r="MZ8" s="11">
        <f t="shared" si="17"/>
        <v>6272.37</v>
      </c>
      <c r="NA8" s="11">
        <f t="shared" si="17"/>
        <v>8336.7060000000001</v>
      </c>
      <c r="NB8" s="11">
        <f t="shared" si="17"/>
        <v>6648.0749999999989</v>
      </c>
      <c r="NC8" s="11">
        <f t="shared" si="17"/>
        <v>7512.57</v>
      </c>
      <c r="ND8" s="11">
        <f t="shared" si="17"/>
        <v>6476.4719999999998</v>
      </c>
      <c r="NE8" s="11">
        <f t="shared" si="17"/>
        <v>8164.2120000000004</v>
      </c>
      <c r="NF8" s="11">
        <f t="shared" si="17"/>
        <v>6594.12</v>
      </c>
      <c r="NG8" s="11">
        <f t="shared" si="17"/>
        <v>8056.1640000000007</v>
      </c>
      <c r="NH8" s="11">
        <f t="shared" si="17"/>
        <v>6337.1140000000005</v>
      </c>
      <c r="NI8" s="11">
        <f t="shared" ref="NI8:ON8" si="18">NI9*(NI6+1)</f>
        <v>7162.0380000000005</v>
      </c>
      <c r="NJ8" s="11">
        <f t="shared" si="18"/>
        <v>6074.9780000000001</v>
      </c>
      <c r="NK8" s="11">
        <f t="shared" si="18"/>
        <v>7441.4479999999994</v>
      </c>
      <c r="NL8" s="11">
        <f t="shared" si="18"/>
        <v>6338.1699999999992</v>
      </c>
      <c r="NM8" s="11">
        <f t="shared" si="18"/>
        <v>7658.4999999999991</v>
      </c>
      <c r="NN8" s="11">
        <f t="shared" si="18"/>
        <v>6528.8759999999993</v>
      </c>
      <c r="NO8" s="11">
        <f t="shared" si="18"/>
        <v>7281.6839999999993</v>
      </c>
      <c r="NP8" s="11">
        <f t="shared" si="18"/>
        <v>6420.5760000000009</v>
      </c>
      <c r="NQ8" s="11">
        <f t="shared" si="18"/>
        <v>7496.3771999999999</v>
      </c>
      <c r="NR8" s="11">
        <f t="shared" si="18"/>
        <v>6520.8519999999999</v>
      </c>
      <c r="NS8" s="11">
        <f t="shared" si="18"/>
        <v>6861.91</v>
      </c>
      <c r="NT8" s="11">
        <f t="shared" si="18"/>
        <v>6223.14</v>
      </c>
      <c r="NU8" s="11">
        <f t="shared" si="18"/>
        <v>7435.0590000000002</v>
      </c>
      <c r="NV8" s="11">
        <f t="shared" si="18"/>
        <v>7837.9727999999996</v>
      </c>
      <c r="NW8" s="11">
        <f t="shared" si="18"/>
        <v>5709.06</v>
      </c>
      <c r="NX8" s="11">
        <f t="shared" si="18"/>
        <v>6450.9791999999998</v>
      </c>
      <c r="NY8" s="11">
        <f t="shared" si="18"/>
        <v>7558.42</v>
      </c>
      <c r="NZ8" s="11">
        <f t="shared" si="18"/>
        <v>5866.9890000000005</v>
      </c>
      <c r="OA8" s="11">
        <f t="shared" si="18"/>
        <v>7698.1050000000005</v>
      </c>
      <c r="OB8" s="11">
        <f t="shared" si="18"/>
        <v>8077.9999999999991</v>
      </c>
      <c r="OC8" s="11">
        <f t="shared" si="18"/>
        <v>6147.92</v>
      </c>
      <c r="OD8" s="11">
        <f t="shared" si="18"/>
        <v>6243.1210000000001</v>
      </c>
      <c r="OE8" s="11">
        <f t="shared" si="18"/>
        <v>7791.2290000000003</v>
      </c>
      <c r="OF8" s="11">
        <f t="shared" si="18"/>
        <v>7391.25</v>
      </c>
      <c r="OG8" s="11">
        <f t="shared" si="18"/>
        <v>5990.5157000000008</v>
      </c>
      <c r="OH8" s="11">
        <f t="shared" si="18"/>
        <v>6173.7169999999996</v>
      </c>
      <c r="OI8" s="11">
        <f t="shared" si="18"/>
        <v>7658.6796000000004</v>
      </c>
      <c r="OJ8" s="11">
        <f t="shared" si="18"/>
        <v>4240.1379999999999</v>
      </c>
      <c r="OK8" s="11">
        <f t="shared" si="18"/>
        <v>1758.6690000000001</v>
      </c>
      <c r="OL8" s="11">
        <f t="shared" si="18"/>
        <v>4773.8140000000003</v>
      </c>
      <c r="OM8" s="11">
        <f t="shared" si="18"/>
        <v>4862.942</v>
      </c>
      <c r="ON8" s="11">
        <f t="shared" si="18"/>
        <v>4688.5860000000002</v>
      </c>
      <c r="OO8" s="11">
        <f t="shared" ref="OO8:PT8" si="19">OO9*(OO6+1)</f>
        <v>5103.527</v>
      </c>
      <c r="OP8" s="12">
        <f t="shared" si="19"/>
        <v>5256.8099999999995</v>
      </c>
      <c r="OQ8" s="11">
        <f t="shared" si="19"/>
        <v>4911.7480000000005</v>
      </c>
      <c r="OR8" s="11">
        <f t="shared" si="19"/>
        <v>4923.1619999999994</v>
      </c>
      <c r="OS8" s="11">
        <f t="shared" si="19"/>
        <v>5268.1710000000003</v>
      </c>
      <c r="OT8" s="11">
        <f t="shared" si="19"/>
        <v>5032.6919999999991</v>
      </c>
      <c r="OU8" s="11">
        <f t="shared" si="19"/>
        <v>5086.6230000000005</v>
      </c>
      <c r="OV8" s="12">
        <f t="shared" si="19"/>
        <v>6273</v>
      </c>
      <c r="OW8" s="11">
        <f t="shared" si="19"/>
        <v>6228.5279999999993</v>
      </c>
      <c r="OX8" s="116">
        <f t="shared" si="19"/>
        <v>9398.3310000000001</v>
      </c>
      <c r="OY8" s="11">
        <f t="shared" si="19"/>
        <v>5685.2820000000002</v>
      </c>
      <c r="OZ8" s="11">
        <f t="shared" si="19"/>
        <v>8165.9340000000002</v>
      </c>
      <c r="PA8" s="11">
        <f t="shared" si="19"/>
        <v>8013.5730000000003</v>
      </c>
      <c r="PB8" s="11">
        <f t="shared" si="19"/>
        <v>6488.0820000000003</v>
      </c>
      <c r="PC8" s="11">
        <f t="shared" si="19"/>
        <v>8039.2049999999999</v>
      </c>
      <c r="PD8" s="11">
        <f t="shared" si="19"/>
        <v>6565.4119999999994</v>
      </c>
      <c r="PE8" s="11">
        <f t="shared" si="19"/>
        <v>7916.5410000000002</v>
      </c>
      <c r="PF8" s="11">
        <f t="shared" si="19"/>
        <v>6481.9980000000005</v>
      </c>
      <c r="PG8" s="11">
        <f t="shared" si="19"/>
        <v>6159.1050000000005</v>
      </c>
      <c r="PH8" s="11">
        <f t="shared" si="19"/>
        <v>8360.1919999999991</v>
      </c>
      <c r="PI8" s="11">
        <f t="shared" si="19"/>
        <v>7351.7759999999998</v>
      </c>
      <c r="PJ8" s="11">
        <f t="shared" si="19"/>
        <v>6210.1959999999999</v>
      </c>
      <c r="PK8" s="11">
        <f t="shared" si="19"/>
        <v>5977.2279999999992</v>
      </c>
      <c r="PL8" s="11">
        <f t="shared" si="19"/>
        <v>7949.9519999999993</v>
      </c>
      <c r="PM8" s="11">
        <f t="shared" si="19"/>
        <v>4723.0499999999993</v>
      </c>
      <c r="PN8" s="11">
        <f t="shared" si="19"/>
        <v>8702.9250000000011</v>
      </c>
      <c r="PO8" s="11">
        <f t="shared" si="19"/>
        <v>6970.2480000000005</v>
      </c>
      <c r="PP8" s="116">
        <f t="shared" si="19"/>
        <v>9064.0770000000011</v>
      </c>
      <c r="PQ8" s="11">
        <f t="shared" si="19"/>
        <v>7282.96</v>
      </c>
      <c r="PR8" s="116">
        <f t="shared" si="19"/>
        <v>9194.2759999999998</v>
      </c>
      <c r="PS8" s="11">
        <f t="shared" si="19"/>
        <v>7349.8719999999994</v>
      </c>
      <c r="PT8" s="11">
        <f t="shared" si="19"/>
        <v>8985.273000000001</v>
      </c>
      <c r="PU8" s="11">
        <f t="shared" ref="PU8:QR8" si="20">PU9*(PU6+1)</f>
        <v>6963.973</v>
      </c>
      <c r="PV8" s="11">
        <f t="shared" si="20"/>
        <v>8998.1650000000009</v>
      </c>
      <c r="PW8" s="11">
        <f t="shared" si="20"/>
        <v>6872.32</v>
      </c>
      <c r="PX8" s="147">
        <f t="shared" si="20"/>
        <v>8707.9650000000001</v>
      </c>
      <c r="PY8" s="11">
        <f t="shared" si="20"/>
        <v>8691.9179999999997</v>
      </c>
      <c r="PZ8" s="11">
        <f t="shared" si="20"/>
        <v>7116.12</v>
      </c>
      <c r="QA8" s="11">
        <f t="shared" si="20"/>
        <v>8246.6949999999997</v>
      </c>
      <c r="QB8" s="11">
        <f t="shared" si="20"/>
        <v>6975.5839999999998</v>
      </c>
      <c r="QC8" s="11">
        <f t="shared" si="20"/>
        <v>6967.2010000000009</v>
      </c>
      <c r="QD8" s="11">
        <f t="shared" si="20"/>
        <v>8923.1999999999989</v>
      </c>
      <c r="QE8" s="11">
        <f t="shared" si="20"/>
        <v>8795.7160000000003</v>
      </c>
      <c r="QF8" s="11">
        <f t="shared" si="20"/>
        <v>7060.3140000000003</v>
      </c>
      <c r="QG8" s="11">
        <f t="shared" si="20"/>
        <v>7176.0150000000003</v>
      </c>
      <c r="QH8" s="12">
        <f t="shared" si="20"/>
        <v>4886.7119999999995</v>
      </c>
      <c r="QI8" s="11">
        <f t="shared" si="20"/>
        <v>8821.8900000000012</v>
      </c>
      <c r="QJ8" s="116">
        <f t="shared" si="20"/>
        <v>9234.4230000000007</v>
      </c>
      <c r="QK8" s="11">
        <f t="shared" si="20"/>
        <v>7229.9699999999993</v>
      </c>
      <c r="QL8" s="116">
        <f t="shared" si="20"/>
        <v>9000.3870000000006</v>
      </c>
      <c r="QM8" s="163">
        <f t="shared" si="20"/>
        <v>7315.4157999999998</v>
      </c>
      <c r="QN8" s="164">
        <f t="shared" si="20"/>
        <v>7162.0285000000003</v>
      </c>
      <c r="QO8" s="164">
        <f t="shared" si="20"/>
        <v>7381.0654999999997</v>
      </c>
      <c r="QP8" s="164">
        <f t="shared" si="20"/>
        <v>8562.6743999999999</v>
      </c>
      <c r="QQ8" s="164">
        <f t="shared" si="20"/>
        <v>6972.96</v>
      </c>
      <c r="QR8" s="164">
        <f t="shared" si="20"/>
        <v>8876.3136000000013</v>
      </c>
      <c r="QS8" s="164">
        <f>QS9*(QS6+0.97)</f>
        <v>7033.6266000000005</v>
      </c>
      <c r="QT8" s="164">
        <f t="shared" ref="QT8:QZ8" si="21">QT9*(QT6+0.87)</f>
        <v>4374.7392</v>
      </c>
      <c r="QU8" s="164">
        <f t="shared" si="21"/>
        <v>7033.8247999999994</v>
      </c>
      <c r="QV8" s="164">
        <f t="shared" si="21"/>
        <v>5772.2807999999995</v>
      </c>
      <c r="QW8" s="164">
        <f t="shared" si="21"/>
        <v>7457.7932000000001</v>
      </c>
      <c r="QX8" s="164">
        <f t="shared" si="21"/>
        <v>5549.1487999999999</v>
      </c>
      <c r="QY8" s="164">
        <f t="shared" si="21"/>
        <v>5892.7939999999999</v>
      </c>
      <c r="QZ8" s="164">
        <f t="shared" si="21"/>
        <v>7130.0349999999999</v>
      </c>
      <c r="RA8" s="164">
        <f t="shared" ref="RA8:RG8" si="22">RA9*(RA6+0.96)</f>
        <v>6662.0223999999998</v>
      </c>
      <c r="RB8" s="164">
        <f t="shared" si="22"/>
        <v>7753.5150000000003</v>
      </c>
      <c r="RC8" s="164">
        <f t="shared" si="22"/>
        <v>6703.6140000000005</v>
      </c>
      <c r="RD8" s="164">
        <f t="shared" si="22"/>
        <v>8320.7584000000006</v>
      </c>
      <c r="RE8" s="164">
        <f t="shared" si="22"/>
        <v>6543.3912</v>
      </c>
      <c r="RF8" s="164">
        <f t="shared" si="22"/>
        <v>8716.9610000000011</v>
      </c>
      <c r="RG8" s="164">
        <f t="shared" si="22"/>
        <v>6809.88</v>
      </c>
      <c r="RH8" s="164">
        <f t="shared" ref="RH8:SO8" si="23">RH9*(RH6+0.96)</f>
        <v>8636.8590000000004</v>
      </c>
      <c r="RI8" s="164">
        <f t="shared" si="23"/>
        <v>6730.02</v>
      </c>
      <c r="RJ8" s="164">
        <f t="shared" si="23"/>
        <v>8272.32</v>
      </c>
      <c r="RK8" s="164">
        <f t="shared" si="23"/>
        <v>7183.2096000000001</v>
      </c>
      <c r="RL8" s="164">
        <f t="shared" si="23"/>
        <v>8298.909599999999</v>
      </c>
      <c r="RM8" s="164">
        <f t="shared" si="23"/>
        <v>6727.5999999999995</v>
      </c>
      <c r="RN8" s="164">
        <f t="shared" si="23"/>
        <v>8284.5750000000007</v>
      </c>
      <c r="RO8" s="164">
        <f t="shared" si="23"/>
        <v>6224.8559999999998</v>
      </c>
      <c r="RP8" s="164">
        <f t="shared" si="23"/>
        <v>7902.7879999999996</v>
      </c>
      <c r="RQ8" s="164">
        <f t="shared" si="23"/>
        <v>6441.119999999999</v>
      </c>
      <c r="RR8" s="164">
        <f t="shared" si="23"/>
        <v>6745.1778000000004</v>
      </c>
      <c r="RS8" s="164">
        <f t="shared" si="23"/>
        <v>8116.2159999999994</v>
      </c>
      <c r="RT8" s="164">
        <f t="shared" si="23"/>
        <v>8430.65</v>
      </c>
      <c r="RU8" s="164">
        <f t="shared" si="23"/>
        <v>6374.2919999999995</v>
      </c>
      <c r="RV8" s="164">
        <f t="shared" si="23"/>
        <v>8096.5770000000002</v>
      </c>
      <c r="RW8" s="164">
        <f t="shared" si="23"/>
        <v>6691.6919999999991</v>
      </c>
      <c r="RX8" s="164">
        <f t="shared" si="23"/>
        <v>6536.2559999999994</v>
      </c>
      <c r="RY8" s="164">
        <f t="shared" si="23"/>
        <v>8636.7371999999996</v>
      </c>
      <c r="RZ8" s="164">
        <f t="shared" si="23"/>
        <v>6559.6930000000002</v>
      </c>
      <c r="SA8" s="164">
        <f t="shared" si="23"/>
        <v>8217.8850000000002</v>
      </c>
      <c r="SB8" s="164">
        <f t="shared" si="23"/>
        <v>6509.0839999999989</v>
      </c>
      <c r="SC8" s="164">
        <f t="shared" si="23"/>
        <v>8262.64</v>
      </c>
      <c r="SD8" s="164">
        <f t="shared" si="23"/>
        <v>7992.4440000000004</v>
      </c>
      <c r="SE8" s="164">
        <f t="shared" si="23"/>
        <v>6574.4390000000003</v>
      </c>
      <c r="SF8" s="164">
        <f t="shared" si="23"/>
        <v>8728.5</v>
      </c>
      <c r="SG8" s="164">
        <f t="shared" si="23"/>
        <v>6725.5759999999991</v>
      </c>
      <c r="SH8" s="164">
        <f t="shared" si="23"/>
        <v>6944.3945999999996</v>
      </c>
      <c r="SI8" s="164">
        <f t="shared" si="23"/>
        <v>8729.0069999999996</v>
      </c>
      <c r="SJ8" s="164">
        <f t="shared" si="23"/>
        <v>8490.24</v>
      </c>
      <c r="SK8" s="164">
        <f t="shared" si="23"/>
        <v>6736.7430000000004</v>
      </c>
      <c r="SL8" s="164">
        <f t="shared" si="23"/>
        <v>8362.1504000000004</v>
      </c>
      <c r="SM8" s="164">
        <f t="shared" si="23"/>
        <v>6423.0719999999992</v>
      </c>
      <c r="SN8" s="164">
        <f t="shared" si="23"/>
        <v>8210.7199999999993</v>
      </c>
      <c r="SO8" s="164">
        <f t="shared" si="23"/>
        <v>6510.9930000000004</v>
      </c>
      <c r="SP8" s="164">
        <f t="shared" ref="SP8:SU8" si="24">SP9*(SP6+0.97)</f>
        <v>8224.8369000000002</v>
      </c>
      <c r="SQ8" s="164">
        <f t="shared" si="24"/>
        <v>6514.7991999999995</v>
      </c>
      <c r="SR8" s="164">
        <f t="shared" si="24"/>
        <v>8536.9007999999994</v>
      </c>
      <c r="SS8" s="164">
        <f t="shared" si="24"/>
        <v>6733.0410000000002</v>
      </c>
      <c r="ST8" s="164">
        <f t="shared" si="24"/>
        <v>8478.6239999999998</v>
      </c>
      <c r="SU8" s="164">
        <f t="shared" si="24"/>
        <v>6667.7639999999992</v>
      </c>
      <c r="SV8" s="164">
        <f t="shared" ref="SV8:TT8" si="25">SV9*(SV6+0.97)</f>
        <v>8868.155999999999</v>
      </c>
      <c r="SW8" s="164">
        <f t="shared" si="25"/>
        <v>6949.7649000000001</v>
      </c>
      <c r="SX8" s="164">
        <f t="shared" si="25"/>
        <v>8890.4619999999995</v>
      </c>
      <c r="SY8" s="164">
        <f t="shared" si="25"/>
        <v>6723.99</v>
      </c>
      <c r="SZ8" s="164">
        <f t="shared" si="25"/>
        <v>8564.6</v>
      </c>
      <c r="TA8" s="164">
        <f t="shared" si="25"/>
        <v>6888.5519999999997</v>
      </c>
      <c r="TB8" s="164">
        <f t="shared" si="25"/>
        <v>8862.1280000000006</v>
      </c>
      <c r="TC8" s="164">
        <f t="shared" si="25"/>
        <v>6726.1376</v>
      </c>
      <c r="TD8" s="164">
        <f t="shared" si="25"/>
        <v>8489.7999999999993</v>
      </c>
      <c r="TE8" s="164">
        <f t="shared" si="25"/>
        <v>6810.6239999999998</v>
      </c>
      <c r="TF8" s="164">
        <f t="shared" si="25"/>
        <v>8766.4499999999989</v>
      </c>
      <c r="TG8" s="164">
        <f t="shared" si="25"/>
        <v>6890.0535</v>
      </c>
      <c r="TH8" s="164">
        <f t="shared" si="25"/>
        <v>9029.7167999999983</v>
      </c>
      <c r="TI8" s="164">
        <f t="shared" si="25"/>
        <v>6942.7121000000006</v>
      </c>
      <c r="TJ8" s="164">
        <f t="shared" si="25"/>
        <v>9036.7799999999988</v>
      </c>
      <c r="TK8" s="164">
        <f t="shared" si="25"/>
        <v>6688.2816000000003</v>
      </c>
      <c r="TL8" s="164">
        <f t="shared" si="25"/>
        <v>8830.5110000000004</v>
      </c>
      <c r="TM8" s="164">
        <f t="shared" si="25"/>
        <v>7017.9999999999991</v>
      </c>
      <c r="TN8" s="164">
        <f t="shared" si="25"/>
        <v>8716.4880000000012</v>
      </c>
      <c r="TO8" s="164">
        <f t="shared" si="25"/>
        <v>6479.5415999999996</v>
      </c>
      <c r="TP8" s="164">
        <f t="shared" si="25"/>
        <v>8544.1039999999994</v>
      </c>
      <c r="TQ8" s="164">
        <f t="shared" si="25"/>
        <v>6909.7859999999991</v>
      </c>
      <c r="TR8" s="164">
        <f t="shared" si="25"/>
        <v>6196.2</v>
      </c>
      <c r="TS8" s="164">
        <f t="shared" si="25"/>
        <v>5348.88</v>
      </c>
      <c r="TT8" s="164">
        <f t="shared" si="25"/>
        <v>5592.0419999999995</v>
      </c>
      <c r="TU8" s="164">
        <f>TU9*(TU6+0.9)</f>
        <v>4842.0954999999994</v>
      </c>
      <c r="TV8" s="164">
        <f>TV9*(TV6+0.9)</f>
        <v>5217.5720000000001</v>
      </c>
      <c r="TW8" s="164">
        <f>TW9*(TW6+0.9268)</f>
        <v>6164.8807999999999</v>
      </c>
      <c r="TX8" s="164">
        <f>TX9*(TX6+0.99)</f>
        <v>9290.4439999999995</v>
      </c>
      <c r="TY8" s="164">
        <f t="shared" ref="TY8:UD8" si="26">TY9*(TY6+0.95)</f>
        <v>7261.9779999999992</v>
      </c>
      <c r="TZ8" s="164">
        <f t="shared" si="26"/>
        <v>8461.8050000000003</v>
      </c>
      <c r="UA8" s="164">
        <f t="shared" si="26"/>
        <v>6509.8439999999991</v>
      </c>
      <c r="UB8" s="164">
        <f t="shared" si="26"/>
        <v>8700.0099999999984</v>
      </c>
      <c r="UC8" s="164">
        <f t="shared" si="26"/>
        <v>6897.3144000000002</v>
      </c>
      <c r="UD8" s="164">
        <f t="shared" si="26"/>
        <v>8867.2520000000004</v>
      </c>
      <c r="UE8" s="164">
        <f>UE9*(UE6+0.95)</f>
        <v>6515.6459999999997</v>
      </c>
      <c r="UF8" s="164">
        <f>UF9*(UF6+0.9)</f>
        <v>8242.9600000000009</v>
      </c>
      <c r="UG8" s="164">
        <f>UG9*(1+UG6)*0.915</f>
        <v>4575.5581499999998</v>
      </c>
      <c r="UH8" s="164">
        <f>UH9*(1+UH6)*0.85</f>
        <v>4518.6161499999998</v>
      </c>
      <c r="UI8" s="164">
        <f>UI9*(1+UI6)*0.9</f>
        <v>4907.3310000000001</v>
      </c>
      <c r="UJ8" s="164">
        <f>UJ9*(1+UJ6)*0.9</f>
        <v>4977.0369000000001</v>
      </c>
      <c r="UK8" s="164">
        <f>UK9*(1+UK6)*0.9</f>
        <v>4698.6984000000002</v>
      </c>
      <c r="UL8" s="164">
        <f>UL9*(1+UL6)*0.9</f>
        <v>6225.3360000000002</v>
      </c>
      <c r="UM8" s="164">
        <f>UM9*(1+UM6)*0.8925</f>
        <v>7262.6794799999989</v>
      </c>
      <c r="UN8" s="164">
        <f t="shared" ref="UN8:UT8" si="27">UN9*(1+UN6)*0.9</f>
        <v>8201.1069000000007</v>
      </c>
      <c r="UO8" s="164">
        <f t="shared" si="27"/>
        <v>6203.6181000000006</v>
      </c>
      <c r="UP8" s="164">
        <f t="shared" si="27"/>
        <v>6004.9728000000005</v>
      </c>
      <c r="UQ8" s="164">
        <f t="shared" si="27"/>
        <v>7498.9317599999995</v>
      </c>
      <c r="UR8" s="164">
        <f t="shared" si="27"/>
        <v>8045.0650800000003</v>
      </c>
      <c r="US8" s="164">
        <f t="shared" si="27"/>
        <v>6553.8414000000002</v>
      </c>
      <c r="UT8" s="164">
        <f t="shared" si="27"/>
        <v>7709.0004000000008</v>
      </c>
      <c r="UU8" s="164">
        <f>UU9*(1+UU6)*0.9</f>
        <v>2831.7168000000001</v>
      </c>
      <c r="UV8" s="164">
        <f>UV9*(1+UV6)*0.9</f>
        <v>4012.5987000000005</v>
      </c>
      <c r="UW8" s="164">
        <f t="shared" ref="UW8:VB8" si="28">UW9*(1+UW6)*0.9</f>
        <v>2417.7582000000002</v>
      </c>
      <c r="UX8" s="164">
        <f t="shared" si="28"/>
        <v>2472.7527</v>
      </c>
      <c r="UY8" s="164">
        <f t="shared" si="28"/>
        <v>2307.7692000000002</v>
      </c>
      <c r="UZ8" s="164">
        <f t="shared" si="28"/>
        <v>7272.0899999999992</v>
      </c>
      <c r="VA8" s="164">
        <f t="shared" si="28"/>
        <v>6254.82</v>
      </c>
      <c r="VB8" s="164">
        <f t="shared" si="28"/>
        <v>6278.1183000000001</v>
      </c>
      <c r="VC8" s="164">
        <f t="shared" ref="VC8:VM8" si="29">VC9*(1+VC6)*0.9</f>
        <v>7810.5599999999995</v>
      </c>
      <c r="VD8" s="164">
        <f t="shared" si="29"/>
        <v>8121.6431999999995</v>
      </c>
      <c r="VE8" s="164">
        <f t="shared" si="29"/>
        <v>6358.4351999999999</v>
      </c>
      <c r="VF8" s="164">
        <f t="shared" si="29"/>
        <v>7715.4210000000003</v>
      </c>
      <c r="VG8" s="164">
        <f t="shared" si="29"/>
        <v>6138.6435000000001</v>
      </c>
      <c r="VH8" s="164">
        <f t="shared" si="29"/>
        <v>6381.54</v>
      </c>
      <c r="VI8" s="164">
        <f t="shared" si="29"/>
        <v>7691.109840000001</v>
      </c>
      <c r="VJ8" s="164">
        <f t="shared" si="29"/>
        <v>5956.5833999999995</v>
      </c>
      <c r="VK8" s="365">
        <f t="shared" si="29"/>
        <v>6311.9232000000002</v>
      </c>
      <c r="VL8" s="365">
        <f t="shared" si="29"/>
        <v>7925.4449999999997</v>
      </c>
      <c r="VM8" s="365">
        <f t="shared" si="29"/>
        <v>7866.7380000000003</v>
      </c>
      <c r="VN8" s="365">
        <f>VN9*(1+VN6)*0.94</f>
        <v>6529.6178799999998</v>
      </c>
      <c r="VO8" s="365">
        <f>VO9*(1+VO6)*0.94</f>
        <v>8007.5046799999991</v>
      </c>
      <c r="VP8" s="365">
        <f t="shared" ref="VP8:VV8" si="30">VP9*(1+VP6)*0.9292</f>
        <v>6400.1734944</v>
      </c>
      <c r="VQ8" s="365">
        <f t="shared" si="30"/>
        <v>6346.7444943999999</v>
      </c>
      <c r="VR8" s="365">
        <f t="shared" si="30"/>
        <v>8041.7521079999997</v>
      </c>
      <c r="VS8" s="365">
        <f t="shared" si="30"/>
        <v>7968.0293799999999</v>
      </c>
      <c r="VT8" s="365">
        <f t="shared" si="30"/>
        <v>6278.7502844000001</v>
      </c>
      <c r="VU8" s="365">
        <f t="shared" si="30"/>
        <v>8077.8348024000006</v>
      </c>
      <c r="VV8" s="365">
        <f t="shared" si="30"/>
        <v>6497.3613100000002</v>
      </c>
      <c r="VW8" s="365">
        <f>VW9*(1+VW6)*0.9292</f>
        <v>6217.4909159999997</v>
      </c>
      <c r="VX8" s="365">
        <f>VX9*(1+VX6)*0.9292</f>
        <v>6398.0056708000011</v>
      </c>
      <c r="VY8" s="365">
        <f>VY9*(1+VY6)*0.9292</f>
        <v>7990.0495615999998</v>
      </c>
      <c r="VZ8" s="365">
        <f>VZ9*(1+VZ6)*0.9292</f>
        <v>8118.4018159999996</v>
      </c>
      <c r="WA8" s="365">
        <f>WA9*(1+WA6)*0.9292</f>
        <v>6465.4813872000004</v>
      </c>
      <c r="WB8" s="365">
        <f>WB9*(1+WB6)*0.93</f>
        <v>8006.6387700000014</v>
      </c>
      <c r="WC8" s="365">
        <f>WC9*(1+WC6)*0.93</f>
        <v>6675.8199300000006</v>
      </c>
      <c r="WD8" s="365">
        <f>WD9*(1+WD6)*0.935</f>
        <v>7873.1113999999989</v>
      </c>
      <c r="WE8" s="365">
        <f t="shared" ref="WE8:WK8" si="31">WE9*(1+WE6)*0.96</f>
        <v>6295.32</v>
      </c>
      <c r="WF8" s="365">
        <f t="shared" si="31"/>
        <v>6742.5177599999988</v>
      </c>
      <c r="WG8" s="365">
        <f t="shared" si="31"/>
        <v>8579.0496000000003</v>
      </c>
      <c r="WH8" s="365">
        <f t="shared" si="31"/>
        <v>8316.4223999999995</v>
      </c>
      <c r="WI8" s="365">
        <f t="shared" si="31"/>
        <v>6593.7782399999996</v>
      </c>
      <c r="WJ8" s="365">
        <f t="shared" si="31"/>
        <v>6569.5161599999992</v>
      </c>
      <c r="WK8" s="365">
        <f t="shared" si="31"/>
        <v>8087.6390399999991</v>
      </c>
      <c r="WL8" s="365">
        <f>WL9*(1+WL6)*0.92</f>
        <v>8256.3357599999999</v>
      </c>
      <c r="WM8" s="365">
        <f>WM9*(1+WM6)*0.95</f>
        <v>6659.7640999999994</v>
      </c>
      <c r="WN8" s="365">
        <f>WN9*(1+WN6)*0.95</f>
        <v>8075.6839999999993</v>
      </c>
      <c r="WO8" s="365">
        <f>WO9*(1+WO6)*0.95</f>
        <v>6528.8455499999991</v>
      </c>
      <c r="WP8" s="365">
        <f>WP9*(1+WP6)*0.96</f>
        <v>8348.7360000000008</v>
      </c>
      <c r="WQ8" s="365">
        <f>WQ9*(1+WQ6)*0.96</f>
        <v>6712.6214399999999</v>
      </c>
      <c r="WR8" s="365">
        <f>WR9*(1+WR6)*0.96</f>
        <v>8132.4028800000006</v>
      </c>
      <c r="WS8" s="365">
        <f>WS9*(1+WS6)*0.95</f>
        <v>6724.5749999999998</v>
      </c>
      <c r="WT8" s="365">
        <f>WT9*(1+WT6)*0.95</f>
        <v>8570.7294750000001</v>
      </c>
      <c r="WU8" s="365">
        <f>WU9*(1+WU6)*0.95</f>
        <v>6412.3157000000001</v>
      </c>
      <c r="WV8" s="365">
        <f>WV9*(1+WV6)*0.95</f>
        <v>8143.4075999999995</v>
      </c>
      <c r="WW8" s="365">
        <f t="shared" ref="WW8:XC8" si="32">WW9*(1+WW6)*0.96</f>
        <v>6915.3676799999994</v>
      </c>
      <c r="WX8" s="365">
        <f t="shared" si="32"/>
        <v>8162.7955199999997</v>
      </c>
      <c r="WY8" s="365">
        <f t="shared" si="32"/>
        <v>6952.2815999999993</v>
      </c>
      <c r="WZ8" s="365">
        <f t="shared" si="32"/>
        <v>8918.9548800000011</v>
      </c>
      <c r="XA8" s="365">
        <f t="shared" si="32"/>
        <v>6696.6595199999992</v>
      </c>
      <c r="XB8" s="365">
        <f t="shared" si="32"/>
        <v>8237.2752</v>
      </c>
      <c r="XC8" s="365">
        <f t="shared" si="32"/>
        <v>6546.2553599999992</v>
      </c>
      <c r="XD8" s="365">
        <f t="shared" ref="XD8:YM8" si="33">XD9*(1+XD6)*0.96</f>
        <v>7943.3145599999998</v>
      </c>
      <c r="XE8" s="365">
        <f t="shared" si="33"/>
        <v>6361.804799999999</v>
      </c>
      <c r="XF8" s="365">
        <f t="shared" si="33"/>
        <v>8208.1958400000003</v>
      </c>
      <c r="XG8" s="365">
        <f t="shared" si="33"/>
        <v>6810.9724799999995</v>
      </c>
      <c r="XH8" s="365">
        <f t="shared" si="33"/>
        <v>8322.5471999999991</v>
      </c>
      <c r="XI8" s="365">
        <f t="shared" si="33"/>
        <v>6782.0563199999997</v>
      </c>
      <c r="XJ8" s="365">
        <f t="shared" si="33"/>
        <v>8292.134399999999</v>
      </c>
      <c r="XK8" s="365">
        <f t="shared" si="33"/>
        <v>6660.9561599999988</v>
      </c>
      <c r="XL8" s="365">
        <f t="shared" si="33"/>
        <v>8454.6086400000004</v>
      </c>
      <c r="XM8" s="365">
        <f t="shared" si="33"/>
        <v>6806.1580799999992</v>
      </c>
      <c r="XN8" s="365">
        <f t="shared" si="33"/>
        <v>8253.5827200000003</v>
      </c>
      <c r="XO8" s="365">
        <f t="shared" si="33"/>
        <v>6591.0331199999991</v>
      </c>
      <c r="XP8" s="365">
        <f t="shared" si="33"/>
        <v>8446.68</v>
      </c>
      <c r="XQ8" s="365">
        <f t="shared" si="33"/>
        <v>6628.2047999999995</v>
      </c>
      <c r="XR8" s="365">
        <f t="shared" si="33"/>
        <v>8355.3407999999999</v>
      </c>
      <c r="XS8" s="365">
        <f t="shared" si="33"/>
        <v>6681.4329600000001</v>
      </c>
      <c r="XT8" s="365">
        <f t="shared" si="33"/>
        <v>8200.0465920000006</v>
      </c>
      <c r="XU8" s="365">
        <f t="shared" si="33"/>
        <v>6440.0275199999996</v>
      </c>
      <c r="XV8" s="365">
        <f t="shared" si="33"/>
        <v>8180.7321599999996</v>
      </c>
      <c r="XW8" s="365">
        <f t="shared" si="33"/>
        <v>5800.4812799999991</v>
      </c>
      <c r="XX8" s="365">
        <f t="shared" si="33"/>
        <v>7785.7343999999994</v>
      </c>
      <c r="XY8" s="365">
        <f t="shared" si="33"/>
        <v>6524.1580800000002</v>
      </c>
      <c r="XZ8" s="365">
        <f t="shared" si="33"/>
        <v>7593.8687999999993</v>
      </c>
      <c r="YA8" s="365">
        <f t="shared" si="33"/>
        <v>6150.0787200000004</v>
      </c>
      <c r="YB8" s="365">
        <f t="shared" si="33"/>
        <v>7893.6561599999986</v>
      </c>
      <c r="YC8" s="365">
        <f t="shared" si="33"/>
        <v>5849.9856</v>
      </c>
      <c r="YD8" s="365">
        <f t="shared" si="33"/>
        <v>1239.672</v>
      </c>
      <c r="YE8" s="365">
        <f t="shared" si="33"/>
        <v>0</v>
      </c>
      <c r="YF8" s="365">
        <f t="shared" si="33"/>
        <v>0</v>
      </c>
      <c r="YG8" s="365">
        <f t="shared" si="33"/>
        <v>0</v>
      </c>
      <c r="YH8" s="365">
        <f t="shared" si="33"/>
        <v>0</v>
      </c>
      <c r="YI8" s="365">
        <f t="shared" si="33"/>
        <v>0</v>
      </c>
      <c r="YJ8" s="365">
        <f t="shared" si="33"/>
        <v>0</v>
      </c>
      <c r="YK8" s="365">
        <f t="shared" si="33"/>
        <v>0</v>
      </c>
      <c r="YL8" s="365">
        <f t="shared" si="33"/>
        <v>0</v>
      </c>
      <c r="YM8" s="365">
        <f t="shared" si="33"/>
        <v>0</v>
      </c>
      <c r="YN8" s="365">
        <f t="shared" ref="YN8:YX8" si="34">YN9*(1+YN6)*0.96</f>
        <v>0</v>
      </c>
      <c r="YO8" s="365">
        <f t="shared" si="34"/>
        <v>0</v>
      </c>
      <c r="YP8" s="365">
        <f t="shared" si="34"/>
        <v>0</v>
      </c>
      <c r="YQ8" s="365">
        <f t="shared" si="34"/>
        <v>0</v>
      </c>
      <c r="YR8" s="365">
        <f t="shared" si="34"/>
        <v>0</v>
      </c>
      <c r="YS8" s="365">
        <f t="shared" si="34"/>
        <v>0</v>
      </c>
      <c r="YT8" s="365">
        <f t="shared" si="34"/>
        <v>0</v>
      </c>
      <c r="YU8" s="365">
        <f t="shared" si="34"/>
        <v>0</v>
      </c>
      <c r="YV8" s="365">
        <f t="shared" si="34"/>
        <v>0</v>
      </c>
      <c r="YW8" s="365">
        <f t="shared" si="34"/>
        <v>0</v>
      </c>
      <c r="YX8" s="365">
        <f t="shared" si="34"/>
        <v>0</v>
      </c>
      <c r="YY8" s="365">
        <f t="shared" ref="YY8:ZC8" si="35">YY9*(1+YY6)*0.96</f>
        <v>0</v>
      </c>
      <c r="YZ8" s="365">
        <f t="shared" si="35"/>
        <v>0</v>
      </c>
      <c r="ZA8" s="365">
        <f t="shared" si="35"/>
        <v>0</v>
      </c>
      <c r="ZB8" s="365">
        <f t="shared" si="35"/>
        <v>0</v>
      </c>
      <c r="ZC8" s="365">
        <f t="shared" si="35"/>
        <v>0</v>
      </c>
      <c r="ZD8" s="365">
        <f>ZD9*(1+ZD6)*1.02455</f>
        <v>1482.8209695</v>
      </c>
      <c r="ZE8" s="365">
        <f t="shared" ref="ZE8:AAE8" si="36">ZE9*(1+ZE6)*1.02455</f>
        <v>6425.1579600000005</v>
      </c>
      <c r="ZF8" s="365">
        <f t="shared" si="36"/>
        <v>7722.7023811500012</v>
      </c>
      <c r="ZG8" s="365">
        <f t="shared" si="36"/>
        <v>5670.3268948000004</v>
      </c>
      <c r="ZH8" s="365">
        <f t="shared" si="36"/>
        <v>7556.140263100001</v>
      </c>
      <c r="ZI8" s="365">
        <f t="shared" si="36"/>
        <v>5362.2892777250008</v>
      </c>
      <c r="ZJ8" s="365">
        <f t="shared" si="36"/>
        <v>5910.6658338000007</v>
      </c>
      <c r="ZK8" s="365">
        <f t="shared" si="36"/>
        <v>5085.5199020999999</v>
      </c>
      <c r="ZL8" s="365">
        <f t="shared" si="36"/>
        <v>4859.5267122000005</v>
      </c>
      <c r="ZM8" s="365">
        <f t="shared" si="36"/>
        <v>4813.8973533999997</v>
      </c>
      <c r="ZN8" s="365">
        <f t="shared" si="36"/>
        <v>4305.0033684</v>
      </c>
      <c r="ZO8" s="365">
        <f t="shared" si="36"/>
        <v>4524.3277623500007</v>
      </c>
      <c r="ZP8" s="365">
        <f t="shared" si="36"/>
        <v>4326.7258775000009</v>
      </c>
      <c r="ZQ8" s="365">
        <f t="shared" si="36"/>
        <v>5305.9467118500015</v>
      </c>
      <c r="ZR8" s="365">
        <f t="shared" si="36"/>
        <v>5400.8620484000003</v>
      </c>
      <c r="ZS8" s="365">
        <f t="shared" si="36"/>
        <v>7094.4350020000002</v>
      </c>
      <c r="ZT8" s="365">
        <f t="shared" si="36"/>
        <v>6565.7856439000007</v>
      </c>
      <c r="ZU8" s="365">
        <f t="shared" si="36"/>
        <v>6487.7451581250007</v>
      </c>
      <c r="ZV8" s="365">
        <f t="shared" si="36"/>
        <v>6158.7923773500006</v>
      </c>
      <c r="ZW8" s="365">
        <f t="shared" si="36"/>
        <v>5931.1056063000005</v>
      </c>
      <c r="ZX8" s="365">
        <f t="shared" si="36"/>
        <v>6091.0726960000002</v>
      </c>
      <c r="ZY8" s="365">
        <f t="shared" si="36"/>
        <v>5753.0270339749995</v>
      </c>
      <c r="ZZ8" s="365">
        <f t="shared" si="36"/>
        <v>5814.2454332999996</v>
      </c>
      <c r="AAA8" s="365">
        <f t="shared" si="36"/>
        <v>5850.152939605</v>
      </c>
      <c r="AAB8" s="365">
        <f t="shared" si="36"/>
        <v>5846.1888531999994</v>
      </c>
      <c r="AAC8" s="365">
        <f t="shared" si="36"/>
        <v>5672.0182588238004</v>
      </c>
      <c r="AAD8" s="365">
        <f t="shared" si="36"/>
        <v>5529.5788262750002</v>
      </c>
      <c r="AAE8" s="365">
        <f t="shared" si="36"/>
        <v>5757.2107839</v>
      </c>
      <c r="AAF8" s="365">
        <f t="shared" ref="AAF8:AAG8" si="37">AAF9*(1+AAF6)*1.02455</f>
        <v>5637.1099592500004</v>
      </c>
      <c r="AAG8" s="365">
        <f t="shared" si="37"/>
        <v>5755.4311405500011</v>
      </c>
      <c r="AAH8" s="365">
        <f t="shared" ref="AAH8:AAI8" si="38">AAH9*(1+AAH6)*1.02455</f>
        <v>5613.7061636000008</v>
      </c>
      <c r="AAI8" s="365">
        <f t="shared" si="38"/>
        <v>5848.7717437500005</v>
      </c>
      <c r="AAJ8" s="365">
        <f t="shared" ref="AAJ8:AAK8" si="39">AAJ9*(1+AAJ6)*1.02455</f>
        <v>5643.2705784</v>
      </c>
      <c r="AAK8" s="365">
        <f t="shared" si="39"/>
        <v>5561.6836127999995</v>
      </c>
      <c r="AAL8" s="365">
        <f t="shared" ref="AAL8:AAM8" si="40">AAL9*(1+AAL6)*1.02455</f>
        <v>5612.3496593999998</v>
      </c>
      <c r="AAM8" s="365">
        <f t="shared" si="40"/>
        <v>5833.2754250000007</v>
      </c>
      <c r="AAN8" s="365">
        <f t="shared" ref="AAN8:AAO8" si="41">AAN9*(1+AAN6)*1.02455</f>
        <v>5507.2738604999995</v>
      </c>
      <c r="AAO8" s="365">
        <f t="shared" si="41"/>
        <v>5648.1187490000011</v>
      </c>
      <c r="AAP8" s="365">
        <f t="shared" ref="AAP8:AAQ8" si="42">AAP9*(1+AAP6)*1.02455</f>
        <v>5729.2733545000001</v>
      </c>
      <c r="AAQ8" s="365">
        <f t="shared" si="42"/>
        <v>5701.2683047999999</v>
      </c>
      <c r="AAR8" s="365">
        <f t="shared" ref="AAR8:AAS8" si="43">AAR9*(1+AAR6)*1.02455</f>
        <v>5784.3695552999998</v>
      </c>
      <c r="AAS8" s="365">
        <f t="shared" si="43"/>
        <v>5640.9571445000001</v>
      </c>
      <c r="AAT8" s="365">
        <f t="shared" ref="AAT8:AAU8" si="44">AAT9*(1+AAT6)*1.02455</f>
        <v>5410.59219975</v>
      </c>
      <c r="AAU8" s="365">
        <f t="shared" si="44"/>
        <v>5543.8764215250003</v>
      </c>
      <c r="AAV8" s="365">
        <f t="shared" ref="AAV8:AAW8" si="45">AAV9*(1+AAV6)*1.02455</f>
        <v>5363.8512042000002</v>
      </c>
      <c r="AAW8" s="365">
        <f t="shared" si="45"/>
        <v>5320.0803790999998</v>
      </c>
      <c r="AAX8" s="365">
        <f t="shared" ref="AAX8:AAY8" si="46">AAX9*(1+AAX6)*1.02455</f>
        <v>5255.7663019500014</v>
      </c>
      <c r="AAY8" s="365">
        <f t="shared" si="46"/>
        <v>5125.8523374000006</v>
      </c>
      <c r="AAZ8" s="365">
        <f t="shared" ref="AAZ8:ABA8" si="47">AAZ9*(1+AAZ6)*1.02455</f>
        <v>5023.959815350001</v>
      </c>
      <c r="ABA8" s="365">
        <f t="shared" si="47"/>
        <v>5339.6769469500005</v>
      </c>
      <c r="ABB8" s="365">
        <f t="shared" ref="ABB8:ABC8" si="48">ABB9*(1+ABB6)*1.02455</f>
        <v>5478.2114751999998</v>
      </c>
      <c r="ABC8" s="365">
        <f t="shared" si="48"/>
        <v>5559.4869776000005</v>
      </c>
      <c r="ABD8" s="365">
        <f t="shared" ref="ABD8:ABE8" si="49">ABD9*(1+ABD6)*1.02455</f>
        <v>5928.9253638999999</v>
      </c>
      <c r="ABE8" s="365">
        <f t="shared" si="49"/>
        <v>6772.5213920000006</v>
      </c>
      <c r="ABF8" s="365">
        <f t="shared" ref="ABF8:ABG8" si="50">ABF9*(1+ABF6)*1.02455</f>
        <v>7454.9895152500012</v>
      </c>
      <c r="ABG8" s="365">
        <f t="shared" si="50"/>
        <v>9264.0041523750006</v>
      </c>
      <c r="ABH8" s="365">
        <f t="shared" ref="ABH8:ABI8" si="51">ABH9*(1+ABH6)*1.02455</f>
        <v>7758.896659</v>
      </c>
      <c r="ABI8" s="365">
        <f t="shared" si="51"/>
        <v>6673.1144282500009</v>
      </c>
      <c r="ABJ8" s="365">
        <f t="shared" ref="ABJ8:ABK8" si="52">ABJ9*(1+ABJ6)*1.02455</f>
        <v>7901.3060353500014</v>
      </c>
      <c r="ABK8" s="689">
        <f t="shared" si="52"/>
        <v>6627.911282250001</v>
      </c>
      <c r="ABL8" s="695">
        <f t="shared" ref="ABL8:ABM8" si="53">ABL9*(1+ABL6)*1.02455</f>
        <v>8381.9029738999998</v>
      </c>
      <c r="ABM8" s="365">
        <f t="shared" si="53"/>
        <v>7233.5443028</v>
      </c>
      <c r="ABN8" s="365">
        <f t="shared" ref="ABN8:ABO8" si="54">ABN9*(1+ABN6)*1.02455</f>
        <v>7901.6072530500014</v>
      </c>
      <c r="ABO8" s="365">
        <f t="shared" si="54"/>
        <v>6182.5035379999999</v>
      </c>
      <c r="ABP8" s="365">
        <f t="shared" ref="ABP8:ABQ8" si="55">ABP9*(1+ABP6)*1.02455</f>
        <v>8174.4797527500014</v>
      </c>
      <c r="ABQ8" s="365">
        <f t="shared" si="55"/>
        <v>5776.7223141000004</v>
      </c>
      <c r="ABR8" s="365">
        <f t="shared" ref="ABR8:ABS8" si="56">ABR9*(1+ABR6)*1.02455</f>
        <v>7868.5501473000013</v>
      </c>
      <c r="ABS8" s="696">
        <f t="shared" si="56"/>
        <v>6917.8947915000008</v>
      </c>
      <c r="ABT8" s="695">
        <f t="shared" ref="ABT8:ABU8" si="57">ABT9*(1+ABT6)*1.02455</f>
        <v>8921.8777077000013</v>
      </c>
      <c r="ABU8" s="365">
        <f t="shared" si="57"/>
        <v>7175.1900330000008</v>
      </c>
      <c r="ABV8" s="365">
        <f t="shared" ref="ABV8:ABW8" si="58">ABV9*(1+ABV6)*1.02455</f>
        <v>8812.728298</v>
      </c>
      <c r="ABW8" s="365">
        <f t="shared" si="58"/>
        <v>6973.3926159000002</v>
      </c>
      <c r="ABX8" s="365">
        <f t="shared" ref="ABX8:ABY8" si="59">ABX9*(1+ABX6)*1.02455</f>
        <v>7492.3804675000001</v>
      </c>
      <c r="ABY8" s="365">
        <f t="shared" si="59"/>
        <v>8903.5649009999997</v>
      </c>
      <c r="ABZ8" s="365">
        <f t="shared" ref="ABZ8:ACA8" si="60">ABZ9*(1+ABZ6)*1.02455</f>
        <v>6779.3274776500002</v>
      </c>
      <c r="ACA8" s="365">
        <f t="shared" si="60"/>
        <v>8895.4750542000002</v>
      </c>
      <c r="ACB8" s="365">
        <f t="shared" ref="ACB8:ACC8" si="61">ACB9*(1+ACB6)*1.02455</f>
        <v>6879.8614464000002</v>
      </c>
      <c r="ACC8" s="689">
        <f t="shared" si="61"/>
        <v>8773.3958235000009</v>
      </c>
      <c r="ACD8" s="695">
        <f t="shared" ref="ACD8:ACE8" si="62">ACD9*(1+ACD6)*1.02455</f>
        <v>7211.8740457500007</v>
      </c>
      <c r="ACE8" s="696">
        <f t="shared" si="62"/>
        <v>9048.4393446499998</v>
      </c>
      <c r="ACF8" s="696">
        <f t="shared" ref="ACF8:ACG8" si="63">ACF9*(1+ACF6)*1.02455</f>
        <v>8790.7803879000003</v>
      </c>
      <c r="ACG8" s="696">
        <f t="shared" si="63"/>
        <v>7516.4328033000002</v>
      </c>
      <c r="ACH8" s="696">
        <f t="shared" ref="ACH8:ACI8" si="64">ACH9*(1+ACH6)*1.02455</f>
        <v>9564.6086591999992</v>
      </c>
      <c r="ACI8" s="689">
        <f t="shared" si="64"/>
        <v>7011.6616075000002</v>
      </c>
      <c r="ACJ8" s="715">
        <f t="shared" ref="ACJ8:ACK8" si="65">ACJ9*(1+ACJ6)*1.02455</f>
        <v>8780.1885899999997</v>
      </c>
      <c r="ACK8" s="715">
        <f t="shared" si="65"/>
        <v>7250.765963750001</v>
      </c>
      <c r="ACL8" s="715">
        <f t="shared" ref="ACL8:ACM8" si="66">ACL9*(1+ACL6)*1.02455</f>
        <v>8935.7972440000012</v>
      </c>
      <c r="ACM8" s="715">
        <f t="shared" si="66"/>
        <v>6937.8427800000009</v>
      </c>
      <c r="ACN8" s="715">
        <f t="shared" ref="ACN8:ACO8" si="67">ACN9*(1+ACN6)*1.02455</f>
        <v>8777.3854212000006</v>
      </c>
      <c r="ACO8" s="715">
        <f t="shared" si="67"/>
        <v>7491.4276360000003</v>
      </c>
      <c r="ACP8" s="715">
        <f t="shared" ref="ACP8:ACQ8" si="68">ACP9*(1+ACP6)*1.02455</f>
        <v>9138.3712699999996</v>
      </c>
      <c r="ACQ8" s="715">
        <f t="shared" si="68"/>
        <v>7291.7428410000011</v>
      </c>
      <c r="ACR8" s="715">
        <f t="shared" ref="ACR8:ACS8" si="69">ACR9*(1+ACR6)*1.02455</f>
        <v>7227.7801844999995</v>
      </c>
      <c r="ACS8" s="715">
        <f t="shared" si="69"/>
        <v>8748.3763125000005</v>
      </c>
      <c r="ACT8" s="715">
        <f t="shared" ref="ACT8:ACU8" si="70">ACT9*(1+ACT6)*1.02455</f>
        <v>6436.305064000001</v>
      </c>
      <c r="ACU8" s="715">
        <f t="shared" si="70"/>
        <v>9065.3495424000012</v>
      </c>
      <c r="ACV8" s="715">
        <f t="shared" ref="ACV8:ACW8" si="71">ACV9*(1+ACV6)*1.02455</f>
        <v>6847.1086320000013</v>
      </c>
      <c r="ACW8" s="715">
        <f t="shared" si="71"/>
        <v>8115.4462063000001</v>
      </c>
      <c r="ACX8" s="715">
        <f t="shared" ref="ACX8:ACY8" si="72">ACX9*(1+ACX6)*1.02455</f>
        <v>8566.4100851999992</v>
      </c>
      <c r="ACY8" s="715">
        <f t="shared" si="72"/>
        <v>7062.7272286000016</v>
      </c>
      <c r="ACZ8" s="715">
        <f t="shared" ref="ACZ8:ADA8" si="73">ACZ9*(1+ACZ6)*1.02455</f>
        <v>8630.7846107999994</v>
      </c>
      <c r="ADA8" s="715">
        <f t="shared" si="73"/>
        <v>6753.0139600000011</v>
      </c>
      <c r="ADB8" s="715">
        <f t="shared" ref="ADB8:ADC8" si="74">ADB9*(1+ADB6)*1.02455</f>
        <v>7081.1978159999999</v>
      </c>
      <c r="ADC8" s="715">
        <f t="shared" si="74"/>
        <v>8772.606920000002</v>
      </c>
      <c r="ADD8" s="715">
        <f t="shared" ref="ADD8:ADE8" si="75">ADD9*(1+ADD6)*1.02455</f>
        <v>7081.7777113000011</v>
      </c>
      <c r="ADE8" s="715">
        <f t="shared" si="75"/>
        <v>9048.7385132500003</v>
      </c>
      <c r="ADF8" s="715">
        <f t="shared" ref="ADF8" si="76">ADF9*(1+ADF6)*1.02455</f>
        <v>9288.6368957500017</v>
      </c>
      <c r="ADG8" s="715">
        <f t="shared" ref="ADG8:ADH8" si="77">ADG9*(1+ADG6)*1.02455</f>
        <v>7453.0070110000015</v>
      </c>
      <c r="ADH8" s="715">
        <f t="shared" si="77"/>
        <v>9349.7912606999998</v>
      </c>
      <c r="ADI8" s="715">
        <f t="shared" ref="ADI8:ADJ8" si="78">ADI9*(1+ADI6)*1.02455</f>
        <v>7329.0569520000008</v>
      </c>
      <c r="ADJ8" s="715">
        <f t="shared" si="78"/>
        <v>9284.5130820000013</v>
      </c>
      <c r="ADK8" s="715">
        <f t="shared" ref="ADK8" si="79">ADK9*(1+ADK6)*1.02455</f>
        <v>7491.6837735000008</v>
      </c>
      <c r="ADL8" s="715">
        <f t="shared" ref="ADL8:ADM8" si="80">ADL9*(1+ADL6)*1.02455</f>
        <v>7112.3646270000008</v>
      </c>
      <c r="ADM8" s="715">
        <f t="shared" si="80"/>
        <v>8109.7077017500005</v>
      </c>
      <c r="ADN8" s="715">
        <f t="shared" ref="ADN8:ADO8" si="81">ADN9*(1+ADN6)*1.02455</f>
        <v>7319.2059037500003</v>
      </c>
      <c r="ADO8" s="715">
        <f t="shared" si="81"/>
        <v>6892.2564523000001</v>
      </c>
      <c r="ADP8" s="715">
        <f t="shared" ref="ADP8:ADQ8" si="82">ADP9*(1+ADP6)*1.02455</f>
        <v>8500.0151470000001</v>
      </c>
      <c r="ADQ8" s="715">
        <f t="shared" si="82"/>
        <v>7215.0573226000006</v>
      </c>
      <c r="ADR8" s="715">
        <f t="shared" ref="ADR8" si="83">ADR9*(1+ADR6)*1.02455</f>
        <v>8490.0606192000014</v>
      </c>
      <c r="ADS8" s="715">
        <f t="shared" ref="ADS8" si="84">ADS9*(1+ADS6)*1.02455</f>
        <v>6753.7106540000004</v>
      </c>
      <c r="ADT8" s="715">
        <f t="shared" ref="ADT8:ADU8" si="85">ADT9*(1+ADT6)*1.02455</f>
        <v>8975.2198788999995</v>
      </c>
      <c r="ADU8" s="715">
        <f t="shared" si="85"/>
        <v>6225.2436658000006</v>
      </c>
      <c r="ADV8" s="715">
        <f t="shared" ref="ADV8:ADW8" si="86">ADV9*(1+ADV6)*1.02455</f>
        <v>8704.8483057499998</v>
      </c>
      <c r="ADW8" s="715">
        <f t="shared" si="86"/>
        <v>6658.8936742500009</v>
      </c>
      <c r="ADX8" s="715">
        <f t="shared" ref="ADX8:AEC8" si="87">ADX9*(1+ADX6)*1.02455</f>
        <v>8291.3429994000016</v>
      </c>
      <c r="ADY8" s="715">
        <f t="shared" si="87"/>
        <v>7064.9966068500007</v>
      </c>
      <c r="ADZ8" s="715">
        <f t="shared" si="87"/>
        <v>8605.4495384000002</v>
      </c>
      <c r="AEA8" s="715">
        <f t="shared" si="87"/>
        <v>6608.3393036000007</v>
      </c>
      <c r="AEB8" s="715">
        <f t="shared" si="87"/>
        <v>8242.349018400002</v>
      </c>
      <c r="AEC8" s="715">
        <f t="shared" si="87"/>
        <v>6859.8827214000003</v>
      </c>
      <c r="AED8" s="715">
        <f t="shared" ref="AED8:AEE8" si="88">AED9*(1+AED6)*1.02455</f>
        <v>8757.2837502000002</v>
      </c>
      <c r="AEE8" s="715">
        <f t="shared" si="88"/>
        <v>6913.0204948749997</v>
      </c>
      <c r="AEF8" s="715">
        <f t="shared" ref="AEF8:AEG8" si="89">AEF9*(1+AEF6)*1.02455</f>
        <v>8244.2772215000005</v>
      </c>
      <c r="AEG8" s="715">
        <f t="shared" si="89"/>
        <v>6482.7858238500003</v>
      </c>
      <c r="AEH8" s="715">
        <f t="shared" ref="AEH8:AEI8" si="90">AEH9*(1+AEH6)*1.02455</f>
        <v>8169.7422335500014</v>
      </c>
      <c r="AEI8" s="715">
        <f t="shared" si="90"/>
        <v>6644.7082672250008</v>
      </c>
      <c r="AEJ8" s="715">
        <f t="shared" ref="AEJ8:AEK8" si="91">AEJ9*(1+AEJ6)*1.02455</f>
        <v>8521.2284547500003</v>
      </c>
      <c r="AEK8" s="715">
        <f t="shared" si="91"/>
        <v>7135.3104487999999</v>
      </c>
      <c r="AEL8" s="715">
        <f t="shared" ref="AEL8:AEM8" si="92">AEL9*(1+AEL6)*1.02455</f>
        <v>8457.0455200000015</v>
      </c>
      <c r="AEM8" s="715">
        <f t="shared" si="92"/>
        <v>6601.2996205500003</v>
      </c>
      <c r="AEN8" s="715">
        <f t="shared" ref="AEN8:AEO8" si="93">AEN9*(1+AEN6)*1.02455</f>
        <v>8183.9414720000013</v>
      </c>
      <c r="AEO8" s="715">
        <f t="shared" si="93"/>
        <v>6544.1696880000009</v>
      </c>
      <c r="AEP8" s="715">
        <f t="shared" ref="AEP8:AEQ8" si="94">AEP9*(1+AEP6)*1.02455</f>
        <v>8740.599978000002</v>
      </c>
      <c r="AEQ8" s="715">
        <f t="shared" si="94"/>
        <v>6836.9758325000003</v>
      </c>
      <c r="AER8" s="715">
        <f t="shared" ref="AER8:AES8" si="95">AER9*(1+AER6)*1.02455</f>
        <v>8600.0153252</v>
      </c>
      <c r="AES8" s="715">
        <f t="shared" si="95"/>
        <v>6934.5181152500008</v>
      </c>
      <c r="AET8" s="715">
        <f t="shared" ref="AET8:AFM8" si="96">AET9*(1+AET6)*1.02455</f>
        <v>8221.4604930000023</v>
      </c>
      <c r="AEU8" s="715">
        <f t="shared" si="96"/>
        <v>3179.2606140000007</v>
      </c>
      <c r="AEV8" s="715">
        <f t="shared" si="96"/>
        <v>6952.6854358500013</v>
      </c>
      <c r="AEW8" s="715">
        <f t="shared" si="96"/>
        <v>6760.5648934999999</v>
      </c>
      <c r="AEX8" s="715">
        <f t="shared" si="96"/>
        <v>7924.7405675</v>
      </c>
      <c r="AEY8" s="715">
        <f t="shared" si="96"/>
        <v>6365.2627670000002</v>
      </c>
      <c r="AEZ8" s="715">
        <f t="shared" si="96"/>
        <v>6455.70286915</v>
      </c>
      <c r="AFA8" s="715">
        <f t="shared" si="96"/>
        <v>8982.6560628000025</v>
      </c>
      <c r="AFB8" s="715">
        <f t="shared" si="96"/>
        <v>6743.966158950001</v>
      </c>
      <c r="AFC8" s="715">
        <f t="shared" si="96"/>
        <v>8630.4634143750009</v>
      </c>
      <c r="AFD8" s="715">
        <f t="shared" si="96"/>
        <v>8244.2772215000005</v>
      </c>
      <c r="AFE8" s="715">
        <f t="shared" si="96"/>
        <v>6562.5296240000007</v>
      </c>
      <c r="AFF8" s="715">
        <f t="shared" si="96"/>
        <v>7949.852288000001</v>
      </c>
      <c r="AFG8" s="715">
        <f t="shared" si="96"/>
        <v>6308.9330080000009</v>
      </c>
      <c r="AFH8" s="715">
        <f t="shared" si="96"/>
        <v>7454.1340160000009</v>
      </c>
      <c r="AFI8" s="715">
        <f t="shared" si="96"/>
        <v>9286.2445714999994</v>
      </c>
      <c r="AFJ8" s="715">
        <f t="shared" si="96"/>
        <v>8772.606920000002</v>
      </c>
      <c r="AFK8" s="715">
        <f t="shared" si="96"/>
        <v>6942.3508000000011</v>
      </c>
      <c r="AFL8" s="715">
        <f t="shared" si="96"/>
        <v>7674.1356375000005</v>
      </c>
      <c r="AFM8" s="715">
        <f t="shared" si="96"/>
        <v>5727.3625687500007</v>
      </c>
      <c r="AFN8" s="715">
        <f t="shared" ref="AFN8:AFO8" si="97">AFN9*(1+AFN6)*1.02455</f>
        <v>7209.6302812500007</v>
      </c>
      <c r="AFO8" s="715">
        <f t="shared" si="97"/>
        <v>5106.3572000000013</v>
      </c>
      <c r="AFP8" s="715">
        <f t="shared" ref="AFP8:AFQ8" si="98">AFP9*(1+AFP6)*1.02455</f>
        <v>6335.3254160000006</v>
      </c>
      <c r="AFQ8" s="715">
        <f t="shared" si="98"/>
        <v>4922.7578400000002</v>
      </c>
      <c r="AFR8" s="715">
        <f t="shared" ref="AFR8:AFS8" si="99">AFR9*(1+AFR6)*1.02455</f>
        <v>6328.2150389999997</v>
      </c>
      <c r="AFS8" s="715">
        <f t="shared" si="99"/>
        <v>5003.6993390999996</v>
      </c>
      <c r="AFT8" s="715">
        <f t="shared" ref="AFT8:AFU8" si="100">AFT9*(1+AFT6)*1.02455</f>
        <v>8234.4312960000007</v>
      </c>
      <c r="AFU8" s="715">
        <f t="shared" si="100"/>
        <v>7158.0800480000007</v>
      </c>
      <c r="AFV8" s="715">
        <f t="shared" ref="AFV8:AFW8" si="101">AFV9*(1+AFV6)*1.02455</f>
        <v>8836.866696000001</v>
      </c>
      <c r="AFW8" s="715">
        <f t="shared" si="101"/>
        <v>5293.8293590000003</v>
      </c>
      <c r="AFX8" s="695">
        <f t="shared" ref="AFX8:AFY8" si="102">AFX9*(1+AFX6)*1.02455</f>
        <v>9856.5500835000021</v>
      </c>
      <c r="AFY8" s="695">
        <f t="shared" si="102"/>
        <v>6849.9363900000008</v>
      </c>
      <c r="AFZ8" s="695">
        <f t="shared" ref="AFZ8:AGA8" si="103">AFZ9*(1+AFZ6)*1.02455</f>
        <v>8930.961368000002</v>
      </c>
      <c r="AGA8" s="695">
        <f t="shared" si="103"/>
        <v>7132.8351360000015</v>
      </c>
      <c r="AGB8" s="695">
        <f t="shared" ref="AGB8" si="104">AGB9*(1+AGB6)*1.02455</f>
        <v>8966.7079174999999</v>
      </c>
      <c r="AGC8" s="695">
        <f t="shared" ref="AGC8:AGD8" si="105">AGC9*(1+AGC6)*1.02455</f>
        <v>7278.7208105</v>
      </c>
      <c r="AGD8" s="695">
        <f t="shared" si="105"/>
        <v>9003.1050562500004</v>
      </c>
      <c r="AGE8" s="942">
        <f t="shared" ref="AGE8" si="106">AGE9*(1+AGE6)*1.02455</f>
        <v>7144.4023055000007</v>
      </c>
      <c r="AGF8" s="715">
        <f t="shared" ref="AGF8:AGG8" si="107">AGF9*(1+AGF6)*1.02455</f>
        <v>8693.6089922500014</v>
      </c>
      <c r="AGG8" s="715">
        <f t="shared" si="107"/>
        <v>6880.3655250000011</v>
      </c>
      <c r="AGH8" s="715">
        <f t="shared" ref="AGH8:AGI8" si="108">AGH9*(1+AGH6)*1.02455</f>
        <v>7113.3277040000012</v>
      </c>
      <c r="AGI8" s="715">
        <f t="shared" si="108"/>
        <v>7262.5995162500003</v>
      </c>
      <c r="AGJ8" s="715">
        <f t="shared" ref="AGJ8" si="109">AGJ9*(1+AGJ6)*1.02455</f>
        <v>7011.8870085000008</v>
      </c>
      <c r="AGK8" s="715">
        <f t="shared" ref="AGK8:AGQ8" si="110">AGK9*(1+AGK6)*1.01</f>
        <v>8609.4167499999985</v>
      </c>
      <c r="AGL8" s="715">
        <f t="shared" si="110"/>
        <v>7136.7408000000005</v>
      </c>
      <c r="AGM8" s="715">
        <f t="shared" si="110"/>
        <v>8500.2610000000004</v>
      </c>
      <c r="AGN8" s="715">
        <f t="shared" si="110"/>
        <v>8710.7702499999996</v>
      </c>
      <c r="AGO8" s="715">
        <f t="shared" si="110"/>
        <v>6573.0093000000006</v>
      </c>
      <c r="AGP8" s="715">
        <f t="shared" si="110"/>
        <v>8045.0136000000002</v>
      </c>
      <c r="AGQ8" s="715">
        <f t="shared" si="110"/>
        <v>6749.8704000000007</v>
      </c>
      <c r="AGR8" s="715">
        <f t="shared" ref="AGR8:AHQ8" si="111">AGR9*(1+AGR6)*1.01</f>
        <v>7936.4992000000011</v>
      </c>
      <c r="AGS8" s="715">
        <f t="shared" si="111"/>
        <v>6942.5278999999991</v>
      </c>
      <c r="AGT8" s="715">
        <f t="shared" si="111"/>
        <v>8058.9970499999999</v>
      </c>
      <c r="AGU8" s="715">
        <f t="shared" si="111"/>
        <v>7073.0199000000011</v>
      </c>
      <c r="AGV8" s="715">
        <f t="shared" si="111"/>
        <v>8475.8190000000013</v>
      </c>
      <c r="AGW8" s="715">
        <f t="shared" si="111"/>
        <v>6986.473</v>
      </c>
      <c r="AGX8" s="715">
        <f t="shared" si="111"/>
        <v>7060.6878000000006</v>
      </c>
      <c r="AGY8" s="715">
        <f t="shared" si="111"/>
        <v>8408.0480000000007</v>
      </c>
      <c r="AGZ8" s="715">
        <f t="shared" si="111"/>
        <v>6893.8408500000005</v>
      </c>
      <c r="AHA8" s="715">
        <f t="shared" si="111"/>
        <v>8315.8350000000009</v>
      </c>
      <c r="AHB8" s="715">
        <f t="shared" si="111"/>
        <v>8736.4394000000011</v>
      </c>
      <c r="AHC8" s="715">
        <f t="shared" si="111"/>
        <v>7003.7440000000006</v>
      </c>
      <c r="AHD8" s="715">
        <f t="shared" si="111"/>
        <v>8470.8195000000014</v>
      </c>
      <c r="AHE8" s="715">
        <f t="shared" si="111"/>
        <v>6986.6952000000001</v>
      </c>
      <c r="AHF8" s="715">
        <f t="shared" si="111"/>
        <v>8727.6625000000004</v>
      </c>
      <c r="AHG8" s="715">
        <f t="shared" si="111"/>
        <v>6806.4304000000011</v>
      </c>
      <c r="AHH8" s="715">
        <f t="shared" si="111"/>
        <v>8676.1929000000018</v>
      </c>
      <c r="AHI8" s="715">
        <f t="shared" si="111"/>
        <v>6832.4580999999998</v>
      </c>
      <c r="AHJ8" s="715">
        <f t="shared" si="111"/>
        <v>8027.076</v>
      </c>
      <c r="AHK8" s="715">
        <f t="shared" si="111"/>
        <v>7037.9324999999999</v>
      </c>
      <c r="AHL8" s="715">
        <f t="shared" si="111"/>
        <v>8907.0637499999993</v>
      </c>
      <c r="AHM8" s="715">
        <f t="shared" si="111"/>
        <v>7138.0911700000006</v>
      </c>
      <c r="AHN8" s="715">
        <f t="shared" si="111"/>
        <v>8436.4896000000008</v>
      </c>
      <c r="AHO8" s="715">
        <f t="shared" si="111"/>
        <v>6131.0050199999996</v>
      </c>
      <c r="AHP8" s="715">
        <f t="shared" si="111"/>
        <v>8678.9098000000013</v>
      </c>
      <c r="AHQ8" s="715">
        <f t="shared" si="111"/>
        <v>7012.1471999999994</v>
      </c>
      <c r="AHR8" s="715">
        <f t="shared" ref="AHR8:AHS8" si="112">AHR9*(1+AHR6)*1.01</f>
        <v>8761.1440000000021</v>
      </c>
      <c r="AHS8" s="715">
        <f t="shared" si="112"/>
        <v>6893.8499400000001</v>
      </c>
      <c r="AHT8" s="715">
        <f t="shared" ref="AHT8:AHU8" si="113">AHT9*(1+AHT6)*1.01</f>
        <v>8929.6928000000007</v>
      </c>
      <c r="AHU8" s="715">
        <f t="shared" si="113"/>
        <v>7162.7987999999996</v>
      </c>
      <c r="AHV8" s="715">
        <f t="shared" ref="AHV8:AHX8" si="114">AHV9*(1+AHV6)*1.01</f>
        <v>8560.9216000000015</v>
      </c>
      <c r="AHW8" s="715">
        <f t="shared" si="114"/>
        <v>7187.9074000000001</v>
      </c>
      <c r="AHX8" s="715">
        <f t="shared" si="114"/>
        <v>8585.8080000000009</v>
      </c>
      <c r="AHY8" s="715">
        <f t="shared" ref="AHY8:AHZ8" si="115">AHY9*(1+AHY6)*1.01</f>
        <v>7124.8632000000007</v>
      </c>
      <c r="AHZ8" s="715">
        <f t="shared" si="115"/>
        <v>7257.8802000000005</v>
      </c>
      <c r="AIA8" s="715">
        <f t="shared" ref="AIA8:AIB8" si="116">AIA9*(1+AIA6)*1.01</f>
        <v>8675.0212999999985</v>
      </c>
      <c r="AIB8" s="715">
        <f t="shared" si="116"/>
        <v>7650.3056000000006</v>
      </c>
      <c r="AIC8" s="715">
        <f t="shared" ref="AIC8:AIE8" si="117">AIC9*(1+AIC6)*1.01</f>
        <v>7100.0272999999997</v>
      </c>
      <c r="AID8" s="715">
        <f t="shared" si="117"/>
        <v>9078.2839999999997</v>
      </c>
      <c r="AIE8" s="715">
        <f t="shared" si="117"/>
        <v>7093.6138000000001</v>
      </c>
      <c r="AIF8" s="715">
        <f t="shared" ref="AIF8:AIG8" si="118">AIF9*(1+AIF6)*1.01</f>
        <v>8435.1564000000017</v>
      </c>
      <c r="AIG8" s="715">
        <f t="shared" si="118"/>
        <v>6686.8312500000002</v>
      </c>
      <c r="AIH8" s="715">
        <f>AIH9*(1+AIH6)*1.12</f>
        <v>9052.2152000000006</v>
      </c>
      <c r="AII8" s="715">
        <f t="shared" ref="AII8:AJL8" si="119">AII9*(1+AII6)*1.12</f>
        <v>7402.1359999999995</v>
      </c>
      <c r="AIJ8" s="715">
        <f t="shared" si="119"/>
        <v>8845.6704000000027</v>
      </c>
      <c r="AIK8" s="715">
        <f t="shared" si="119"/>
        <v>8312.2816000000003</v>
      </c>
      <c r="AIL8" s="715">
        <f t="shared" si="119"/>
        <v>10025.870400000002</v>
      </c>
      <c r="AIM8" s="715">
        <f t="shared" si="119"/>
        <v>7382.1440000000011</v>
      </c>
      <c r="AIN8" s="715">
        <f t="shared" si="119"/>
        <v>7302.0192000000015</v>
      </c>
      <c r="AIO8" s="715">
        <f t="shared" si="119"/>
        <v>8069.0400000000009</v>
      </c>
      <c r="AIP8" s="715">
        <f t="shared" si="119"/>
        <v>7055.5968000000012</v>
      </c>
      <c r="AIQ8" s="715">
        <f t="shared" si="119"/>
        <v>8384.6</v>
      </c>
      <c r="AIR8" s="715">
        <f t="shared" si="119"/>
        <v>10241.212800000001</v>
      </c>
      <c r="AIS8" s="715">
        <f t="shared" si="119"/>
        <v>8145.4463999999998</v>
      </c>
      <c r="AIT8" s="715">
        <f t="shared" si="119"/>
        <v>10011.635200000001</v>
      </c>
      <c r="AIU8" s="715">
        <f t="shared" si="119"/>
        <v>7630.9184000000005</v>
      </c>
      <c r="AIV8" s="715">
        <f t="shared" si="119"/>
        <v>9996.4972799999996</v>
      </c>
      <c r="AIW8" s="715">
        <f t="shared" si="119"/>
        <v>7350.0336000000007</v>
      </c>
      <c r="AIX8" s="715">
        <f t="shared" si="119"/>
        <v>7472.9759999999997</v>
      </c>
      <c r="AIY8" s="715">
        <f t="shared" si="119"/>
        <v>8903.1040000000012</v>
      </c>
      <c r="AIZ8" s="715">
        <f t="shared" si="119"/>
        <v>7295.232</v>
      </c>
      <c r="AJA8" s="715">
        <f t="shared" si="119"/>
        <v>8834.8960000000006</v>
      </c>
      <c r="AJB8" s="715">
        <f t="shared" si="119"/>
        <v>9140.5776000000005</v>
      </c>
      <c r="AJC8" s="715">
        <f t="shared" si="119"/>
        <v>7296.9456000000009</v>
      </c>
      <c r="AJD8" s="715">
        <f t="shared" si="119"/>
        <v>7412.8544000000002</v>
      </c>
      <c r="AJE8" s="715">
        <f t="shared" si="119"/>
        <v>8951.6448000000019</v>
      </c>
      <c r="AJF8" s="715">
        <f t="shared" si="119"/>
        <v>9150.5231999999996</v>
      </c>
      <c r="AJG8" s="715">
        <f t="shared" si="119"/>
        <v>6791.4000000000005</v>
      </c>
      <c r="AJH8" s="715">
        <f t="shared" si="119"/>
        <v>7385.4144000000006</v>
      </c>
      <c r="AJI8" s="715">
        <f t="shared" si="119"/>
        <v>8573.2192000000014</v>
      </c>
      <c r="AJJ8" s="715">
        <f t="shared" si="119"/>
        <v>7402.3711999999996</v>
      </c>
      <c r="AJK8" s="715">
        <f t="shared" si="119"/>
        <v>8327.63904</v>
      </c>
      <c r="AJL8" s="715">
        <f t="shared" si="119"/>
        <v>7324.9052799999999</v>
      </c>
      <c r="AJM8" s="715">
        <f>AJM9*(1+AJM6)*0.99</f>
        <v>6081.0749999999998</v>
      </c>
      <c r="AJN8" s="715">
        <f t="shared" ref="AJN8:AJV8" si="120">AJN9*(1+AJN6)*0.99</f>
        <v>6139.6335000000008</v>
      </c>
      <c r="AJO8" s="715">
        <f t="shared" si="120"/>
        <v>8239.3244999999988</v>
      </c>
      <c r="AJP8" s="715">
        <f t="shared" si="120"/>
        <v>5119.0286399999995</v>
      </c>
      <c r="AJQ8" s="715">
        <f t="shared" si="120"/>
        <v>5087.808</v>
      </c>
      <c r="AJR8" s="715">
        <f t="shared" si="120"/>
        <v>4936.6746000000003</v>
      </c>
      <c r="AJS8" s="715">
        <f t="shared" si="120"/>
        <v>4326.0128999999997</v>
      </c>
      <c r="AJT8" s="715">
        <f t="shared" si="120"/>
        <v>5031.18</v>
      </c>
      <c r="AJU8" s="715">
        <f t="shared" si="120"/>
        <v>4873.2604469999997</v>
      </c>
      <c r="AJV8" s="715">
        <f t="shared" si="120"/>
        <v>5191.5005999999994</v>
      </c>
      <c r="AJW8" s="715">
        <f t="shared" ref="AJW8" si="121">AJW9*(1+AJW6)*0.99</f>
        <v>5072.0174999999999</v>
      </c>
      <c r="AJX8" s="715">
        <f t="shared" ref="AJX8" si="122">AJX9*(1+AJX6)*0.99</f>
        <v>5328.4769999999999</v>
      </c>
      <c r="AJY8" s="715">
        <f t="shared" ref="AJY8" si="123">AJY9*(1+AJY6)*0.99</f>
        <v>5393.0645999999997</v>
      </c>
      <c r="AJZ8" s="715">
        <f t="shared" ref="AJZ8" si="124">AJZ9*(1+AJZ6)*0.99</f>
        <v>9183.2201999999997</v>
      </c>
      <c r="AKA8" s="715">
        <f t="shared" ref="AKA8:AKB8" si="125">AKA9*(1+AKA6)*0.99</f>
        <v>7647.2055000000009</v>
      </c>
      <c r="AKB8" s="715">
        <f t="shared" si="125"/>
        <v>7391.1419999999989</v>
      </c>
      <c r="AKC8" s="715">
        <f t="shared" ref="AKC8" si="126">AKC9*(1+AKC6)*0.99</f>
        <v>9420.3251999999993</v>
      </c>
      <c r="AKD8" s="715">
        <f t="shared" ref="AKD8" si="127">AKD9*(1+AKD6)*0.99</f>
        <v>7461.1547999999993</v>
      </c>
      <c r="AKE8" s="715">
        <v>7599</v>
      </c>
      <c r="AKF8" s="715">
        <v>7599</v>
      </c>
      <c r="AKG8" s="715">
        <v>7599</v>
      </c>
      <c r="AKH8" s="715">
        <v>7599</v>
      </c>
      <c r="AKI8" s="715">
        <v>7599</v>
      </c>
      <c r="AKJ8" s="715">
        <v>7599</v>
      </c>
      <c r="AKK8" s="715">
        <v>7599</v>
      </c>
      <c r="AKL8" s="715">
        <v>7599</v>
      </c>
      <c r="AKM8" s="715">
        <v>7599</v>
      </c>
      <c r="AKN8" s="715">
        <v>7599</v>
      </c>
      <c r="AKO8" s="715">
        <v>7599</v>
      </c>
      <c r="AKP8" s="715">
        <v>7599</v>
      </c>
      <c r="AKQ8" s="715">
        <v>7599</v>
      </c>
      <c r="AKR8" s="715">
        <v>7599</v>
      </c>
      <c r="AKS8" s="715">
        <v>7599</v>
      </c>
      <c r="AKT8" s="715">
        <v>7599</v>
      </c>
      <c r="AKU8" s="715">
        <v>7599</v>
      </c>
      <c r="AKV8" s="715">
        <v>7599</v>
      </c>
      <c r="AKW8" s="715">
        <v>7599</v>
      </c>
      <c r="AKX8" s="715">
        <v>7599</v>
      </c>
      <c r="AKY8" s="715">
        <v>7599</v>
      </c>
      <c r="AKZ8" s="715">
        <v>7599</v>
      </c>
      <c r="ALA8" s="715">
        <v>7599</v>
      </c>
      <c r="ALB8" s="715">
        <v>7599</v>
      </c>
      <c r="ALC8" s="715">
        <v>7599</v>
      </c>
      <c r="ALD8" s="715">
        <v>7599</v>
      </c>
      <c r="ALE8" s="715">
        <v>7599</v>
      </c>
      <c r="ALF8" s="715">
        <v>7599</v>
      </c>
      <c r="ALG8" s="715">
        <v>7599</v>
      </c>
      <c r="ALH8" s="715">
        <v>7599</v>
      </c>
      <c r="ALI8" s="715">
        <v>7599</v>
      </c>
      <c r="ALJ8" s="715">
        <v>7599</v>
      </c>
      <c r="ALK8" s="715">
        <v>7599</v>
      </c>
      <c r="ALL8" s="715">
        <v>7599</v>
      </c>
      <c r="ALM8" s="715">
        <v>7599</v>
      </c>
      <c r="ALN8" s="715">
        <v>7599</v>
      </c>
      <c r="ALO8" s="715">
        <v>7599</v>
      </c>
      <c r="ALP8" s="715">
        <v>7599</v>
      </c>
      <c r="ALQ8" s="715">
        <v>7599</v>
      </c>
      <c r="ALR8" s="715">
        <v>7599</v>
      </c>
      <c r="ALS8" s="715">
        <v>7599</v>
      </c>
      <c r="ALT8" s="715">
        <v>7599</v>
      </c>
      <c r="ALU8" s="715">
        <v>7599</v>
      </c>
      <c r="ALV8" s="715">
        <v>7599</v>
      </c>
      <c r="ALW8" s="715">
        <v>7599</v>
      </c>
      <c r="ALX8" s="715">
        <v>7599</v>
      </c>
      <c r="ALY8" s="715">
        <v>7599</v>
      </c>
      <c r="ALZ8" s="715">
        <v>7599</v>
      </c>
      <c r="AMA8" s="715">
        <v>7599</v>
      </c>
      <c r="AMB8" s="715">
        <v>7599</v>
      </c>
      <c r="AMC8" s="715">
        <v>7599</v>
      </c>
      <c r="AMD8" s="715">
        <v>7599</v>
      </c>
      <c r="AME8" s="715">
        <v>7599</v>
      </c>
      <c r="AMF8" s="715">
        <v>7599</v>
      </c>
      <c r="AMG8" s="715">
        <v>7599</v>
      </c>
      <c r="AMH8" s="715">
        <v>7599</v>
      </c>
      <c r="AMI8" s="715">
        <v>7599</v>
      </c>
      <c r="AMJ8" s="715">
        <v>7599</v>
      </c>
      <c r="AMK8" s="715">
        <v>7599</v>
      </c>
      <c r="AML8" s="715">
        <v>7599</v>
      </c>
      <c r="AMM8" s="715">
        <v>7599</v>
      </c>
      <c r="AMN8" s="715">
        <v>7599</v>
      </c>
      <c r="AMO8" s="715">
        <v>7599</v>
      </c>
      <c r="AMP8" s="715">
        <v>7599</v>
      </c>
      <c r="AMQ8" s="715">
        <v>7599</v>
      </c>
      <c r="AMR8" s="715">
        <v>7599</v>
      </c>
      <c r="AMS8" s="715">
        <v>7599</v>
      </c>
      <c r="AMT8" s="715">
        <v>7599</v>
      </c>
      <c r="AMU8" s="715">
        <v>7599</v>
      </c>
      <c r="AMV8" s="715">
        <v>7599</v>
      </c>
      <c r="AMW8" s="715">
        <v>7599</v>
      </c>
      <c r="AMX8" s="715">
        <v>7599</v>
      </c>
      <c r="AMY8" s="715">
        <v>7599</v>
      </c>
      <c r="AMZ8" s="715">
        <v>7599</v>
      </c>
      <c r="ANA8" s="715">
        <v>7599</v>
      </c>
      <c r="ANB8" s="715">
        <v>7599</v>
      </c>
      <c r="ANC8" s="715">
        <v>7599</v>
      </c>
      <c r="AND8" s="715">
        <v>7599</v>
      </c>
      <c r="ANE8" s="715">
        <v>7599</v>
      </c>
      <c r="ANF8" s="715">
        <v>7599</v>
      </c>
      <c r="ANG8" s="715">
        <v>7599</v>
      </c>
      <c r="ANH8" s="715">
        <v>7599</v>
      </c>
      <c r="ANI8" s="715">
        <v>7599</v>
      </c>
      <c r="ANJ8" s="715">
        <v>7599</v>
      </c>
      <c r="ANK8" s="715">
        <v>7599</v>
      </c>
      <c r="ANL8" s="715">
        <v>7599</v>
      </c>
      <c r="ANM8" s="715">
        <v>7599</v>
      </c>
      <c r="ANN8" s="715">
        <v>7599</v>
      </c>
      <c r="ANO8" s="715">
        <v>7599</v>
      </c>
      <c r="ANP8" s="715">
        <v>7599</v>
      </c>
      <c r="ANQ8" s="715">
        <v>7599</v>
      </c>
      <c r="ANR8" s="715">
        <v>7599</v>
      </c>
      <c r="ANS8" s="715">
        <v>7599</v>
      </c>
      <c r="ANT8" s="715">
        <v>7599</v>
      </c>
      <c r="ANU8" s="715">
        <v>7599</v>
      </c>
      <c r="ANV8" s="715">
        <v>7599</v>
      </c>
      <c r="ANW8" s="715">
        <v>7599</v>
      </c>
      <c r="ANX8" s="715">
        <v>7599</v>
      </c>
      <c r="ANY8" s="715">
        <v>7599</v>
      </c>
      <c r="ANZ8" s="715">
        <v>7599</v>
      </c>
      <c r="AOA8" s="715">
        <v>7599</v>
      </c>
      <c r="AOB8" s="715">
        <v>7599</v>
      </c>
      <c r="AOC8" s="715">
        <v>7599</v>
      </c>
      <c r="AOD8" s="715">
        <v>7599</v>
      </c>
      <c r="AOE8" s="715">
        <v>7599</v>
      </c>
      <c r="AOF8" s="715">
        <v>7599</v>
      </c>
      <c r="AOG8" s="715">
        <v>7599</v>
      </c>
      <c r="AOH8" s="715">
        <v>7599</v>
      </c>
      <c r="AOI8" s="715">
        <v>7599</v>
      </c>
      <c r="AOJ8" s="715">
        <v>7599</v>
      </c>
      <c r="AOK8" s="715">
        <v>7599</v>
      </c>
      <c r="AOL8" s="715">
        <v>7599</v>
      </c>
      <c r="AOM8" s="715">
        <v>7599</v>
      </c>
      <c r="AON8" s="715">
        <v>7599</v>
      </c>
      <c r="AOO8" s="715">
        <v>7599</v>
      </c>
      <c r="AOP8" s="715">
        <v>7599</v>
      </c>
      <c r="AOQ8" s="715">
        <v>7599</v>
      </c>
      <c r="AOR8" s="715">
        <v>7599</v>
      </c>
      <c r="AOS8" s="715">
        <v>7599</v>
      </c>
      <c r="AOT8" s="715">
        <v>7599</v>
      </c>
      <c r="AOU8" s="715">
        <v>7599</v>
      </c>
      <c r="AOV8" s="715">
        <v>7599</v>
      </c>
      <c r="AOW8" s="715">
        <v>7599</v>
      </c>
      <c r="AOX8" s="715">
        <v>7599</v>
      </c>
      <c r="AOY8" s="715">
        <v>7599</v>
      </c>
      <c r="AOZ8" s="715">
        <v>7599</v>
      </c>
      <c r="APA8" s="715">
        <v>7599</v>
      </c>
      <c r="APB8" s="715">
        <v>7599</v>
      </c>
      <c r="APC8" s="715">
        <v>7599</v>
      </c>
      <c r="APD8" s="715">
        <v>7599</v>
      </c>
      <c r="APE8" s="715">
        <v>7599</v>
      </c>
      <c r="APF8" s="715">
        <v>7599</v>
      </c>
      <c r="APG8" s="715">
        <v>7599</v>
      </c>
      <c r="APH8" s="715">
        <v>7599</v>
      </c>
      <c r="API8" s="715">
        <v>7599</v>
      </c>
      <c r="APJ8" s="715">
        <v>7599</v>
      </c>
      <c r="APK8" s="715">
        <v>7599</v>
      </c>
      <c r="APL8" s="715">
        <v>7599</v>
      </c>
      <c r="APM8" s="715">
        <v>7599</v>
      </c>
      <c r="APN8" s="715">
        <v>7599</v>
      </c>
      <c r="APO8" s="715">
        <v>7599</v>
      </c>
      <c r="APP8" s="715">
        <v>7599</v>
      </c>
      <c r="APQ8" s="715">
        <v>7599</v>
      </c>
      <c r="APR8" s="715">
        <v>7599</v>
      </c>
      <c r="APS8" s="715">
        <v>7599</v>
      </c>
      <c r="APT8" s="715">
        <v>7599</v>
      </c>
      <c r="APU8" s="715">
        <v>7599</v>
      </c>
      <c r="APV8" s="715">
        <v>7599</v>
      </c>
      <c r="APW8" s="715">
        <v>7599</v>
      </c>
      <c r="APX8" s="715">
        <v>7599</v>
      </c>
      <c r="APY8" s="715">
        <v>7599</v>
      </c>
      <c r="APZ8" s="715">
        <v>7599</v>
      </c>
      <c r="AQA8" s="715">
        <v>7599</v>
      </c>
      <c r="AQB8" s="715">
        <v>7599</v>
      </c>
      <c r="AQC8" s="715">
        <v>7599</v>
      </c>
      <c r="AQD8" s="715">
        <v>7599</v>
      </c>
      <c r="AQE8" s="715">
        <v>7599</v>
      </c>
      <c r="AQF8" s="715">
        <v>7599</v>
      </c>
      <c r="AQG8" s="715">
        <v>7599</v>
      </c>
      <c r="AQH8" s="715">
        <v>7599</v>
      </c>
      <c r="AQI8" s="715">
        <v>7599</v>
      </c>
      <c r="AQJ8" s="715">
        <v>7599</v>
      </c>
      <c r="AQK8" s="715">
        <v>7599</v>
      </c>
      <c r="AQL8" s="715">
        <v>7599</v>
      </c>
      <c r="AQM8" s="715">
        <v>7599</v>
      </c>
      <c r="AQN8" s="715">
        <v>7599</v>
      </c>
      <c r="AQO8" s="715">
        <v>7599</v>
      </c>
      <c r="AQP8" s="715">
        <v>7599</v>
      </c>
      <c r="AQQ8" s="715">
        <v>7599</v>
      </c>
      <c r="AQR8" s="715">
        <v>7599</v>
      </c>
      <c r="AQS8" s="715">
        <v>7599</v>
      </c>
      <c r="AQT8" s="715">
        <v>7599</v>
      </c>
      <c r="AQU8" s="715">
        <v>7599</v>
      </c>
      <c r="AQV8" s="715">
        <v>7599</v>
      </c>
      <c r="AQW8" s="715">
        <v>7599</v>
      </c>
      <c r="AQX8" s="715">
        <v>7599</v>
      </c>
      <c r="AQY8" s="715">
        <v>7599</v>
      </c>
      <c r="AQZ8" s="715">
        <v>7599</v>
      </c>
      <c r="ARA8" s="715">
        <v>7599</v>
      </c>
      <c r="ARB8" s="715">
        <v>7599</v>
      </c>
      <c r="ARC8" s="715">
        <v>7599</v>
      </c>
      <c r="ARD8" s="715">
        <v>7599</v>
      </c>
      <c r="ARE8" s="715">
        <v>7599</v>
      </c>
      <c r="ARF8" s="715">
        <v>7599</v>
      </c>
      <c r="ARG8" s="715">
        <v>7599</v>
      </c>
      <c r="ARH8" s="715">
        <v>7599</v>
      </c>
      <c r="ARI8" s="715">
        <v>7599</v>
      </c>
      <c r="ARJ8" s="715">
        <v>7599</v>
      </c>
      <c r="ARK8" s="715">
        <v>7599</v>
      </c>
      <c r="ARL8" s="715">
        <v>7599</v>
      </c>
      <c r="ARM8" s="715">
        <v>7599</v>
      </c>
      <c r="ARN8" s="715">
        <v>7599</v>
      </c>
      <c r="ARO8" s="715">
        <v>7599</v>
      </c>
      <c r="ARP8" s="715">
        <v>7599</v>
      </c>
      <c r="BFZ8" s="1035"/>
      <c r="BGA8" s="1035"/>
    </row>
    <row r="9" spans="1:1615" ht="36.75" customHeight="1" x14ac:dyDescent="0.25">
      <c r="A9" s="10"/>
      <c r="B9" s="10"/>
      <c r="C9" s="10"/>
      <c r="D9" s="10"/>
      <c r="E9" s="1143"/>
      <c r="F9" s="1143"/>
      <c r="G9" s="1143"/>
      <c r="H9" s="1136">
        <v>1526.6</v>
      </c>
      <c r="I9" s="1088">
        <v>2911</v>
      </c>
      <c r="J9" s="1089">
        <v>1959.2</v>
      </c>
      <c r="K9" s="1087">
        <v>1569.9</v>
      </c>
      <c r="L9" s="1088">
        <v>2948</v>
      </c>
      <c r="M9" s="1088">
        <v>1539</v>
      </c>
      <c r="N9" s="1088">
        <v>2225</v>
      </c>
      <c r="O9" s="1088">
        <v>1415</v>
      </c>
      <c r="P9" s="1088">
        <v>1330</v>
      </c>
      <c r="Q9" s="1088">
        <v>1101</v>
      </c>
      <c r="R9" s="1088">
        <v>2213</v>
      </c>
      <c r="S9" s="1088">
        <v>1657</v>
      </c>
      <c r="T9" s="1088">
        <v>2176</v>
      </c>
      <c r="U9" s="1088">
        <v>3233</v>
      </c>
      <c r="V9" s="1088">
        <v>952</v>
      </c>
      <c r="W9" s="1088">
        <v>1781</v>
      </c>
      <c r="X9" s="1088">
        <v>2059</v>
      </c>
      <c r="Y9" s="1088">
        <v>2423</v>
      </c>
      <c r="Z9" s="1088">
        <v>1168</v>
      </c>
      <c r="AA9" s="1088">
        <v>3035</v>
      </c>
      <c r="AB9" s="1088">
        <v>2306</v>
      </c>
      <c r="AC9" s="1088">
        <v>2102</v>
      </c>
      <c r="AD9" s="1088">
        <v>693</v>
      </c>
      <c r="AE9" s="1088">
        <v>810</v>
      </c>
      <c r="AF9" s="1088">
        <v>569</v>
      </c>
      <c r="AG9" s="1088">
        <v>1626</v>
      </c>
      <c r="AH9" s="1088">
        <v>2429</v>
      </c>
      <c r="AI9" s="1088">
        <v>2578</v>
      </c>
      <c r="AJ9" s="1088">
        <v>2331</v>
      </c>
      <c r="AK9" s="1088">
        <v>2831</v>
      </c>
      <c r="AL9" s="1088">
        <v>3029</v>
      </c>
      <c r="AM9" s="1088">
        <v>3146</v>
      </c>
      <c r="AN9" s="1088">
        <v>2954</v>
      </c>
      <c r="AO9" s="1088">
        <v>2207</v>
      </c>
      <c r="AP9" s="1087">
        <v>766.8</v>
      </c>
      <c r="AQ9" s="1087">
        <v>550.6</v>
      </c>
      <c r="AR9" s="1088">
        <v>636</v>
      </c>
      <c r="AS9" s="1088">
        <v>2807</v>
      </c>
      <c r="AT9" s="1088">
        <v>2751</v>
      </c>
      <c r="AU9" s="1088">
        <v>2491</v>
      </c>
      <c r="AV9" s="1088">
        <v>2676</v>
      </c>
      <c r="AW9" s="1088">
        <v>2454</v>
      </c>
      <c r="AX9" s="1088">
        <v>3208</v>
      </c>
      <c r="AY9" s="1088">
        <v>2553</v>
      </c>
      <c r="AZ9" s="1088">
        <v>3524</v>
      </c>
      <c r="BA9" s="1088">
        <v>2374</v>
      </c>
      <c r="BB9" s="1088">
        <v>1824</v>
      </c>
      <c r="BC9" s="1088">
        <v>2448</v>
      </c>
      <c r="BD9" s="1088">
        <v>2529</v>
      </c>
      <c r="BE9" s="1088">
        <v>3239</v>
      </c>
      <c r="BF9" s="1088">
        <v>2368</v>
      </c>
      <c r="BG9" s="1088">
        <v>3159</v>
      </c>
      <c r="BH9" s="1088">
        <v>3042</v>
      </c>
      <c r="BI9" s="1088">
        <v>3270</v>
      </c>
      <c r="BJ9" s="1088">
        <v>2144</v>
      </c>
      <c r="BK9" s="1088">
        <v>3709</v>
      </c>
      <c r="BL9" s="1088">
        <v>3400</v>
      </c>
      <c r="BM9" s="1088">
        <v>3289</v>
      </c>
      <c r="BN9" s="1088">
        <v>3103</v>
      </c>
      <c r="BO9" s="1088">
        <v>2009</v>
      </c>
      <c r="BP9" s="1088">
        <v>1688</v>
      </c>
      <c r="BQ9" s="1088">
        <v>2832</v>
      </c>
      <c r="BR9" s="1088">
        <v>2015</v>
      </c>
      <c r="BS9" s="1088">
        <v>3079</v>
      </c>
      <c r="BT9" s="1088">
        <v>3103</v>
      </c>
      <c r="BU9" s="1088">
        <v>1935</v>
      </c>
      <c r="BV9" s="1088">
        <v>3184</v>
      </c>
      <c r="BW9" s="1088">
        <v>2918</v>
      </c>
      <c r="BX9" s="1088">
        <v>2244</v>
      </c>
      <c r="BY9" s="1088">
        <v>2170</v>
      </c>
      <c r="BZ9" s="1088">
        <v>4556</v>
      </c>
      <c r="CA9" s="1088">
        <v>2398</v>
      </c>
      <c r="CB9" s="1088">
        <v>1354</v>
      </c>
      <c r="CC9" s="1088">
        <v>4574</v>
      </c>
      <c r="CD9" s="1088">
        <v>3010</v>
      </c>
      <c r="CE9" s="1088">
        <v>2664</v>
      </c>
      <c r="CF9" s="1088">
        <v>2683</v>
      </c>
      <c r="CG9" s="1088">
        <v>1230</v>
      </c>
      <c r="CH9" s="1088">
        <v>3845</v>
      </c>
      <c r="CI9" s="1088">
        <v>2701</v>
      </c>
      <c r="CJ9" s="1088">
        <v>2510</v>
      </c>
      <c r="CK9" s="1088">
        <v>2232</v>
      </c>
      <c r="CL9" s="1088">
        <v>2244</v>
      </c>
      <c r="CM9" s="1088">
        <v>2411</v>
      </c>
      <c r="CN9" s="1088">
        <v>1534</v>
      </c>
      <c r="CO9" s="1088">
        <v>1076</v>
      </c>
      <c r="CP9" s="1088">
        <v>804</v>
      </c>
      <c r="CQ9" s="1088">
        <v>1521</v>
      </c>
      <c r="CR9" s="1088">
        <v>2398</v>
      </c>
      <c r="CS9" s="1088">
        <v>2664</v>
      </c>
      <c r="CT9" s="1088">
        <v>2571</v>
      </c>
      <c r="CU9" s="1088">
        <v>2553</v>
      </c>
      <c r="CV9" s="1088">
        <v>2744</v>
      </c>
      <c r="CW9" s="1088">
        <v>3147</v>
      </c>
      <c r="CX9" s="1088">
        <v>2361</v>
      </c>
      <c r="CY9" s="1088">
        <v>2609</v>
      </c>
      <c r="CZ9" s="1088">
        <v>4253</v>
      </c>
      <c r="DA9" s="1088">
        <v>2281</v>
      </c>
      <c r="DB9" s="1088">
        <v>3684</v>
      </c>
      <c r="DC9" s="1088">
        <v>3604</v>
      </c>
      <c r="DD9" s="1088">
        <v>2368</v>
      </c>
      <c r="DE9" s="1088">
        <v>3091</v>
      </c>
      <c r="DF9" s="1088">
        <v>2912</v>
      </c>
      <c r="DG9" s="1088">
        <v>1904</v>
      </c>
      <c r="DH9" s="1088">
        <v>2705</v>
      </c>
      <c r="DI9" s="1088">
        <v>3400</v>
      </c>
      <c r="DJ9" s="1088">
        <v>2225</v>
      </c>
      <c r="DK9" s="1088">
        <v>2510</v>
      </c>
      <c r="DL9" s="1088">
        <v>2244</v>
      </c>
      <c r="DM9" s="1088">
        <v>1107</v>
      </c>
      <c r="DN9" s="1088">
        <v>1014</v>
      </c>
      <c r="DO9" s="1088">
        <v>3077</v>
      </c>
      <c r="DP9" s="1088">
        <v>4376</v>
      </c>
      <c r="DQ9" s="1088">
        <v>3189</v>
      </c>
      <c r="DR9" s="1088">
        <v>1916</v>
      </c>
      <c r="DS9" s="1088">
        <v>3831</v>
      </c>
      <c r="DT9" s="1088">
        <v>3572</v>
      </c>
      <c r="DU9" s="1088">
        <v>3560</v>
      </c>
      <c r="DV9" s="1088">
        <v>4259</v>
      </c>
      <c r="DW9" s="1088">
        <v>2621</v>
      </c>
      <c r="DX9" s="1088">
        <v>5248</v>
      </c>
      <c r="DY9" s="1090">
        <v>7213</v>
      </c>
      <c r="DZ9" s="1090">
        <v>5328</v>
      </c>
      <c r="EA9" s="1090">
        <v>6107</v>
      </c>
      <c r="EB9" s="1090">
        <v>4573</v>
      </c>
      <c r="EC9" s="1090">
        <v>6929</v>
      </c>
      <c r="ED9" s="1090">
        <v>4351</v>
      </c>
      <c r="EE9" s="1090">
        <v>4074</v>
      </c>
      <c r="EF9" s="1090">
        <v>6648</v>
      </c>
      <c r="EG9" s="1090">
        <v>6563</v>
      </c>
      <c r="EH9" s="1091">
        <v>6317</v>
      </c>
      <c r="EI9" s="1091">
        <v>6378</v>
      </c>
      <c r="EJ9" s="1091">
        <v>5192</v>
      </c>
      <c r="EK9" s="1091">
        <v>5117</v>
      </c>
      <c r="EL9" s="1091">
        <v>4519</v>
      </c>
      <c r="EM9" s="1091">
        <v>5075</v>
      </c>
      <c r="EN9" s="1091">
        <v>5358</v>
      </c>
      <c r="EO9" s="1091">
        <v>5192</v>
      </c>
      <c r="EP9" s="1091">
        <v>4302</v>
      </c>
      <c r="EQ9" s="1091">
        <v>3622</v>
      </c>
      <c r="ER9" s="1091">
        <v>5408</v>
      </c>
      <c r="ES9" s="1091">
        <v>6138</v>
      </c>
      <c r="ET9" s="1091">
        <v>6625</v>
      </c>
      <c r="EU9" s="1091">
        <v>8201</v>
      </c>
      <c r="EV9" s="1091">
        <v>6415</v>
      </c>
      <c r="EW9" s="1091">
        <v>6625</v>
      </c>
      <c r="EX9" s="1091">
        <v>7689</v>
      </c>
      <c r="EY9" s="1091">
        <v>6317</v>
      </c>
      <c r="EZ9" s="1091">
        <v>7624</v>
      </c>
      <c r="FA9" s="1091">
        <v>5858</v>
      </c>
      <c r="FB9" s="1091">
        <v>7736</v>
      </c>
      <c r="FC9" s="1091">
        <v>5009</v>
      </c>
      <c r="FD9" s="1091">
        <v>6563</v>
      </c>
      <c r="FE9" s="1091">
        <v>4735</v>
      </c>
      <c r="FF9" s="1091">
        <v>4115</v>
      </c>
      <c r="FG9" s="1091">
        <v>3780</v>
      </c>
      <c r="FH9" s="1091">
        <v>3406</v>
      </c>
      <c r="FI9" s="1091">
        <v>4054</v>
      </c>
      <c r="FJ9" s="1091">
        <v>2806</v>
      </c>
      <c r="FK9" s="1091">
        <v>3946</v>
      </c>
      <c r="FL9" s="1091">
        <v>2627</v>
      </c>
      <c r="FM9" s="1091">
        <v>4136</v>
      </c>
      <c r="FN9" s="1091">
        <v>4103</v>
      </c>
      <c r="FO9" s="1091">
        <v>2884</v>
      </c>
      <c r="FP9" s="1091">
        <v>4315</v>
      </c>
      <c r="FQ9" s="1091">
        <v>4281</v>
      </c>
      <c r="FR9" s="1091">
        <v>2856</v>
      </c>
      <c r="FS9" s="1091">
        <v>4064</v>
      </c>
      <c r="FT9" s="1091">
        <v>3505</v>
      </c>
      <c r="FU9" s="1091">
        <v>2471</v>
      </c>
      <c r="FV9" s="1091">
        <v>4399</v>
      </c>
      <c r="FW9" s="1091">
        <v>4215</v>
      </c>
      <c r="FX9" s="1091">
        <v>4226</v>
      </c>
      <c r="FY9" s="1091">
        <v>4500</v>
      </c>
      <c r="FZ9" s="1091">
        <v>4371</v>
      </c>
      <c r="GA9" s="1091">
        <v>4510</v>
      </c>
      <c r="GB9" s="1091">
        <v>4504</v>
      </c>
      <c r="GC9" s="1091">
        <v>5450</v>
      </c>
      <c r="GD9" s="1091">
        <v>5277</v>
      </c>
      <c r="GE9" s="1091">
        <v>7364</v>
      </c>
      <c r="GF9" s="1053">
        <v>6100</v>
      </c>
      <c r="GG9" s="1091">
        <v>5934</v>
      </c>
      <c r="GH9" s="1091">
        <v>6824</v>
      </c>
      <c r="GI9" s="1091">
        <v>5476</v>
      </c>
      <c r="GJ9" s="1091">
        <v>5835</v>
      </c>
      <c r="GK9" s="1091">
        <v>7149</v>
      </c>
      <c r="GL9" s="1091">
        <v>4980</v>
      </c>
      <c r="GM9" s="1091">
        <v>4864</v>
      </c>
      <c r="GN9" s="1091">
        <v>5140</v>
      </c>
      <c r="GO9" s="1091">
        <v>5349</v>
      </c>
      <c r="GP9" s="1091">
        <v>5057</v>
      </c>
      <c r="GQ9" s="1091">
        <v>5068</v>
      </c>
      <c r="GR9" s="1091">
        <v>4892</v>
      </c>
      <c r="GS9" s="1091">
        <v>5089</v>
      </c>
      <c r="GT9" s="1091">
        <v>4864</v>
      </c>
      <c r="GU9" s="1091">
        <v>3943</v>
      </c>
      <c r="GV9" s="1091">
        <v>3843</v>
      </c>
      <c r="GW9" s="1091">
        <v>3556</v>
      </c>
      <c r="GX9" s="1091">
        <v>3788</v>
      </c>
      <c r="GY9" s="1091">
        <v>3314</v>
      </c>
      <c r="GZ9" s="1091">
        <v>3744</v>
      </c>
      <c r="HA9" s="1091">
        <v>3772</v>
      </c>
      <c r="HB9" s="1091">
        <v>3777</v>
      </c>
      <c r="HC9" s="1091">
        <v>3860</v>
      </c>
      <c r="HD9" s="1091">
        <v>3816</v>
      </c>
      <c r="HE9" s="1091">
        <v>3788</v>
      </c>
      <c r="HF9" s="1091">
        <v>4081</v>
      </c>
      <c r="HG9" s="1091">
        <v>4036</v>
      </c>
      <c r="HH9" s="1091">
        <v>3965</v>
      </c>
      <c r="HI9" s="1091">
        <v>4241</v>
      </c>
      <c r="HJ9" s="1091">
        <v>4213</v>
      </c>
      <c r="HK9" s="1091">
        <v>4020</v>
      </c>
      <c r="HL9" s="1053">
        <v>4262</v>
      </c>
      <c r="HM9" s="1057">
        <v>4317</v>
      </c>
      <c r="HN9" s="1057">
        <v>4268</v>
      </c>
      <c r="HO9" s="1091">
        <v>4357</v>
      </c>
      <c r="HP9" s="1053">
        <v>4285</v>
      </c>
      <c r="HQ9" s="1053">
        <v>4307</v>
      </c>
      <c r="HR9" s="1058">
        <v>3954</v>
      </c>
      <c r="HS9" s="1058">
        <v>3887</v>
      </c>
      <c r="HT9" s="1058">
        <v>3910</v>
      </c>
      <c r="HU9" s="1058">
        <v>3893</v>
      </c>
      <c r="HV9" s="1058">
        <v>3773</v>
      </c>
      <c r="HW9" s="1058">
        <v>3827</v>
      </c>
      <c r="HX9" s="1058">
        <v>3937</v>
      </c>
      <c r="HY9" s="1058">
        <v>3816</v>
      </c>
      <c r="HZ9" s="1053">
        <v>4274</v>
      </c>
      <c r="IA9" s="1058">
        <v>4765</v>
      </c>
      <c r="IB9" s="1058">
        <v>4776</v>
      </c>
      <c r="IC9" s="1058">
        <v>4908</v>
      </c>
      <c r="ID9" s="1058">
        <v>4632</v>
      </c>
      <c r="IE9" s="1058">
        <v>4671</v>
      </c>
      <c r="IF9" s="1058">
        <v>4654</v>
      </c>
      <c r="IG9" s="1058">
        <v>4610</v>
      </c>
      <c r="IH9" s="1058">
        <v>4533</v>
      </c>
      <c r="II9" s="1058">
        <v>4494</v>
      </c>
      <c r="IJ9" s="1058">
        <v>4489</v>
      </c>
      <c r="IK9" s="1058">
        <v>4544</v>
      </c>
      <c r="IL9" s="1058">
        <v>4561</v>
      </c>
      <c r="IM9" s="1058">
        <v>3954</v>
      </c>
      <c r="IN9" s="1058">
        <v>4825</v>
      </c>
      <c r="IO9" s="1058">
        <v>5074</v>
      </c>
      <c r="IP9" s="1058">
        <v>4478</v>
      </c>
      <c r="IQ9" s="1058">
        <v>4345</v>
      </c>
      <c r="IR9" s="1058">
        <v>4572</v>
      </c>
      <c r="IS9" s="1058">
        <v>4616</v>
      </c>
      <c r="IT9" s="1058">
        <v>4461</v>
      </c>
      <c r="IU9" s="1058">
        <v>5156</v>
      </c>
      <c r="IV9" s="1058">
        <v>4588</v>
      </c>
      <c r="IW9" s="1058">
        <v>4676</v>
      </c>
      <c r="IX9" s="1058">
        <v>4903</v>
      </c>
      <c r="IY9" s="1058">
        <v>4687</v>
      </c>
      <c r="IZ9" s="1058">
        <v>4662</v>
      </c>
      <c r="JA9" s="1058">
        <v>4616</v>
      </c>
      <c r="JB9" s="1058">
        <v>4478</v>
      </c>
      <c r="JC9" s="1058">
        <v>4395</v>
      </c>
      <c r="JD9" s="1058">
        <v>4533</v>
      </c>
      <c r="JE9" s="1058">
        <v>4478</v>
      </c>
      <c r="JF9" s="1058">
        <v>4605</v>
      </c>
      <c r="JG9" s="1058">
        <v>4936</v>
      </c>
      <c r="JH9" s="1058">
        <v>5333</v>
      </c>
      <c r="JI9" s="1058">
        <v>5239</v>
      </c>
      <c r="JJ9" s="1058">
        <v>5471</v>
      </c>
      <c r="JK9" s="1058">
        <v>5526</v>
      </c>
      <c r="JL9" s="1058">
        <v>5515</v>
      </c>
      <c r="JM9" s="1058">
        <v>5554</v>
      </c>
      <c r="JN9" s="1058">
        <v>6906</v>
      </c>
      <c r="JO9" s="1058">
        <v>6763</v>
      </c>
      <c r="JP9" s="1058">
        <v>5355</v>
      </c>
      <c r="JQ9" s="1058">
        <v>6702</v>
      </c>
      <c r="JR9" s="1058">
        <v>5360</v>
      </c>
      <c r="JS9" s="1058">
        <v>6978</v>
      </c>
      <c r="JT9" s="1058">
        <v>5598</v>
      </c>
      <c r="JU9" s="1058">
        <v>6702</v>
      </c>
      <c r="JV9" s="1058">
        <v>6928</v>
      </c>
      <c r="JW9" s="1058">
        <v>5388</v>
      </c>
      <c r="JX9" s="1058">
        <v>6360</v>
      </c>
      <c r="JY9" s="1058">
        <v>5278</v>
      </c>
      <c r="JZ9" s="1058">
        <v>6327</v>
      </c>
      <c r="KA9" s="1058">
        <v>6597</v>
      </c>
      <c r="KB9" s="1058">
        <v>5526</v>
      </c>
      <c r="KC9" s="1058">
        <v>7138</v>
      </c>
      <c r="KD9" s="1058">
        <v>5841</v>
      </c>
      <c r="KE9" s="1058">
        <v>7110</v>
      </c>
      <c r="KF9" s="1058">
        <v>5526</v>
      </c>
      <c r="KG9" s="1058">
        <v>6845</v>
      </c>
      <c r="KH9" s="1058">
        <v>6432</v>
      </c>
      <c r="KI9" s="1058">
        <v>5261</v>
      </c>
      <c r="KJ9" s="1058">
        <v>5868</v>
      </c>
      <c r="KK9" s="1058">
        <v>5818</v>
      </c>
      <c r="KL9" s="1058">
        <v>5863</v>
      </c>
      <c r="KM9" s="1058">
        <v>5736</v>
      </c>
      <c r="KN9" s="1058">
        <v>5769</v>
      </c>
      <c r="KO9" s="1058">
        <v>5714</v>
      </c>
      <c r="KP9" s="1058">
        <v>5978</v>
      </c>
      <c r="KQ9" s="1058">
        <v>7066</v>
      </c>
      <c r="KR9" s="1058">
        <v>5322</v>
      </c>
      <c r="KS9" s="1058">
        <v>6294</v>
      </c>
      <c r="KT9" s="1058">
        <v>4505</v>
      </c>
      <c r="KU9" s="1058">
        <v>4301</v>
      </c>
      <c r="KV9" s="1058">
        <v>3860</v>
      </c>
      <c r="KW9" s="1058">
        <v>3600</v>
      </c>
      <c r="KX9" s="1058">
        <v>3755</v>
      </c>
      <c r="KY9" s="1058">
        <v>4969</v>
      </c>
      <c r="KZ9" s="1058">
        <v>7039</v>
      </c>
      <c r="LA9" s="1058">
        <v>5769</v>
      </c>
      <c r="LB9" s="1058">
        <v>7099</v>
      </c>
      <c r="LC9" s="1058">
        <v>5768</v>
      </c>
      <c r="LD9" s="1058">
        <v>6873</v>
      </c>
      <c r="LE9" s="1058">
        <v>4599</v>
      </c>
      <c r="LF9" s="1058">
        <v>5356</v>
      </c>
      <c r="LG9" s="1058">
        <v>6106</v>
      </c>
      <c r="LH9" s="1058">
        <v>6277</v>
      </c>
      <c r="LI9" s="1058">
        <v>6045</v>
      </c>
      <c r="LJ9" s="1058">
        <v>4704</v>
      </c>
      <c r="LK9" s="1058">
        <v>6233</v>
      </c>
      <c r="LL9" s="1058">
        <v>4687</v>
      </c>
      <c r="LM9" s="1058">
        <v>4058</v>
      </c>
      <c r="LN9" s="1058">
        <v>3374</v>
      </c>
      <c r="LO9" s="1058">
        <v>5709</v>
      </c>
      <c r="LP9" s="1058">
        <v>5388</v>
      </c>
      <c r="LQ9" s="1058">
        <v>6526</v>
      </c>
      <c r="LR9" s="1058">
        <v>4748</v>
      </c>
      <c r="LS9" s="1058">
        <v>6432</v>
      </c>
      <c r="LT9" s="1058">
        <v>5272</v>
      </c>
      <c r="LU9" s="1058">
        <v>6564</v>
      </c>
      <c r="LV9" s="1058">
        <v>5570</v>
      </c>
      <c r="LW9" s="1058">
        <v>6768</v>
      </c>
      <c r="LX9" s="1058">
        <v>5460</v>
      </c>
      <c r="LY9" s="1058">
        <v>6691</v>
      </c>
      <c r="LZ9" s="1058">
        <v>5405</v>
      </c>
      <c r="MA9" s="1058">
        <v>4096</v>
      </c>
      <c r="MB9" s="1058">
        <v>6967</v>
      </c>
      <c r="MC9" s="1058">
        <v>6901</v>
      </c>
      <c r="MD9" s="1058">
        <v>5620</v>
      </c>
      <c r="ME9" s="1058">
        <v>6978</v>
      </c>
      <c r="MF9" s="1058">
        <v>5338</v>
      </c>
      <c r="MG9" s="1058">
        <v>6586</v>
      </c>
      <c r="MH9" s="1058">
        <v>5670</v>
      </c>
      <c r="MI9" s="1058">
        <v>6735</v>
      </c>
      <c r="MJ9" s="1058">
        <v>5427</v>
      </c>
      <c r="MK9" s="1058">
        <v>5449</v>
      </c>
      <c r="ML9" s="1058">
        <v>6680</v>
      </c>
      <c r="MM9" s="1058">
        <v>5322</v>
      </c>
      <c r="MN9" s="1058">
        <v>6641</v>
      </c>
      <c r="MO9" s="1058">
        <v>7033</v>
      </c>
      <c r="MP9" s="1058">
        <v>5658</v>
      </c>
      <c r="MQ9" s="1058">
        <v>6763</v>
      </c>
      <c r="MR9" s="1058">
        <v>5581</v>
      </c>
      <c r="MS9" s="1058">
        <v>6477</v>
      </c>
      <c r="MT9" s="1058">
        <v>5609</v>
      </c>
      <c r="MU9" s="1058">
        <v>6818</v>
      </c>
      <c r="MV9" s="1058">
        <v>5377</v>
      </c>
      <c r="MW9" s="1058">
        <v>6785</v>
      </c>
      <c r="MX9" s="1058">
        <v>5112</v>
      </c>
      <c r="MY9" s="1058">
        <v>6619</v>
      </c>
      <c r="MZ9" s="1058">
        <v>5361</v>
      </c>
      <c r="NA9" s="1058">
        <v>7077</v>
      </c>
      <c r="NB9" s="1058">
        <v>5670</v>
      </c>
      <c r="NC9" s="1058">
        <v>6421</v>
      </c>
      <c r="ND9" s="1058">
        <v>5526</v>
      </c>
      <c r="NE9" s="1058">
        <v>6972</v>
      </c>
      <c r="NF9" s="1058">
        <v>5636</v>
      </c>
      <c r="NG9" s="1058">
        <v>6868</v>
      </c>
      <c r="NH9" s="1058">
        <v>5554</v>
      </c>
      <c r="NI9" s="1058">
        <v>6266</v>
      </c>
      <c r="NJ9" s="1058">
        <v>5278</v>
      </c>
      <c r="NK9" s="1058">
        <v>6404</v>
      </c>
      <c r="NL9" s="1058">
        <v>5609</v>
      </c>
      <c r="NM9" s="1058">
        <v>6625</v>
      </c>
      <c r="NN9" s="1058">
        <v>5609</v>
      </c>
      <c r="NO9" s="1058">
        <v>6354</v>
      </c>
      <c r="NP9" s="1058">
        <v>5692</v>
      </c>
      <c r="NQ9" s="1058">
        <v>6487</v>
      </c>
      <c r="NR9" s="1058">
        <v>5636</v>
      </c>
      <c r="NS9" s="1058">
        <v>5885</v>
      </c>
      <c r="NT9" s="1058">
        <v>5388</v>
      </c>
      <c r="NU9" s="1058">
        <v>6393</v>
      </c>
      <c r="NV9" s="1058">
        <v>6818</v>
      </c>
      <c r="NW9" s="1058">
        <v>4925</v>
      </c>
      <c r="NX9" s="1058">
        <v>5493</v>
      </c>
      <c r="NY9" s="1058">
        <v>6680</v>
      </c>
      <c r="NZ9" s="1058">
        <v>5151</v>
      </c>
      <c r="OA9" s="1058">
        <v>6735</v>
      </c>
      <c r="OB9" s="1058">
        <v>7000</v>
      </c>
      <c r="OC9" s="1058">
        <v>5360</v>
      </c>
      <c r="OD9" s="1058">
        <v>5443</v>
      </c>
      <c r="OE9" s="1058">
        <v>6901</v>
      </c>
      <c r="OF9" s="1058">
        <v>6570</v>
      </c>
      <c r="OG9" s="1058">
        <v>5377</v>
      </c>
      <c r="OH9" s="1058">
        <v>5449</v>
      </c>
      <c r="OI9" s="1058">
        <v>6669</v>
      </c>
      <c r="OJ9" s="1092">
        <v>3649</v>
      </c>
      <c r="OK9" s="1092">
        <v>1507</v>
      </c>
      <c r="OL9" s="1092">
        <v>4162</v>
      </c>
      <c r="OM9" s="1092">
        <v>4262</v>
      </c>
      <c r="ON9" s="1092">
        <v>4102</v>
      </c>
      <c r="OO9" s="1092">
        <v>4411</v>
      </c>
      <c r="OP9" s="1092">
        <v>4493</v>
      </c>
      <c r="OQ9" s="1092">
        <v>4339</v>
      </c>
      <c r="OR9" s="1092">
        <v>4311</v>
      </c>
      <c r="OS9" s="1092">
        <v>4593</v>
      </c>
      <c r="OT9" s="1092">
        <v>4438</v>
      </c>
      <c r="OU9" s="1092">
        <v>4427</v>
      </c>
      <c r="OV9" s="1053">
        <v>5576</v>
      </c>
      <c r="OW9" s="1053">
        <v>5388</v>
      </c>
      <c r="OX9" s="1093">
        <v>8109</v>
      </c>
      <c r="OY9" s="1053">
        <v>4974</v>
      </c>
      <c r="OZ9" s="1053">
        <v>7182</v>
      </c>
      <c r="PA9" s="1053">
        <v>7011</v>
      </c>
      <c r="PB9" s="1053">
        <v>5598</v>
      </c>
      <c r="PC9" s="1053">
        <v>7083</v>
      </c>
      <c r="PD9" s="1053">
        <v>5719</v>
      </c>
      <c r="PE9" s="1053">
        <v>6807</v>
      </c>
      <c r="PF9" s="1053">
        <v>5526</v>
      </c>
      <c r="PG9" s="1053">
        <v>5305</v>
      </c>
      <c r="PH9" s="1053">
        <v>7232</v>
      </c>
      <c r="PI9" s="1053">
        <v>6432</v>
      </c>
      <c r="PJ9" s="1053">
        <v>5438</v>
      </c>
      <c r="PK9" s="1053">
        <v>5234</v>
      </c>
      <c r="PL9" s="1053">
        <v>6901</v>
      </c>
      <c r="PM9" s="1053">
        <v>4107</v>
      </c>
      <c r="PN9" s="1053">
        <v>7535</v>
      </c>
      <c r="PO9" s="1053">
        <v>5912</v>
      </c>
      <c r="PP9" s="1053">
        <v>7701</v>
      </c>
      <c r="PQ9" s="1053">
        <v>6172</v>
      </c>
      <c r="PR9" s="1053">
        <v>7772</v>
      </c>
      <c r="PS9" s="1053">
        <v>6166</v>
      </c>
      <c r="PT9" s="1053">
        <v>7557</v>
      </c>
      <c r="PU9" s="1053">
        <v>5857</v>
      </c>
      <c r="PV9" s="1053">
        <v>7645</v>
      </c>
      <c r="PW9" s="1053">
        <v>5824</v>
      </c>
      <c r="PX9" s="1094">
        <v>7287</v>
      </c>
      <c r="PY9" s="1053">
        <v>7298</v>
      </c>
      <c r="PZ9" s="1053">
        <v>5940</v>
      </c>
      <c r="QA9" s="1053">
        <v>6901</v>
      </c>
      <c r="QB9" s="1053">
        <v>5852</v>
      </c>
      <c r="QC9" s="1053">
        <v>5669</v>
      </c>
      <c r="QD9" s="1053">
        <v>7436</v>
      </c>
      <c r="QE9" s="1053">
        <v>7342</v>
      </c>
      <c r="QF9" s="1053">
        <v>5703</v>
      </c>
      <c r="QG9" s="1053">
        <v>5995</v>
      </c>
      <c r="QH9" s="1053">
        <v>4052</v>
      </c>
      <c r="QI9" s="1053">
        <v>7370</v>
      </c>
      <c r="QJ9" s="1053">
        <v>7563</v>
      </c>
      <c r="QK9" s="1053">
        <v>5995</v>
      </c>
      <c r="QL9" s="1053">
        <v>7557</v>
      </c>
      <c r="QM9" s="1053">
        <v>6083</v>
      </c>
      <c r="QN9" s="1054">
        <v>5951</v>
      </c>
      <c r="QO9" s="1053">
        <v>6133</v>
      </c>
      <c r="QP9" s="1055">
        <v>7204</v>
      </c>
      <c r="QQ9" s="1055">
        <v>5840</v>
      </c>
      <c r="QR9" s="1055">
        <v>7392</v>
      </c>
      <c r="QS9" s="1056">
        <v>6006</v>
      </c>
      <c r="QT9" s="1056">
        <v>4124</v>
      </c>
      <c r="QU9" s="1056">
        <v>6652</v>
      </c>
      <c r="QV9" s="1056">
        <v>5421</v>
      </c>
      <c r="QW9" s="1056">
        <v>7033</v>
      </c>
      <c r="QX9" s="1056">
        <v>5239</v>
      </c>
      <c r="QY9" s="1056">
        <v>5554</v>
      </c>
      <c r="QZ9" s="1056">
        <v>6823</v>
      </c>
      <c r="RA9" s="1056">
        <v>6017</v>
      </c>
      <c r="RB9" s="1056">
        <v>6713</v>
      </c>
      <c r="RC9" s="1056">
        <v>5774</v>
      </c>
      <c r="RD9" s="1056">
        <v>7243</v>
      </c>
      <c r="RE9" s="1057">
        <v>5758</v>
      </c>
      <c r="RF9" s="1057">
        <v>7381</v>
      </c>
      <c r="RG9" s="1057">
        <v>5896</v>
      </c>
      <c r="RH9" s="1057">
        <v>7623</v>
      </c>
      <c r="RI9" s="1057">
        <v>5940</v>
      </c>
      <c r="RJ9" s="1057">
        <v>7386</v>
      </c>
      <c r="RK9" s="1058">
        <v>6216</v>
      </c>
      <c r="RL9" s="1058">
        <v>7386</v>
      </c>
      <c r="RM9" s="1058">
        <v>6050</v>
      </c>
      <c r="RN9" s="1058">
        <v>7325</v>
      </c>
      <c r="RO9" s="1058">
        <v>5548</v>
      </c>
      <c r="RP9" s="1058">
        <v>7204</v>
      </c>
      <c r="RQ9" s="1058">
        <v>5680</v>
      </c>
      <c r="RR9" s="1058">
        <v>5934</v>
      </c>
      <c r="RS9" s="1058">
        <v>7132</v>
      </c>
      <c r="RT9" s="1058">
        <v>7331</v>
      </c>
      <c r="RU9" s="1058">
        <v>5631</v>
      </c>
      <c r="RV9" s="1058">
        <v>7121</v>
      </c>
      <c r="RW9" s="1058">
        <v>5829</v>
      </c>
      <c r="RX9" s="1058">
        <v>5664</v>
      </c>
      <c r="RY9" s="1058">
        <v>7397</v>
      </c>
      <c r="RZ9" s="1058">
        <v>5719</v>
      </c>
      <c r="SA9" s="1058">
        <v>7215</v>
      </c>
      <c r="SB9" s="1058">
        <v>5791</v>
      </c>
      <c r="SC9" s="1058">
        <v>7160</v>
      </c>
      <c r="SD9" s="1058">
        <v>6956</v>
      </c>
      <c r="SE9" s="1058">
        <v>5653</v>
      </c>
      <c r="SF9" s="1058">
        <v>7590</v>
      </c>
      <c r="SG9" s="1058">
        <v>5879</v>
      </c>
      <c r="SH9" s="1058">
        <v>5967</v>
      </c>
      <c r="SI9" s="1058">
        <v>7485</v>
      </c>
      <c r="SJ9" s="1058">
        <v>7370</v>
      </c>
      <c r="SK9" s="1058">
        <v>5967</v>
      </c>
      <c r="SL9" s="1058">
        <v>7408</v>
      </c>
      <c r="SM9" s="1058">
        <v>5818</v>
      </c>
      <c r="SN9" s="1058">
        <v>7331</v>
      </c>
      <c r="SO9" s="1058">
        <v>5829</v>
      </c>
      <c r="SP9" s="1058">
        <v>7287</v>
      </c>
      <c r="SQ9" s="1058">
        <v>5747</v>
      </c>
      <c r="SR9" s="1058">
        <v>7314</v>
      </c>
      <c r="SS9" s="1058">
        <v>5901</v>
      </c>
      <c r="ST9" s="1058">
        <v>7392</v>
      </c>
      <c r="SU9" s="1058">
        <v>5758</v>
      </c>
      <c r="SV9" s="1058">
        <v>7590</v>
      </c>
      <c r="SW9" s="1058">
        <v>5967</v>
      </c>
      <c r="SX9" s="1058">
        <v>7651</v>
      </c>
      <c r="SY9" s="1058">
        <v>5747</v>
      </c>
      <c r="SZ9" s="1058">
        <v>7480</v>
      </c>
      <c r="TA9" s="1058">
        <v>5918</v>
      </c>
      <c r="TB9" s="1058">
        <v>7568</v>
      </c>
      <c r="TC9" s="1058">
        <v>5824</v>
      </c>
      <c r="TD9" s="1058">
        <v>7480</v>
      </c>
      <c r="TE9" s="1058">
        <v>5912</v>
      </c>
      <c r="TF9" s="1058">
        <v>7623</v>
      </c>
      <c r="TG9" s="1058">
        <v>5995</v>
      </c>
      <c r="TH9" s="1058">
        <v>7822</v>
      </c>
      <c r="TI9" s="1058">
        <v>6023</v>
      </c>
      <c r="TJ9" s="1058">
        <v>7927</v>
      </c>
      <c r="TK9" s="1058">
        <v>5824</v>
      </c>
      <c r="TL9" s="1058">
        <v>7541</v>
      </c>
      <c r="TM9" s="1058">
        <v>6050</v>
      </c>
      <c r="TN9" s="1058">
        <v>7535</v>
      </c>
      <c r="TO9" s="1058">
        <v>5658</v>
      </c>
      <c r="TP9" s="1058">
        <v>7508</v>
      </c>
      <c r="TQ9" s="1058">
        <v>5967</v>
      </c>
      <c r="TR9" s="1058">
        <v>5388</v>
      </c>
      <c r="TS9" s="1058">
        <v>4560</v>
      </c>
      <c r="TT9" s="1058">
        <v>4731</v>
      </c>
      <c r="TU9" s="1058">
        <v>4565</v>
      </c>
      <c r="TV9" s="1058">
        <v>4709</v>
      </c>
      <c r="TW9" s="1058">
        <v>5476</v>
      </c>
      <c r="TX9" s="1058">
        <v>7927</v>
      </c>
      <c r="TY9" s="1058">
        <v>6359</v>
      </c>
      <c r="TZ9" s="1058">
        <v>7535</v>
      </c>
      <c r="UA9" s="1058">
        <v>5802</v>
      </c>
      <c r="UB9" s="1058">
        <v>7645</v>
      </c>
      <c r="UC9" s="1058">
        <v>6078</v>
      </c>
      <c r="UD9" s="1058">
        <v>7816</v>
      </c>
      <c r="UE9" s="1058">
        <v>5802</v>
      </c>
      <c r="UF9" s="1058">
        <v>7480</v>
      </c>
      <c r="UG9" s="1058">
        <v>4245</v>
      </c>
      <c r="UH9" s="1058">
        <v>4471</v>
      </c>
      <c r="UI9" s="1058">
        <v>4510</v>
      </c>
      <c r="UJ9" s="1058">
        <v>4565</v>
      </c>
      <c r="UK9" s="1058">
        <v>4510</v>
      </c>
      <c r="UL9" s="1058">
        <v>5912</v>
      </c>
      <c r="UM9" s="1058">
        <v>6967</v>
      </c>
      <c r="UN9" s="1058">
        <v>7651</v>
      </c>
      <c r="UO9" s="1058">
        <v>5807</v>
      </c>
      <c r="UP9" s="1058">
        <v>5664</v>
      </c>
      <c r="UQ9" s="1058">
        <v>7204</v>
      </c>
      <c r="UR9" s="1058">
        <v>7618</v>
      </c>
      <c r="US9" s="1058">
        <v>6166</v>
      </c>
      <c r="UT9" s="1058">
        <v>7204</v>
      </c>
      <c r="UU9" s="1058">
        <v>2832</v>
      </c>
      <c r="UV9" s="1058">
        <v>4013</v>
      </c>
      <c r="UW9" s="1058">
        <v>2418</v>
      </c>
      <c r="UX9" s="1058">
        <v>2473</v>
      </c>
      <c r="UY9" s="1058">
        <v>2308</v>
      </c>
      <c r="UZ9" s="1058">
        <v>6790</v>
      </c>
      <c r="VA9" s="1058">
        <v>5940</v>
      </c>
      <c r="VB9" s="1058">
        <v>5857</v>
      </c>
      <c r="VC9" s="1058">
        <v>7232</v>
      </c>
      <c r="VD9" s="1058">
        <v>7596</v>
      </c>
      <c r="VE9" s="1058">
        <v>5967</v>
      </c>
      <c r="VF9" s="1058">
        <v>7210</v>
      </c>
      <c r="VG9" s="1058">
        <v>5885</v>
      </c>
      <c r="VH9" s="1058">
        <v>6050</v>
      </c>
      <c r="VI9" s="1058">
        <v>7314</v>
      </c>
      <c r="VJ9" s="1057">
        <v>5708</v>
      </c>
      <c r="VK9" s="1059">
        <v>5984</v>
      </c>
      <c r="VL9" s="1059">
        <v>7425</v>
      </c>
      <c r="VM9" s="1059">
        <v>7370</v>
      </c>
      <c r="VN9" s="1059">
        <v>5857</v>
      </c>
      <c r="VO9" s="1059">
        <v>7331</v>
      </c>
      <c r="VP9" s="1059">
        <v>5857</v>
      </c>
      <c r="VQ9" s="1059">
        <v>5818</v>
      </c>
      <c r="VR9" s="1059">
        <v>7397</v>
      </c>
      <c r="VS9" s="1059">
        <v>7298</v>
      </c>
      <c r="VT9" s="1059">
        <v>5741</v>
      </c>
      <c r="VU9" s="1059">
        <v>7386</v>
      </c>
      <c r="VV9" s="1059">
        <v>5951</v>
      </c>
      <c r="VW9" s="1059">
        <v>5719</v>
      </c>
      <c r="VX9" s="1059">
        <v>5791</v>
      </c>
      <c r="VY9" s="1059">
        <v>7232</v>
      </c>
      <c r="VZ9" s="1059">
        <v>7342</v>
      </c>
      <c r="WA9" s="1059">
        <v>5857</v>
      </c>
      <c r="WB9" s="1059">
        <v>7121</v>
      </c>
      <c r="WC9" s="1059">
        <v>5967</v>
      </c>
      <c r="WD9" s="1059">
        <v>7259</v>
      </c>
      <c r="WE9" s="1059">
        <v>5829</v>
      </c>
      <c r="WF9" s="1059">
        <v>5912</v>
      </c>
      <c r="WG9" s="1059">
        <v>7535</v>
      </c>
      <c r="WH9" s="1059">
        <v>7436</v>
      </c>
      <c r="WI9" s="1059">
        <v>5719</v>
      </c>
      <c r="WJ9" s="1059">
        <v>5829</v>
      </c>
      <c r="WK9" s="1059">
        <v>7176</v>
      </c>
      <c r="WL9" s="1059">
        <v>7314</v>
      </c>
      <c r="WM9" s="1059">
        <v>5951</v>
      </c>
      <c r="WN9" s="1059">
        <v>7204</v>
      </c>
      <c r="WO9" s="1059">
        <v>5802</v>
      </c>
      <c r="WP9" s="1059">
        <v>7370</v>
      </c>
      <c r="WQ9" s="1059">
        <v>5774</v>
      </c>
      <c r="WR9" s="1059">
        <v>7259</v>
      </c>
      <c r="WS9" s="1059">
        <v>6050</v>
      </c>
      <c r="WT9" s="1059">
        <v>7623</v>
      </c>
      <c r="WU9" s="1059">
        <v>5774</v>
      </c>
      <c r="WV9" s="1059">
        <v>7314</v>
      </c>
      <c r="WW9" s="1059">
        <v>6023</v>
      </c>
      <c r="WX9" s="1059">
        <v>7381</v>
      </c>
      <c r="WY9" s="1059">
        <f>5995</f>
        <v>5995</v>
      </c>
      <c r="WZ9" s="1059">
        <v>7634</v>
      </c>
      <c r="XA9" s="1059">
        <v>5857</v>
      </c>
      <c r="XB9" s="1059">
        <v>7106</v>
      </c>
      <c r="XC9" s="1059">
        <v>5692</v>
      </c>
      <c r="XD9" s="1059">
        <v>7066</v>
      </c>
      <c r="XE9" s="1059">
        <v>5664</v>
      </c>
      <c r="XF9" s="1059">
        <v>7149</v>
      </c>
      <c r="XG9" s="1059">
        <v>5967</v>
      </c>
      <c r="XH9" s="1059">
        <v>7480</v>
      </c>
      <c r="XI9" s="1059">
        <v>6106</v>
      </c>
      <c r="XJ9" s="1059">
        <v>7370</v>
      </c>
      <c r="XK9" s="1059">
        <v>6023</v>
      </c>
      <c r="XL9" s="1059">
        <v>7508</v>
      </c>
      <c r="XM9" s="1059">
        <v>6133</v>
      </c>
      <c r="XN9" s="1059">
        <v>7342</v>
      </c>
      <c r="XO9" s="1059">
        <v>5719</v>
      </c>
      <c r="XP9" s="1059">
        <v>7425</v>
      </c>
      <c r="XQ9" s="1059">
        <v>5802</v>
      </c>
      <c r="XR9" s="1059">
        <v>7320</v>
      </c>
      <c r="XS9" s="1059">
        <v>5829</v>
      </c>
      <c r="XT9" s="1059">
        <v>7232</v>
      </c>
      <c r="XU9" s="1059">
        <v>5581</v>
      </c>
      <c r="XV9" s="1059">
        <v>7066</v>
      </c>
      <c r="XW9" s="1059">
        <v>5086</v>
      </c>
      <c r="XX9" s="1059">
        <v>6873</v>
      </c>
      <c r="XY9" s="1059">
        <v>5774</v>
      </c>
      <c r="XZ9" s="1059">
        <v>6570</v>
      </c>
      <c r="YA9" s="1059">
        <v>5388</v>
      </c>
      <c r="YB9" s="1059">
        <v>6989</v>
      </c>
      <c r="YC9" s="1059">
        <v>5195</v>
      </c>
      <c r="YD9" s="1059">
        <v>1099</v>
      </c>
      <c r="YE9" s="1059">
        <v>0</v>
      </c>
      <c r="YF9" s="1059">
        <v>0</v>
      </c>
      <c r="YG9" s="1059">
        <v>0</v>
      </c>
      <c r="YH9" s="1059">
        <v>0</v>
      </c>
      <c r="YI9" s="1059">
        <v>0</v>
      </c>
      <c r="YJ9" s="1059">
        <v>0</v>
      </c>
      <c r="YK9" s="1059">
        <v>0</v>
      </c>
      <c r="YL9" s="1059">
        <v>0</v>
      </c>
      <c r="YM9" s="1059">
        <v>0</v>
      </c>
      <c r="YN9" s="1059">
        <v>0</v>
      </c>
      <c r="YO9" s="1059">
        <v>0</v>
      </c>
      <c r="YP9" s="1059">
        <v>0</v>
      </c>
      <c r="YQ9" s="1059">
        <v>0</v>
      </c>
      <c r="YR9" s="1059">
        <v>0</v>
      </c>
      <c r="YS9" s="1059">
        <v>0</v>
      </c>
      <c r="YT9" s="1059">
        <v>0</v>
      </c>
      <c r="YU9" s="1059">
        <v>0</v>
      </c>
      <c r="YV9" s="1059">
        <v>0</v>
      </c>
      <c r="YW9" s="1059">
        <v>0</v>
      </c>
      <c r="YX9" s="1059">
        <v>0</v>
      </c>
      <c r="YY9" s="1059">
        <v>0</v>
      </c>
      <c r="YZ9" s="1059">
        <v>0</v>
      </c>
      <c r="ZA9" s="1059">
        <v>0</v>
      </c>
      <c r="ZB9" s="1059">
        <v>0</v>
      </c>
      <c r="ZC9" s="1059">
        <v>0</v>
      </c>
      <c r="ZD9" s="1060">
        <v>1237</v>
      </c>
      <c r="ZE9" s="1059">
        <v>5360</v>
      </c>
      <c r="ZF9" s="1059">
        <v>6459</v>
      </c>
      <c r="ZG9" s="1059">
        <v>4643</v>
      </c>
      <c r="ZH9" s="1059">
        <v>6266</v>
      </c>
      <c r="ZI9" s="1059">
        <v>4577</v>
      </c>
      <c r="ZJ9" s="1061">
        <v>4914</v>
      </c>
      <c r="ZK9" s="1061">
        <v>4257</v>
      </c>
      <c r="ZL9" s="1061">
        <v>4047</v>
      </c>
      <c r="ZM9" s="1061">
        <v>4009</v>
      </c>
      <c r="ZN9" s="1061">
        <v>3573</v>
      </c>
      <c r="ZO9" s="1061">
        <v>3683</v>
      </c>
      <c r="ZP9" s="1061">
        <v>3650</v>
      </c>
      <c r="ZQ9" s="1061">
        <v>4478</v>
      </c>
      <c r="ZR9" s="1061">
        <v>4456</v>
      </c>
      <c r="ZS9" s="1061">
        <v>5780</v>
      </c>
      <c r="ZT9" s="1062">
        <v>5482</v>
      </c>
      <c r="ZU9" s="1061">
        <v>5355</v>
      </c>
      <c r="ZV9" s="1061">
        <v>5151</v>
      </c>
      <c r="ZW9" s="1061">
        <v>4908</v>
      </c>
      <c r="ZX9" s="1061">
        <v>5090</v>
      </c>
      <c r="ZY9" s="1061">
        <v>4693</v>
      </c>
      <c r="ZZ9" s="1061">
        <v>4737</v>
      </c>
      <c r="AAA9" s="1061">
        <v>4693</v>
      </c>
      <c r="AAB9" s="1061">
        <v>4787</v>
      </c>
      <c r="AAC9" s="1061">
        <v>4693</v>
      </c>
      <c r="AAD9" s="1061">
        <v>4687</v>
      </c>
      <c r="AAE9" s="1061">
        <v>4748</v>
      </c>
      <c r="AAF9" s="1061">
        <v>4610</v>
      </c>
      <c r="AAG9" s="1061">
        <v>4693</v>
      </c>
      <c r="AAH9" s="1061">
        <v>4616</v>
      </c>
      <c r="AAI9" s="1061">
        <v>4875</v>
      </c>
      <c r="AAJ9" s="1061">
        <v>4732</v>
      </c>
      <c r="AAK9" s="1061">
        <v>4704</v>
      </c>
      <c r="AAL9" s="1061">
        <v>4698</v>
      </c>
      <c r="AAM9" s="1061">
        <v>4825</v>
      </c>
      <c r="AAN9" s="1061">
        <v>4660</v>
      </c>
      <c r="AAO9" s="1061">
        <v>4660</v>
      </c>
      <c r="AAP9" s="1061">
        <v>4715</v>
      </c>
      <c r="AAQ9" s="1061">
        <v>4748</v>
      </c>
      <c r="AAR9" s="1061">
        <v>4809</v>
      </c>
      <c r="AAS9" s="1061">
        <v>4726</v>
      </c>
      <c r="AAT9" s="1061">
        <v>4533</v>
      </c>
      <c r="AAU9" s="1061">
        <v>4549</v>
      </c>
      <c r="AAV9" s="1061">
        <v>4467</v>
      </c>
      <c r="AAW9" s="1061">
        <v>4423</v>
      </c>
      <c r="AAX9" s="1061">
        <v>4351</v>
      </c>
      <c r="AAY9" s="1061">
        <v>4483</v>
      </c>
      <c r="AAZ9" s="1061">
        <v>4351</v>
      </c>
      <c r="ABA9" s="1061">
        <v>4489</v>
      </c>
      <c r="ABB9" s="1061">
        <v>4516</v>
      </c>
      <c r="ABC9" s="1061">
        <v>4583</v>
      </c>
      <c r="ABD9" s="1061">
        <v>4963</v>
      </c>
      <c r="ABE9" s="1061">
        <v>5824</v>
      </c>
      <c r="ABF9" s="1061">
        <v>6089</v>
      </c>
      <c r="ABG9" s="1061">
        <v>7679</v>
      </c>
      <c r="ABH9" s="1061">
        <v>6520</v>
      </c>
      <c r="ABI9" s="1061">
        <v>5515</v>
      </c>
      <c r="ABJ9" s="1061">
        <v>6519</v>
      </c>
      <c r="ABK9" s="1063">
        <v>5515</v>
      </c>
      <c r="ABL9" s="1064">
        <v>7298</v>
      </c>
      <c r="ABM9" s="1061">
        <v>5923</v>
      </c>
      <c r="ABN9" s="1061">
        <v>6443</v>
      </c>
      <c r="ABO9" s="1061">
        <v>5140</v>
      </c>
      <c r="ABP9" s="1061">
        <v>6733</v>
      </c>
      <c r="ABQ9" s="1061">
        <v>4869</v>
      </c>
      <c r="ABR9" s="1061">
        <v>6514</v>
      </c>
      <c r="ABS9" s="1065">
        <v>5846</v>
      </c>
      <c r="ABT9" s="1064">
        <v>7386</v>
      </c>
      <c r="ABU9" s="1061">
        <v>5940</v>
      </c>
      <c r="ABV9" s="1061">
        <v>7612</v>
      </c>
      <c r="ABW9" s="1061">
        <v>5934</v>
      </c>
      <c r="ABX9" s="1061">
        <v>6359</v>
      </c>
      <c r="ABY9" s="1061">
        <v>7524</v>
      </c>
      <c r="ABZ9" s="1061">
        <v>5719</v>
      </c>
      <c r="ACA9" s="1061">
        <v>7563</v>
      </c>
      <c r="ACB9" s="1061">
        <v>5829</v>
      </c>
      <c r="ACC9" s="1063">
        <v>7414</v>
      </c>
      <c r="ACD9" s="1064">
        <v>6105</v>
      </c>
      <c r="ACE9" s="1065">
        <v>7673</v>
      </c>
      <c r="ACF9" s="1065">
        <v>7259</v>
      </c>
      <c r="ACG9" s="1065">
        <v>6249</v>
      </c>
      <c r="ACH9" s="1065">
        <v>7728</v>
      </c>
      <c r="ACI9" s="1063">
        <v>5951</v>
      </c>
      <c r="ACJ9" s="1066">
        <v>7452</v>
      </c>
      <c r="ACK9" s="1066">
        <v>6023</v>
      </c>
      <c r="ACL9" s="1066">
        <v>7480</v>
      </c>
      <c r="ACM9" s="1066">
        <v>5940</v>
      </c>
      <c r="ACN9" s="1066">
        <v>7656</v>
      </c>
      <c r="ACO9" s="1066">
        <v>6160</v>
      </c>
      <c r="ACP9" s="1066">
        <v>7756</v>
      </c>
      <c r="ACQ9" s="1066">
        <v>6243</v>
      </c>
      <c r="ACR9" s="1066">
        <v>6243</v>
      </c>
      <c r="ACS9" s="1066">
        <v>7590</v>
      </c>
      <c r="ACT9" s="1066">
        <v>5609</v>
      </c>
      <c r="ACU9" s="1066">
        <v>7872</v>
      </c>
      <c r="ACV9" s="1066">
        <v>5967</v>
      </c>
      <c r="ACW9" s="1066">
        <v>7066</v>
      </c>
      <c r="ACX9" s="1066">
        <v>7452</v>
      </c>
      <c r="ACY9" s="1066">
        <v>6133</v>
      </c>
      <c r="ACZ9" s="1066">
        <v>7508</v>
      </c>
      <c r="ADA9" s="1066">
        <v>5885</v>
      </c>
      <c r="ADB9" s="1066">
        <v>6160</v>
      </c>
      <c r="ADC9" s="1066">
        <v>7645</v>
      </c>
      <c r="ADD9" s="1066">
        <v>6166</v>
      </c>
      <c r="ADE9" s="1066">
        <v>7921</v>
      </c>
      <c r="ADF9" s="1066">
        <v>8131</v>
      </c>
      <c r="ADG9" s="1066">
        <v>6530</v>
      </c>
      <c r="ADH9" s="1066">
        <v>8214</v>
      </c>
      <c r="ADI9" s="1066">
        <v>6387</v>
      </c>
      <c r="ADJ9" s="1066">
        <v>8164</v>
      </c>
      <c r="ADK9" s="1066">
        <v>6558</v>
      </c>
      <c r="ADL9" s="1066">
        <v>6254</v>
      </c>
      <c r="ADM9" s="1066">
        <v>7099</v>
      </c>
      <c r="ADN9" s="1066">
        <v>6465</v>
      </c>
      <c r="ADO9" s="1066">
        <v>6166</v>
      </c>
      <c r="ADP9" s="1066">
        <v>7508</v>
      </c>
      <c r="ADQ9" s="1066">
        <v>6221</v>
      </c>
      <c r="ADR9" s="1066">
        <v>7452</v>
      </c>
      <c r="ADS9" s="1066">
        <v>5912</v>
      </c>
      <c r="ADT9" s="1066">
        <v>7513</v>
      </c>
      <c r="ADU9" s="1066">
        <v>5554</v>
      </c>
      <c r="ADV9" s="1066">
        <v>7745</v>
      </c>
      <c r="ADW9" s="1066">
        <v>5829</v>
      </c>
      <c r="ADX9" s="1066">
        <v>7149</v>
      </c>
      <c r="ADY9" s="1066">
        <v>5829</v>
      </c>
      <c r="ADZ9" s="1066">
        <v>7342</v>
      </c>
      <c r="AEA9" s="1066">
        <v>5912</v>
      </c>
      <c r="AEB9" s="1066">
        <v>7287</v>
      </c>
      <c r="AEC9" s="1066">
        <v>5802</v>
      </c>
      <c r="AED9" s="1066">
        <v>7452</v>
      </c>
      <c r="AEE9" s="1066">
        <v>5995</v>
      </c>
      <c r="AEF9" s="1066">
        <v>7121</v>
      </c>
      <c r="AEG9" s="1066">
        <v>5747</v>
      </c>
      <c r="AEH9" s="1066">
        <v>7066</v>
      </c>
      <c r="AEI9" s="1066">
        <v>5747</v>
      </c>
      <c r="AEJ9" s="1066">
        <v>7370</v>
      </c>
      <c r="AEK9" s="1066">
        <v>5912</v>
      </c>
      <c r="AEL9" s="1066">
        <v>7370</v>
      </c>
      <c r="AEM9" s="1066">
        <v>5802</v>
      </c>
      <c r="AEN9" s="1066">
        <v>7132</v>
      </c>
      <c r="AEO9" s="1066">
        <v>5703</v>
      </c>
      <c r="AEP9" s="1066">
        <v>7590</v>
      </c>
      <c r="AEQ9" s="1066">
        <v>6050</v>
      </c>
      <c r="AER9" s="1066">
        <v>7508</v>
      </c>
      <c r="AES9" s="1066">
        <v>5995</v>
      </c>
      <c r="AET9" s="1066">
        <v>7039</v>
      </c>
      <c r="AEU9" s="1067">
        <v>2722</v>
      </c>
      <c r="AEV9" s="1066">
        <v>6078</v>
      </c>
      <c r="AEW9" s="1066">
        <v>5918</v>
      </c>
      <c r="AEX9" s="1066">
        <v>6845</v>
      </c>
      <c r="AEY9" s="1066">
        <v>5498</v>
      </c>
      <c r="AEZ9" s="1066">
        <v>5554</v>
      </c>
      <c r="AFA9" s="1066">
        <v>7728</v>
      </c>
      <c r="AFB9" s="1066">
        <v>5802</v>
      </c>
      <c r="AFC9" s="1066">
        <v>7425</v>
      </c>
      <c r="AFD9" s="1066">
        <v>7121</v>
      </c>
      <c r="AFE9" s="1066">
        <v>5719</v>
      </c>
      <c r="AFF9" s="1066">
        <v>6928</v>
      </c>
      <c r="AFG9" s="1066">
        <v>5498</v>
      </c>
      <c r="AFH9" s="1066">
        <v>6496</v>
      </c>
      <c r="AFI9" s="1066">
        <v>8021</v>
      </c>
      <c r="AFJ9" s="1066">
        <v>7645</v>
      </c>
      <c r="AFK9" s="1066">
        <v>6050</v>
      </c>
      <c r="AFL9" s="1067">
        <v>6658</v>
      </c>
      <c r="AFM9" s="1066">
        <v>4969</v>
      </c>
      <c r="AFN9" s="1066">
        <v>6255</v>
      </c>
      <c r="AFO9" s="1066">
        <v>4450</v>
      </c>
      <c r="AFP9" s="1066">
        <v>5521</v>
      </c>
      <c r="AFQ9" s="1066">
        <v>4290</v>
      </c>
      <c r="AFR9" s="1066">
        <v>5466</v>
      </c>
      <c r="AFS9" s="1066">
        <v>4340</v>
      </c>
      <c r="AFT9" s="1066">
        <v>7176</v>
      </c>
      <c r="AFU9" s="1066">
        <v>6238</v>
      </c>
      <c r="AFV9" s="1066">
        <v>7701</v>
      </c>
      <c r="AFW9" s="1067">
        <v>4676</v>
      </c>
      <c r="AFX9" s="1064">
        <v>8667</v>
      </c>
      <c r="AFY9" s="1064">
        <v>6078</v>
      </c>
      <c r="AFZ9" s="1064">
        <v>7783</v>
      </c>
      <c r="AGA9" s="1064">
        <v>6216</v>
      </c>
      <c r="AGB9" s="1064">
        <v>7745</v>
      </c>
      <c r="AGC9" s="1064">
        <v>6287</v>
      </c>
      <c r="AGD9" s="1064">
        <v>7811</v>
      </c>
      <c r="AGE9" s="1068">
        <v>6254</v>
      </c>
      <c r="AGF9" s="1066">
        <v>7679</v>
      </c>
      <c r="AGG9" s="1067">
        <v>6050</v>
      </c>
      <c r="AGH9" s="1066">
        <v>6199</v>
      </c>
      <c r="AGI9" s="1066">
        <v>6415</v>
      </c>
      <c r="AGJ9" s="1066">
        <v>6138</v>
      </c>
      <c r="AGK9" s="1066">
        <v>7645</v>
      </c>
      <c r="AGL9" s="1066">
        <v>6309</v>
      </c>
      <c r="AGM9" s="1066">
        <v>7651</v>
      </c>
      <c r="AGN9" s="1066">
        <v>7805</v>
      </c>
      <c r="AGO9" s="1066">
        <v>5863</v>
      </c>
      <c r="AGP9" s="1067">
        <v>7176</v>
      </c>
      <c r="AGQ9" s="1066">
        <v>5967</v>
      </c>
      <c r="AGR9" s="1066">
        <v>7016</v>
      </c>
      <c r="AGS9" s="1066">
        <v>6083</v>
      </c>
      <c r="AGT9" s="1066">
        <v>7221</v>
      </c>
      <c r="AGU9" s="1066">
        <v>6309</v>
      </c>
      <c r="AGV9" s="1066">
        <v>7629</v>
      </c>
      <c r="AGW9" s="1066">
        <v>6260</v>
      </c>
      <c r="AGX9" s="1066">
        <v>6298</v>
      </c>
      <c r="AGY9" s="1066">
        <v>7568</v>
      </c>
      <c r="AGZ9" s="1066">
        <v>6177</v>
      </c>
      <c r="AHA9" s="1066">
        <v>7485</v>
      </c>
      <c r="AHB9" s="1066">
        <v>7828</v>
      </c>
      <c r="AHC9" s="1066">
        <v>6304</v>
      </c>
      <c r="AHD9" s="1066">
        <v>7590</v>
      </c>
      <c r="AHE9" s="1066">
        <v>6232</v>
      </c>
      <c r="AHF9" s="1066">
        <v>7750</v>
      </c>
      <c r="AHG9" s="1066">
        <v>6017</v>
      </c>
      <c r="AHH9" s="1066">
        <v>7739</v>
      </c>
      <c r="AHI9" s="1066">
        <v>6122</v>
      </c>
      <c r="AHJ9" s="1066">
        <v>7160</v>
      </c>
      <c r="AHK9" s="1066">
        <v>6194</v>
      </c>
      <c r="AHL9" s="1066">
        <v>7839</v>
      </c>
      <c r="AHM9" s="1066">
        <v>6271</v>
      </c>
      <c r="AHN9" s="1066">
        <v>7458</v>
      </c>
      <c r="AHO9" s="1066">
        <v>5454</v>
      </c>
      <c r="AHP9" s="1066">
        <v>7645</v>
      </c>
      <c r="AHQ9" s="1066">
        <v>6144</v>
      </c>
      <c r="AHR9" s="1066">
        <v>7745</v>
      </c>
      <c r="AHS9" s="1066">
        <v>6078</v>
      </c>
      <c r="AHT9" s="1066">
        <v>7894</v>
      </c>
      <c r="AHU9" s="1066">
        <v>6276</v>
      </c>
      <c r="AHV9" s="1066">
        <v>7568</v>
      </c>
      <c r="AHW9" s="1066">
        <v>6298</v>
      </c>
      <c r="AHX9" s="1066">
        <v>7590</v>
      </c>
      <c r="AHY9" s="1067">
        <v>6188</v>
      </c>
      <c r="AHZ9" s="1067">
        <v>6276</v>
      </c>
      <c r="AIA9" s="1067">
        <v>7601</v>
      </c>
      <c r="AIB9" s="1069">
        <v>6763</v>
      </c>
      <c r="AIC9" s="1069">
        <v>6221</v>
      </c>
      <c r="AID9" s="1069">
        <v>7816</v>
      </c>
      <c r="AIE9" s="1069">
        <v>6188</v>
      </c>
      <c r="AIF9" s="1067">
        <v>7524</v>
      </c>
      <c r="AIG9" s="1067">
        <v>5885</v>
      </c>
      <c r="AIH9" s="1067">
        <v>7121</v>
      </c>
      <c r="AII9" s="1067">
        <v>5747</v>
      </c>
      <c r="AIJ9" s="1067">
        <v>6928</v>
      </c>
      <c r="AIK9" s="1069">
        <v>6398</v>
      </c>
      <c r="AIL9" s="1069">
        <v>7651</v>
      </c>
      <c r="AIM9" s="1067">
        <v>5885</v>
      </c>
      <c r="AIN9" s="1067">
        <v>5719</v>
      </c>
      <c r="AIO9" s="1067">
        <v>6404</v>
      </c>
      <c r="AIP9" s="1067">
        <v>5526</v>
      </c>
      <c r="AIQ9" s="1067">
        <v>6625</v>
      </c>
      <c r="AIR9" s="1069">
        <v>8021</v>
      </c>
      <c r="AIS9" s="1069">
        <v>6216</v>
      </c>
      <c r="AIT9" s="1069">
        <v>7706</v>
      </c>
      <c r="AIU9" s="1069">
        <v>5774</v>
      </c>
      <c r="AIV9" s="1069">
        <v>7513</v>
      </c>
      <c r="AIW9" s="1069">
        <v>5609</v>
      </c>
      <c r="AIX9" s="1069">
        <v>5802</v>
      </c>
      <c r="AIY9" s="1069">
        <v>6680</v>
      </c>
      <c r="AIZ9" s="1069">
        <v>5664</v>
      </c>
      <c r="AJA9" s="1069">
        <v>6685</v>
      </c>
      <c r="AJB9" s="1069">
        <v>7066</v>
      </c>
      <c r="AJC9" s="1069">
        <v>5498</v>
      </c>
      <c r="AJD9" s="1069">
        <v>5609</v>
      </c>
      <c r="AJE9" s="1067">
        <v>7011</v>
      </c>
      <c r="AJF9" s="1067">
        <v>6983</v>
      </c>
      <c r="AJG9" s="1067">
        <v>5250</v>
      </c>
      <c r="AJH9" s="1067">
        <v>5636</v>
      </c>
      <c r="AJI9" s="1067">
        <v>6487</v>
      </c>
      <c r="AJJ9" s="1067">
        <v>5554</v>
      </c>
      <c r="AJK9" s="1067">
        <v>6432</v>
      </c>
      <c r="AJL9" s="1067">
        <v>5609</v>
      </c>
      <c r="AJM9" s="1067">
        <v>5250</v>
      </c>
      <c r="AJN9" s="1067">
        <v>5278</v>
      </c>
      <c r="AJO9" s="1067">
        <v>7237</v>
      </c>
      <c r="AJP9" s="1067">
        <v>4427</v>
      </c>
      <c r="AJQ9" s="1067">
        <v>4400</v>
      </c>
      <c r="AJR9" s="1067">
        <v>4262</v>
      </c>
      <c r="AJS9" s="1067">
        <v>3867</v>
      </c>
      <c r="AJT9" s="1067">
        <v>4400</v>
      </c>
      <c r="AJU9" s="1067">
        <v>4289</v>
      </c>
      <c r="AJV9" s="1067">
        <v>4482</v>
      </c>
      <c r="AJW9" s="1067">
        <v>4455</v>
      </c>
      <c r="AJX9" s="1067">
        <v>4620</v>
      </c>
      <c r="AJY9" s="1067">
        <v>4676</v>
      </c>
      <c r="AJZ9" s="1069">
        <v>7861</v>
      </c>
      <c r="AKA9" s="1069">
        <v>6574</v>
      </c>
      <c r="AKB9" s="1069">
        <v>6492</v>
      </c>
      <c r="AKC9" s="1069">
        <v>8203</v>
      </c>
      <c r="AKD9" s="1069">
        <v>6497</v>
      </c>
      <c r="AKE9" s="1069">
        <v>8076</v>
      </c>
      <c r="AKF9" s="1069">
        <v>6613</v>
      </c>
      <c r="AKG9" s="1069">
        <v>7839</v>
      </c>
      <c r="AKH9" s="1069">
        <v>7866</v>
      </c>
      <c r="AKI9" s="1069">
        <v>6387</v>
      </c>
      <c r="AKJ9" s="1069">
        <v>6585</v>
      </c>
      <c r="AKK9" s="1069">
        <v>8004</v>
      </c>
      <c r="AKL9" s="1069">
        <v>6496</v>
      </c>
      <c r="AKM9" s="1069">
        <v>8015</v>
      </c>
      <c r="AKN9" s="1069">
        <v>7833</v>
      </c>
      <c r="AKO9" s="1069">
        <v>6354</v>
      </c>
      <c r="AKP9" s="1069">
        <v>7811</v>
      </c>
      <c r="AKQ9" s="1069">
        <v>6326</v>
      </c>
      <c r="AKR9" s="1069">
        <v>7866</v>
      </c>
      <c r="AKS9" s="1069">
        <v>6326</v>
      </c>
      <c r="AKT9" s="1069">
        <v>7783</v>
      </c>
      <c r="AKU9" s="1069">
        <v>6436</v>
      </c>
      <c r="AKV9" s="1069">
        <v>6497</v>
      </c>
      <c r="AKW9" s="1069">
        <v>8214</v>
      </c>
      <c r="AKX9" s="1069">
        <v>7927</v>
      </c>
      <c r="AKY9" s="1069">
        <v>6188</v>
      </c>
      <c r="AKZ9" s="1069">
        <v>7949</v>
      </c>
      <c r="ALA9" s="1069">
        <v>6536</v>
      </c>
      <c r="ALB9" s="1069">
        <v>8015</v>
      </c>
      <c r="ALC9" s="1069">
        <v>6629</v>
      </c>
      <c r="ALD9" s="1069">
        <v>7982</v>
      </c>
      <c r="ALE9" s="1069">
        <v>6194</v>
      </c>
      <c r="ALF9" s="1069">
        <v>7861</v>
      </c>
      <c r="ALG9" s="1070">
        <v>4400</v>
      </c>
      <c r="ALH9" s="1070">
        <v>6243</v>
      </c>
      <c r="ALI9" s="1070">
        <v>3251</v>
      </c>
      <c r="ALJ9" s="1070">
        <v>6558</v>
      </c>
      <c r="ALK9" s="1070">
        <v>3362</v>
      </c>
      <c r="ALL9" s="1070">
        <v>6447</v>
      </c>
      <c r="ALM9" s="1070">
        <v>3909</v>
      </c>
      <c r="ALN9" s="1071">
        <v>7348</v>
      </c>
      <c r="ALO9" s="1071">
        <v>6056</v>
      </c>
      <c r="ALP9" s="1071">
        <v>6138</v>
      </c>
      <c r="ALQ9" s="1071">
        <v>7292</v>
      </c>
      <c r="ALR9" s="1071">
        <v>7452</v>
      </c>
      <c r="ALS9" s="1071">
        <v>5885</v>
      </c>
      <c r="ALT9" s="1071">
        <v>7872</v>
      </c>
      <c r="ALU9" s="1071">
        <v>6111</v>
      </c>
      <c r="ALV9" s="1071">
        <v>7485</v>
      </c>
      <c r="ALW9" s="1071">
        <v>6028</v>
      </c>
      <c r="ALX9" s="1071">
        <v>7756</v>
      </c>
      <c r="ALY9" s="1071">
        <v>6304</v>
      </c>
      <c r="ALZ9" s="1071">
        <v>6392</v>
      </c>
      <c r="AMA9" s="1070">
        <v>6050</v>
      </c>
      <c r="AMB9" s="1070">
        <v>4648</v>
      </c>
      <c r="AMC9" s="1070">
        <v>4736</v>
      </c>
      <c r="AMD9" s="1070">
        <v>4565</v>
      </c>
      <c r="AME9" s="1070">
        <v>4482</v>
      </c>
      <c r="AMF9" s="1071">
        <v>6845</v>
      </c>
      <c r="AMG9" s="1071">
        <v>5995</v>
      </c>
      <c r="AMH9" s="1071">
        <v>7701</v>
      </c>
      <c r="AMI9" s="1071">
        <v>5939</v>
      </c>
      <c r="AMJ9" s="1071">
        <v>6078</v>
      </c>
      <c r="AMK9" s="1071">
        <v>7315</v>
      </c>
      <c r="AML9" s="1071">
        <v>7617</v>
      </c>
      <c r="AMM9" s="1071">
        <v>6077</v>
      </c>
      <c r="AMN9" s="1071">
        <v>7618</v>
      </c>
      <c r="AMO9" s="1071">
        <v>5802</v>
      </c>
      <c r="AMP9" s="1071">
        <v>7487</v>
      </c>
      <c r="AMQ9" s="1071">
        <v>5940</v>
      </c>
      <c r="AMR9" s="1071">
        <v>5995</v>
      </c>
      <c r="AMS9" s="1071">
        <v>7370</v>
      </c>
      <c r="AMT9" s="1071">
        <v>7121</v>
      </c>
      <c r="AMU9" s="1071">
        <v>5636</v>
      </c>
      <c r="AMV9" s="1071">
        <v>7342</v>
      </c>
      <c r="AMW9" s="1071">
        <v>5498</v>
      </c>
      <c r="AMX9" s="1071">
        <v>7176</v>
      </c>
      <c r="AMY9" s="1071">
        <v>5608</v>
      </c>
      <c r="AMZ9" s="1071">
        <v>7424</v>
      </c>
      <c r="ANA9" s="1071">
        <v>5608</v>
      </c>
      <c r="ANB9" s="1071">
        <v>7287</v>
      </c>
      <c r="ANC9" s="1071">
        <v>5526</v>
      </c>
      <c r="AND9" s="1071">
        <v>5570</v>
      </c>
      <c r="ANE9" s="1071">
        <v>6834</v>
      </c>
      <c r="ANF9" s="1071">
        <v>5747</v>
      </c>
      <c r="ANG9" s="1071">
        <v>5863</v>
      </c>
      <c r="ANH9" s="1071">
        <v>5471</v>
      </c>
      <c r="ANI9" s="1071">
        <v>6625</v>
      </c>
      <c r="ANJ9" s="1070">
        <v>2722</v>
      </c>
      <c r="ANK9" s="1070">
        <v>5581</v>
      </c>
      <c r="ANL9" s="1070">
        <v>2750</v>
      </c>
      <c r="ANM9" s="1070">
        <v>5305</v>
      </c>
      <c r="ANN9" s="1070">
        <v>4344</v>
      </c>
      <c r="ANO9" s="1070">
        <v>3931</v>
      </c>
      <c r="ANP9" s="1070">
        <v>2860</v>
      </c>
      <c r="ANQ9" s="1071">
        <v>7204</v>
      </c>
      <c r="ANR9" s="1071">
        <v>5664</v>
      </c>
      <c r="ANS9" s="1071">
        <v>6708</v>
      </c>
      <c r="ANT9" s="1071">
        <v>7176</v>
      </c>
      <c r="ANU9" s="1071">
        <v>6862</v>
      </c>
      <c r="ANV9" s="1071">
        <v>6570</v>
      </c>
      <c r="ANW9" s="1071">
        <v>6211</v>
      </c>
      <c r="ANX9" s="1071">
        <v>6652</v>
      </c>
      <c r="ANY9" s="1071">
        <v>6377</v>
      </c>
      <c r="ANZ9" s="1071">
        <v>6376</v>
      </c>
      <c r="AOA9" s="1071">
        <v>6575</v>
      </c>
      <c r="AOB9" s="1071">
        <v>6045</v>
      </c>
      <c r="AOC9" s="1071">
        <v>6294</v>
      </c>
      <c r="AOD9" s="1071">
        <v>6487</v>
      </c>
      <c r="AOE9" s="1071">
        <v>6321</v>
      </c>
      <c r="AOF9" s="1071">
        <v>7972</v>
      </c>
      <c r="AOG9" s="1071">
        <v>6514</v>
      </c>
      <c r="AOH9" s="1071">
        <v>6404</v>
      </c>
      <c r="AOI9" s="1071">
        <v>6680</v>
      </c>
      <c r="AOJ9" s="1071">
        <v>6597</v>
      </c>
      <c r="AOK9" s="1071">
        <v>6680</v>
      </c>
      <c r="AOL9" s="1071">
        <v>6873</v>
      </c>
      <c r="AOM9" s="1071">
        <v>6514</v>
      </c>
      <c r="AON9" s="1071">
        <v>6459</v>
      </c>
      <c r="AOO9" s="1071">
        <v>6735</v>
      </c>
      <c r="AOP9" s="1071">
        <v>6763</v>
      </c>
      <c r="AOQ9" s="1071">
        <v>6901</v>
      </c>
      <c r="AOR9" s="1071">
        <v>6928</v>
      </c>
      <c r="AOS9" s="1071">
        <v>6294</v>
      </c>
      <c r="AOT9" s="1071">
        <v>6404</v>
      </c>
      <c r="AOU9" s="1071">
        <v>6514</v>
      </c>
      <c r="AOV9" s="1071">
        <v>6459</v>
      </c>
      <c r="AOW9" s="1071">
        <v>6266</v>
      </c>
      <c r="AOX9" s="1071">
        <v>7917</v>
      </c>
      <c r="AOY9" s="1071">
        <v>6321</v>
      </c>
      <c r="AOZ9" s="1071">
        <v>6239</v>
      </c>
      <c r="APA9" s="1071">
        <v>5742</v>
      </c>
      <c r="APB9" s="1071">
        <v>5770</v>
      </c>
      <c r="APC9" s="1071">
        <v>6128</v>
      </c>
      <c r="APD9" s="1071">
        <v>5085</v>
      </c>
      <c r="APE9" s="1071">
        <v>7751</v>
      </c>
      <c r="APF9" s="1071">
        <v>6818</v>
      </c>
      <c r="APG9" s="1071">
        <v>5770</v>
      </c>
      <c r="APH9" s="1071">
        <v>6680</v>
      </c>
      <c r="API9" s="1071">
        <v>6928</v>
      </c>
      <c r="APJ9" s="1071">
        <v>5526</v>
      </c>
      <c r="APK9" s="1071">
        <v>6542</v>
      </c>
      <c r="APL9" s="1071">
        <v>7779</v>
      </c>
      <c r="APM9" s="1071">
        <v>6514</v>
      </c>
      <c r="APN9" s="1071">
        <v>6570</v>
      </c>
      <c r="APO9" s="1071">
        <v>6542</v>
      </c>
      <c r="APP9" s="1071">
        <v>6680</v>
      </c>
      <c r="APQ9" s="1071">
        <v>5719</v>
      </c>
      <c r="APR9" s="1071">
        <v>7370</v>
      </c>
      <c r="APS9" s="1071">
        <v>5940</v>
      </c>
      <c r="APT9" s="1071">
        <v>7452</v>
      </c>
      <c r="APU9" s="1071">
        <v>5829</v>
      </c>
      <c r="APV9" s="1071">
        <v>7789</v>
      </c>
      <c r="APW9" s="1071">
        <v>5636</v>
      </c>
      <c r="APX9" s="1071">
        <v>6294</v>
      </c>
      <c r="APY9" s="1071">
        <v>5360</v>
      </c>
      <c r="APZ9" s="1071">
        <v>6735</v>
      </c>
      <c r="AQA9" s="1071">
        <v>4974</v>
      </c>
      <c r="AQB9" s="1071">
        <v>5504</v>
      </c>
      <c r="AQC9" s="1071">
        <v>6597</v>
      </c>
      <c r="AQD9" s="1071">
        <v>7292</v>
      </c>
      <c r="AQE9" s="1071">
        <v>5416</v>
      </c>
      <c r="AQF9" s="1071">
        <v>5471</v>
      </c>
      <c r="AQG9" s="1071">
        <v>6266</v>
      </c>
      <c r="AQH9" s="1071">
        <v>5223</v>
      </c>
      <c r="AQI9" s="1071">
        <v>6404</v>
      </c>
      <c r="AQJ9" s="1071">
        <v>5278</v>
      </c>
      <c r="AQK9" s="1071">
        <v>6487</v>
      </c>
      <c r="AQL9" s="1071">
        <v>5167</v>
      </c>
      <c r="AQM9" s="1071">
        <v>5305</v>
      </c>
      <c r="AQN9" s="1071">
        <v>6487</v>
      </c>
      <c r="AQO9" s="1071">
        <v>6708</v>
      </c>
      <c r="AQP9" s="1071">
        <v>4919</v>
      </c>
      <c r="AQQ9" s="1071">
        <v>5416</v>
      </c>
      <c r="AQR9" s="1071">
        <v>6708</v>
      </c>
      <c r="AQS9" s="1071">
        <v>6603</v>
      </c>
      <c r="AQT9" s="1071">
        <v>5112</v>
      </c>
      <c r="AQU9" s="1071">
        <v>5002</v>
      </c>
      <c r="AQV9" s="1071">
        <v>6901</v>
      </c>
      <c r="AQW9" s="1071">
        <v>5085</v>
      </c>
      <c r="AQX9" s="1071">
        <v>5857</v>
      </c>
      <c r="AQY9" s="1071">
        <v>5719</v>
      </c>
      <c r="AQZ9" s="1071">
        <v>5636</v>
      </c>
      <c r="ARA9" s="1071">
        <v>6023</v>
      </c>
      <c r="ARB9" s="1071">
        <v>5807</v>
      </c>
      <c r="ARC9" s="1071">
        <v>5940</v>
      </c>
      <c r="ARD9" s="1071">
        <v>5967</v>
      </c>
      <c r="ARE9" s="1071">
        <v>5774</v>
      </c>
      <c r="ARF9" s="1071">
        <v>5940</v>
      </c>
      <c r="ARG9" s="1071">
        <v>6050</v>
      </c>
      <c r="ARH9" s="1071">
        <v>5234</v>
      </c>
      <c r="ARI9" s="1071">
        <v>5774</v>
      </c>
      <c r="ARJ9" s="1071">
        <v>5890</v>
      </c>
      <c r="ARK9" s="1071">
        <v>6028</v>
      </c>
      <c r="ARL9" s="1071">
        <v>6078</v>
      </c>
      <c r="ARM9" s="1071">
        <v>6304</v>
      </c>
      <c r="ARN9" s="1071">
        <v>5829</v>
      </c>
      <c r="ARO9" s="1071">
        <v>6056</v>
      </c>
      <c r="ARP9" s="1071">
        <v>5967</v>
      </c>
      <c r="ARQ9" s="1071">
        <v>5829</v>
      </c>
      <c r="ARR9" s="1071">
        <v>5912</v>
      </c>
      <c r="ARS9" s="1071">
        <v>6023</v>
      </c>
      <c r="ART9" s="1071">
        <v>6050</v>
      </c>
      <c r="ARU9" s="1071">
        <v>6392</v>
      </c>
      <c r="ARV9" s="1071">
        <v>6425</v>
      </c>
      <c r="ARW9" s="1071">
        <v>6000</v>
      </c>
      <c r="ARX9" s="1071">
        <v>6105</v>
      </c>
      <c r="ARY9" s="1071">
        <v>6188</v>
      </c>
      <c r="ARZ9" s="1071">
        <v>6023</v>
      </c>
      <c r="ASA9" s="1071">
        <v>5890</v>
      </c>
      <c r="ASB9" s="1071">
        <v>7066</v>
      </c>
      <c r="ASC9" s="1071">
        <v>5951</v>
      </c>
      <c r="ASD9" s="1071">
        <v>6680</v>
      </c>
      <c r="ASE9" s="1071">
        <v>6487</v>
      </c>
      <c r="ASF9" s="1071">
        <v>5636</v>
      </c>
      <c r="ASG9" s="1071">
        <v>6790</v>
      </c>
      <c r="ASH9" s="1071">
        <v>6790</v>
      </c>
      <c r="ASI9" s="1071">
        <v>7541</v>
      </c>
      <c r="ASJ9" s="1071">
        <v>5885</v>
      </c>
      <c r="ASK9" s="1071">
        <v>7982</v>
      </c>
      <c r="ASL9" s="1071">
        <v>6249</v>
      </c>
      <c r="ASM9" s="1071">
        <v>7563</v>
      </c>
      <c r="ASN9" s="1071">
        <v>6503</v>
      </c>
      <c r="ASO9" s="1071">
        <v>7954</v>
      </c>
      <c r="ASP9" s="1071">
        <v>6359</v>
      </c>
      <c r="ASQ9" s="1071">
        <v>7121</v>
      </c>
      <c r="ASR9" s="1071">
        <v>5829</v>
      </c>
      <c r="ASS9" s="1071">
        <v>5802</v>
      </c>
      <c r="AST9" s="1071">
        <v>7265</v>
      </c>
      <c r="ASU9" s="1071">
        <v>5951</v>
      </c>
      <c r="ASV9" s="1071">
        <v>6735</v>
      </c>
      <c r="ASW9" s="1071">
        <v>5725</v>
      </c>
      <c r="ASX9" s="1071">
        <v>7541</v>
      </c>
      <c r="ASY9" s="1071">
        <v>7822</v>
      </c>
      <c r="ASZ9" s="1071">
        <v>5747</v>
      </c>
      <c r="ATA9" s="1071">
        <v>6956</v>
      </c>
      <c r="ATB9" s="1071">
        <v>5366</v>
      </c>
      <c r="ATC9" s="1071">
        <v>7452</v>
      </c>
      <c r="ATD9" s="1071">
        <v>5752</v>
      </c>
      <c r="ATE9" s="1071">
        <v>7348</v>
      </c>
      <c r="ATF9" s="1071">
        <v>5664</v>
      </c>
      <c r="ATG9" s="1071">
        <v>7144</v>
      </c>
      <c r="ATH9" s="1071">
        <v>5498</v>
      </c>
      <c r="ATI9" s="1071">
        <v>7563</v>
      </c>
      <c r="ATJ9" s="1071">
        <v>5774</v>
      </c>
      <c r="ATK9" s="1071">
        <v>7480</v>
      </c>
      <c r="ATL9" s="1071">
        <v>5692</v>
      </c>
      <c r="ATM9" s="1071">
        <v>7541</v>
      </c>
      <c r="ATN9" s="1071">
        <v>5995</v>
      </c>
      <c r="ATO9" s="1071">
        <v>7397</v>
      </c>
      <c r="ATP9" s="1071">
        <v>5333</v>
      </c>
      <c r="ATQ9" s="1071">
        <v>7491</v>
      </c>
      <c r="ATR9" s="1071">
        <v>5620</v>
      </c>
      <c r="ATS9" s="1071">
        <v>7596</v>
      </c>
      <c r="ATT9" s="1071">
        <v>6243</v>
      </c>
      <c r="ATU9" s="1071">
        <v>5912</v>
      </c>
      <c r="ATV9" s="1071">
        <v>7370</v>
      </c>
      <c r="ATW9" s="1071">
        <v>7651</v>
      </c>
      <c r="ATX9" s="1071">
        <v>5082</v>
      </c>
      <c r="ATY9" s="1071">
        <v>6769</v>
      </c>
      <c r="ATZ9" s="1071">
        <v>4947</v>
      </c>
      <c r="AUA9" s="1071">
        <v>5218</v>
      </c>
      <c r="AUB9" s="1071">
        <v>4174</v>
      </c>
      <c r="AUC9" s="1071">
        <v>6983</v>
      </c>
      <c r="AUD9" s="1071">
        <v>5360</v>
      </c>
      <c r="AUE9" s="1071">
        <v>6790</v>
      </c>
      <c r="AUF9" s="1071">
        <v>5338</v>
      </c>
      <c r="AUG9" s="1071">
        <v>7176</v>
      </c>
      <c r="AUH9" s="1071">
        <v>5278</v>
      </c>
      <c r="AUI9" s="1071">
        <v>4179</v>
      </c>
      <c r="AUJ9" s="1071">
        <v>8446</v>
      </c>
      <c r="AUK9" s="1071">
        <v>5719</v>
      </c>
      <c r="AUL9" s="1071">
        <v>7121</v>
      </c>
      <c r="AUM9" s="1071">
        <v>5360</v>
      </c>
      <c r="AUN9" s="1071">
        <v>5636</v>
      </c>
      <c r="AUO9" s="1071">
        <v>7370</v>
      </c>
      <c r="AUP9" s="1071">
        <v>5360</v>
      </c>
      <c r="AUQ9" s="1071">
        <v>7176</v>
      </c>
      <c r="AUR9" s="1071">
        <v>6928</v>
      </c>
      <c r="AUS9" s="1071">
        <v>5609</v>
      </c>
      <c r="AUT9" s="1071">
        <v>6901</v>
      </c>
      <c r="AUU9" s="1071">
        <v>5967</v>
      </c>
      <c r="AUV9" s="1071">
        <v>5443</v>
      </c>
      <c r="AUW9" s="1071">
        <v>6983</v>
      </c>
      <c r="AUX9" s="1071">
        <v>6625</v>
      </c>
      <c r="AUY9" s="1071">
        <v>5719</v>
      </c>
      <c r="AUZ9" s="1071">
        <v>6753</v>
      </c>
      <c r="AVA9" s="1071">
        <v>5057</v>
      </c>
      <c r="AVB9" s="1071">
        <v>6266</v>
      </c>
      <c r="AVC9" s="1071">
        <v>4919</v>
      </c>
      <c r="AVD9" s="1071">
        <v>5333</v>
      </c>
      <c r="AVE9" s="1071">
        <v>5471</v>
      </c>
      <c r="AVF9" s="1071">
        <v>4427</v>
      </c>
      <c r="AVG9" s="1071">
        <v>6790</v>
      </c>
      <c r="AVH9" s="1071">
        <v>5725</v>
      </c>
      <c r="AVI9" s="1071">
        <v>5581</v>
      </c>
      <c r="AVJ9" s="1071">
        <v>5388</v>
      </c>
      <c r="AVK9" s="1071">
        <v>5554</v>
      </c>
      <c r="AVL9" s="1071">
        <v>7094</v>
      </c>
      <c r="AVM9" s="1071">
        <v>5802</v>
      </c>
      <c r="AVN9" s="1071">
        <v>5774</v>
      </c>
      <c r="AVO9" s="1071">
        <v>6050</v>
      </c>
      <c r="AVP9" s="1071">
        <v>5416</v>
      </c>
      <c r="AVQ9" s="1071">
        <v>4262</v>
      </c>
      <c r="AVR9" s="1071">
        <v>4234</v>
      </c>
      <c r="AVS9" s="1071">
        <v>3986</v>
      </c>
      <c r="AVT9" s="1071">
        <v>4041</v>
      </c>
      <c r="AVU9" s="1071">
        <v>4069</v>
      </c>
      <c r="AVV9" s="1071">
        <v>4179</v>
      </c>
      <c r="AVW9" s="1071">
        <v>5443</v>
      </c>
      <c r="AVX9" s="1071">
        <v>5581</v>
      </c>
      <c r="AVY9" s="1071">
        <v>6901</v>
      </c>
      <c r="AVZ9" s="1071">
        <v>5664</v>
      </c>
      <c r="AWA9" s="1071">
        <v>7011</v>
      </c>
      <c r="AWB9" s="1071">
        <v>5636</v>
      </c>
      <c r="AWC9" s="1071">
        <v>7314</v>
      </c>
      <c r="AWD9" s="1071">
        <v>7011</v>
      </c>
      <c r="AWE9" s="1071">
        <v>5636</v>
      </c>
      <c r="AWF9" s="1071">
        <v>6845</v>
      </c>
      <c r="AWG9" s="1071">
        <v>5278</v>
      </c>
      <c r="AWH9" s="1071">
        <v>4096</v>
      </c>
      <c r="AWI9" s="1071">
        <v>6763</v>
      </c>
      <c r="AWJ9" s="1071">
        <v>4974</v>
      </c>
      <c r="AWK9" s="1071">
        <v>3710</v>
      </c>
      <c r="AWL9" s="1071">
        <v>5990</v>
      </c>
      <c r="AWM9" s="1071">
        <v>4505</v>
      </c>
      <c r="AWN9" s="1071">
        <v>4367</v>
      </c>
      <c r="AWO9" s="1071">
        <v>3103</v>
      </c>
      <c r="AWP9" s="1071">
        <v>5163</v>
      </c>
      <c r="AWQ9" s="1071">
        <v>4367</v>
      </c>
      <c r="AWR9" s="1071">
        <v>3462</v>
      </c>
      <c r="AWS9" s="1071">
        <v>5742</v>
      </c>
      <c r="AWT9" s="1071">
        <v>4588</v>
      </c>
      <c r="AWU9" s="1071">
        <v>3462</v>
      </c>
      <c r="AWV9" s="1071">
        <v>5140</v>
      </c>
      <c r="AWW9" s="1071">
        <v>7397</v>
      </c>
      <c r="AWX9" s="1071">
        <v>4400</v>
      </c>
      <c r="AWY9" s="1071">
        <v>7204</v>
      </c>
      <c r="AWZ9" s="1071">
        <v>5692</v>
      </c>
      <c r="AXA9" s="1071">
        <v>5554</v>
      </c>
      <c r="AXB9" s="1071">
        <v>5802</v>
      </c>
      <c r="AXC9" s="1071">
        <v>5664</v>
      </c>
      <c r="AXD9" s="1071">
        <v>5388</v>
      </c>
      <c r="AXE9" s="1071">
        <v>5802</v>
      </c>
      <c r="AXF9" s="1071">
        <v>5829</v>
      </c>
      <c r="AXG9" s="1071">
        <v>5912</v>
      </c>
      <c r="AXH9" s="1071">
        <v>6160</v>
      </c>
      <c r="AXI9" s="1071">
        <v>5940</v>
      </c>
      <c r="AXJ9" s="1071">
        <v>4620</v>
      </c>
      <c r="AXK9" s="1071">
        <v>6023</v>
      </c>
      <c r="AXL9" s="1071">
        <v>7618</v>
      </c>
      <c r="AXM9" s="1071">
        <v>6216</v>
      </c>
      <c r="AXN9" s="1071">
        <v>6469</v>
      </c>
      <c r="AXO9" s="1071">
        <v>5912</v>
      </c>
      <c r="AXP9" s="1071">
        <v>6928</v>
      </c>
      <c r="AXQ9" s="1071">
        <v>5774</v>
      </c>
      <c r="AXR9" s="1071">
        <v>5554</v>
      </c>
      <c r="AXS9" s="1071">
        <v>7370</v>
      </c>
      <c r="AXT9" s="1071">
        <v>5581</v>
      </c>
      <c r="AXU9" s="1071">
        <v>7314</v>
      </c>
      <c r="AXV9" s="1071">
        <v>6901</v>
      </c>
      <c r="AXW9" s="1071">
        <v>5609</v>
      </c>
      <c r="AXX9" s="1071">
        <v>6956</v>
      </c>
      <c r="AXY9" s="1071">
        <v>5692</v>
      </c>
      <c r="AXZ9" s="1071">
        <v>7121</v>
      </c>
      <c r="AYA9" s="1071">
        <v>5416</v>
      </c>
      <c r="AYB9" s="1071">
        <v>6708</v>
      </c>
      <c r="AYC9" s="1071">
        <v>5057</v>
      </c>
      <c r="AYD9" s="1071">
        <v>5029</v>
      </c>
      <c r="AYE9" s="1071">
        <v>6542</v>
      </c>
      <c r="AYF9" s="1071">
        <v>5112</v>
      </c>
      <c r="AYG9" s="1071">
        <v>6294</v>
      </c>
      <c r="AYH9" s="1071">
        <v>5029</v>
      </c>
      <c r="AYI9" s="1071">
        <v>5825</v>
      </c>
      <c r="AYJ9" s="1071">
        <v>5990</v>
      </c>
      <c r="AYK9" s="1071">
        <v>5416</v>
      </c>
      <c r="AYL9" s="1071">
        <v>5305</v>
      </c>
      <c r="AYM9" s="1071">
        <v>5692</v>
      </c>
      <c r="AYN9" s="1071">
        <v>5471</v>
      </c>
      <c r="AYO9" s="1071">
        <v>5521</v>
      </c>
      <c r="AYP9" s="1071">
        <v>4064</v>
      </c>
      <c r="AYQ9" s="1071">
        <v>5852</v>
      </c>
      <c r="AYR9" s="1071">
        <v>5526</v>
      </c>
      <c r="AYS9" s="1071">
        <v>5306</v>
      </c>
      <c r="AYT9" s="1071">
        <v>6680</v>
      </c>
      <c r="AYU9" s="1071">
        <v>5305</v>
      </c>
      <c r="AYV9" s="1071">
        <v>6818</v>
      </c>
      <c r="AYW9" s="1071">
        <v>5360</v>
      </c>
      <c r="AYX9" s="1071">
        <v>6597</v>
      </c>
      <c r="AYY9" s="1071">
        <v>6266</v>
      </c>
      <c r="AYZ9" s="1071">
        <v>5029</v>
      </c>
      <c r="AZA9" s="1071">
        <v>6073</v>
      </c>
      <c r="AZB9" s="1071">
        <v>3958</v>
      </c>
      <c r="AZC9" s="1071">
        <v>5443</v>
      </c>
      <c r="AZD9" s="1071">
        <v>4179</v>
      </c>
      <c r="AZE9" s="1071">
        <v>4096</v>
      </c>
      <c r="AZF9" s="1071">
        <v>4207</v>
      </c>
      <c r="AZG9" s="1071">
        <v>4124</v>
      </c>
      <c r="AZH9" s="1071">
        <v>4262</v>
      </c>
      <c r="AZI9" s="1071">
        <v>4151</v>
      </c>
      <c r="AZJ9" s="1071">
        <v>4151</v>
      </c>
      <c r="AZK9" s="1071">
        <v>2749</v>
      </c>
      <c r="AZL9" s="1071">
        <v>5526</v>
      </c>
      <c r="AZM9" s="1071">
        <v>4207</v>
      </c>
      <c r="AZN9" s="1071">
        <v>7210</v>
      </c>
      <c r="AZO9" s="1071">
        <v>6956</v>
      </c>
      <c r="AZP9" s="1071">
        <v>5967</v>
      </c>
      <c r="AZQ9" s="1071">
        <v>6028</v>
      </c>
      <c r="AZR9" s="1071">
        <v>7066</v>
      </c>
      <c r="AZS9" s="1071">
        <v>5940</v>
      </c>
      <c r="AZT9" s="1071">
        <v>7320</v>
      </c>
      <c r="AZU9" s="1071">
        <v>5995</v>
      </c>
      <c r="AZV9" s="1071">
        <v>5829</v>
      </c>
      <c r="AZW9" s="1071">
        <v>6359</v>
      </c>
      <c r="AZX9" s="1071">
        <v>7739</v>
      </c>
      <c r="AZY9" s="1071">
        <v>6983</v>
      </c>
      <c r="AZZ9" s="1071">
        <v>6459</v>
      </c>
      <c r="BAA9" s="1071">
        <v>5581</v>
      </c>
      <c r="BAB9" s="1071">
        <v>6780</v>
      </c>
      <c r="BAC9" s="1071">
        <v>7751</v>
      </c>
      <c r="BAD9" s="1071">
        <v>6294</v>
      </c>
      <c r="BAE9" s="1071">
        <v>6432</v>
      </c>
      <c r="BAF9" s="1071">
        <v>6239</v>
      </c>
      <c r="BAG9" s="1071">
        <v>6101</v>
      </c>
      <c r="BAH9" s="1071">
        <v>6432</v>
      </c>
      <c r="BAI9" s="1071">
        <v>5439</v>
      </c>
      <c r="BAJ9" s="1071">
        <v>6266</v>
      </c>
      <c r="BAK9" s="1071">
        <v>5466</v>
      </c>
      <c r="BAL9" s="1071">
        <v>5305</v>
      </c>
      <c r="BAM9" s="1071">
        <v>6349</v>
      </c>
      <c r="BAN9" s="1071">
        <v>5167</v>
      </c>
      <c r="BAO9" s="1071">
        <v>5029</v>
      </c>
      <c r="BAP9" s="1071">
        <v>6432</v>
      </c>
      <c r="BAQ9" s="1071">
        <v>6239</v>
      </c>
      <c r="BAR9" s="1071">
        <v>5140</v>
      </c>
      <c r="BAS9" s="1071">
        <v>5774</v>
      </c>
      <c r="BAT9" s="1071">
        <v>5995</v>
      </c>
      <c r="BAU9" s="1071">
        <v>5774</v>
      </c>
      <c r="BAV9" s="1071">
        <v>5857</v>
      </c>
      <c r="BAW9" s="1071">
        <v>5554</v>
      </c>
      <c r="BAX9" s="1071">
        <v>4726</v>
      </c>
      <c r="BAY9" s="1071">
        <v>3918</v>
      </c>
      <c r="BAZ9" s="1071">
        <v>3788</v>
      </c>
      <c r="BBA9" s="1071">
        <v>3958</v>
      </c>
      <c r="BBB9" s="1071">
        <v>5554</v>
      </c>
      <c r="BBC9" s="1071">
        <v>4455</v>
      </c>
      <c r="BBD9" s="1071">
        <v>4372</v>
      </c>
      <c r="BBE9" s="1071">
        <v>4731</v>
      </c>
      <c r="BBF9" s="1071">
        <v>6271</v>
      </c>
      <c r="BBG9" s="1071">
        <v>3025</v>
      </c>
      <c r="BBH9" s="1071">
        <v>4648</v>
      </c>
      <c r="BBI9" s="1071">
        <v>7039</v>
      </c>
      <c r="BBJ9" s="1071">
        <v>6961</v>
      </c>
      <c r="BBK9" s="1071">
        <v>7425</v>
      </c>
      <c r="BBL9" s="1071">
        <v>7066</v>
      </c>
      <c r="BBM9" s="1071">
        <v>6818</v>
      </c>
      <c r="BBN9" s="1071">
        <v>8358</v>
      </c>
      <c r="BBO9" s="1071">
        <v>5636</v>
      </c>
      <c r="BBP9" s="1071">
        <v>8220</v>
      </c>
      <c r="BBQ9" s="1071">
        <v>7204</v>
      </c>
      <c r="BBR9" s="1071">
        <v>7314</v>
      </c>
      <c r="BBS9" s="1071">
        <v>6983</v>
      </c>
      <c r="BBT9" s="1071">
        <v>6928</v>
      </c>
      <c r="BBU9" s="1071">
        <v>7011</v>
      </c>
      <c r="BBV9" s="1071">
        <v>7232</v>
      </c>
      <c r="BBW9" s="1071">
        <v>6901</v>
      </c>
      <c r="BBX9" s="1071">
        <v>7094</v>
      </c>
      <c r="BBY9" s="1071">
        <v>6790</v>
      </c>
      <c r="BBZ9" s="1071">
        <v>6652</v>
      </c>
      <c r="BCA9" s="1071">
        <v>6708</v>
      </c>
      <c r="BCB9" s="1071">
        <v>6873</v>
      </c>
      <c r="BCC9" s="1071">
        <v>6294</v>
      </c>
      <c r="BCD9" s="1071">
        <v>6459</v>
      </c>
      <c r="BCE9" s="1071">
        <v>5609</v>
      </c>
      <c r="BCF9" s="1071">
        <v>6790</v>
      </c>
      <c r="BCG9" s="1071">
        <v>5747</v>
      </c>
      <c r="BCH9" s="1071">
        <v>6790</v>
      </c>
      <c r="BCI9" s="1071">
        <v>5642</v>
      </c>
      <c r="BCJ9" s="1071">
        <v>6652</v>
      </c>
      <c r="BCK9" s="1071">
        <v>5223</v>
      </c>
      <c r="BCL9" s="1071">
        <v>5085</v>
      </c>
      <c r="BCM9" s="1071">
        <v>5963</v>
      </c>
      <c r="BCN9" s="1071">
        <v>5250</v>
      </c>
      <c r="BCO9" s="1071">
        <v>4643</v>
      </c>
      <c r="BCP9" s="1071">
        <v>6961</v>
      </c>
      <c r="BCQ9" s="1071">
        <v>4367</v>
      </c>
      <c r="BCR9" s="1071">
        <v>5356</v>
      </c>
      <c r="BCS9" s="1084">
        <v>2280</v>
      </c>
      <c r="BCT9" s="1071">
        <v>5333</v>
      </c>
      <c r="BCU9" s="1071">
        <v>4781</v>
      </c>
      <c r="BCV9" s="1071">
        <v>5471</v>
      </c>
      <c r="BCW9" s="1071">
        <v>5774</v>
      </c>
      <c r="BCX9" s="1071">
        <v>4400</v>
      </c>
      <c r="BCY9" s="1071">
        <v>7270</v>
      </c>
      <c r="BCZ9" s="1071">
        <v>7300</v>
      </c>
      <c r="BDA9" s="1071">
        <v>5608</v>
      </c>
      <c r="BDB9" s="1071">
        <v>4400</v>
      </c>
      <c r="BDC9" s="1071">
        <v>7260</v>
      </c>
      <c r="BDD9" s="1071">
        <v>5857</v>
      </c>
      <c r="BDE9" s="1071">
        <v>5637</v>
      </c>
      <c r="BDF9" s="1071">
        <v>4427</v>
      </c>
      <c r="BDG9" s="1071">
        <v>5664</v>
      </c>
      <c r="BDH9" s="1071">
        <v>5526</v>
      </c>
      <c r="BDI9" s="1071">
        <v>5802</v>
      </c>
      <c r="BDJ9" s="1071">
        <v>5774</v>
      </c>
      <c r="BDK9" s="1071">
        <v>5719</v>
      </c>
      <c r="BDL9" s="1071">
        <v>5692</v>
      </c>
      <c r="BDM9" s="1071">
        <v>5774</v>
      </c>
      <c r="BDN9" s="1071">
        <v>5195</v>
      </c>
      <c r="BDO9" s="1071">
        <v>5664</v>
      </c>
      <c r="BDP9" s="1071">
        <v>5360</v>
      </c>
      <c r="BDQ9" s="1084">
        <v>3517</v>
      </c>
      <c r="BDR9" s="1084">
        <v>4400</v>
      </c>
      <c r="BDS9" s="1084">
        <v>4565</v>
      </c>
      <c r="BDT9" s="1084">
        <v>3135</v>
      </c>
      <c r="BDU9" s="1084">
        <v>4372</v>
      </c>
      <c r="BDV9" s="1084">
        <v>4427</v>
      </c>
      <c r="BDW9" s="1084">
        <v>3108</v>
      </c>
      <c r="BDX9" s="1084">
        <v>4538</v>
      </c>
      <c r="BDY9" s="1084">
        <v>4709</v>
      </c>
      <c r="BDZ9" s="1071">
        <v>4427</v>
      </c>
      <c r="BEA9" s="1071">
        <v>6083</v>
      </c>
      <c r="BEB9" s="1071">
        <v>6105</v>
      </c>
      <c r="BEC9" s="1071">
        <v>6304</v>
      </c>
      <c r="BED9" s="1071">
        <v>5967</v>
      </c>
      <c r="BEE9" s="1071">
        <v>6078</v>
      </c>
      <c r="BEF9" s="1071">
        <v>6000</v>
      </c>
      <c r="BEG9" s="1071">
        <v>5995</v>
      </c>
      <c r="BEH9" s="1071">
        <v>6243</v>
      </c>
      <c r="BEI9" s="1071">
        <v>6160</v>
      </c>
      <c r="BEJ9" s="1071">
        <v>6376</v>
      </c>
      <c r="BEK9" s="1071">
        <v>5498</v>
      </c>
      <c r="BEL9" s="1071">
        <v>6818</v>
      </c>
      <c r="BEM9" s="1071">
        <v>5912</v>
      </c>
      <c r="BEN9" s="1071">
        <v>7232</v>
      </c>
      <c r="BEO9" s="1071">
        <v>5747</v>
      </c>
      <c r="BEP9" s="1071">
        <v>7370</v>
      </c>
      <c r="BEQ9" s="1071">
        <v>5504</v>
      </c>
      <c r="BER9" s="1071">
        <v>6101</v>
      </c>
      <c r="BES9" s="1071">
        <v>5085</v>
      </c>
      <c r="BET9" s="1071">
        <v>5029</v>
      </c>
      <c r="BEU9" s="1071">
        <v>6652</v>
      </c>
      <c r="BEV9" s="1071">
        <v>5388</v>
      </c>
      <c r="BEW9" s="1071">
        <v>6652</v>
      </c>
      <c r="BEX9" s="1071">
        <v>5305</v>
      </c>
      <c r="BEY9" s="1071">
        <v>6845</v>
      </c>
      <c r="BEZ9" s="1071">
        <v>7011</v>
      </c>
      <c r="BFA9" s="1071">
        <v>5498</v>
      </c>
      <c r="BFB9" s="1071">
        <v>6873</v>
      </c>
      <c r="BFC9" s="1071">
        <v>5305</v>
      </c>
      <c r="BFD9" s="1071">
        <v>6736</v>
      </c>
      <c r="BFE9" s="1071">
        <v>5470</v>
      </c>
      <c r="BFF9" s="1071">
        <v>6679</v>
      </c>
      <c r="BFG9" s="1071">
        <v>5112</v>
      </c>
      <c r="BFH9" s="1071">
        <v>5361</v>
      </c>
      <c r="BFI9" s="1071">
        <v>6487</v>
      </c>
      <c r="BFJ9" s="1071">
        <v>5333</v>
      </c>
      <c r="BFK9" s="1071">
        <v>6404</v>
      </c>
      <c r="BFL9" s="1071">
        <v>6459</v>
      </c>
      <c r="BFM9" s="1071">
        <v>5167</v>
      </c>
      <c r="BFN9" s="1071">
        <v>6487</v>
      </c>
      <c r="BFO9" s="1071">
        <v>5195</v>
      </c>
      <c r="BFP9" s="1071">
        <v>6514</v>
      </c>
      <c r="BFQ9" s="1071">
        <v>5112</v>
      </c>
      <c r="BFR9" s="1071">
        <v>5802</v>
      </c>
      <c r="BFS9" s="1071">
        <v>6354</v>
      </c>
      <c r="BFT9" s="1071">
        <v>6194</v>
      </c>
      <c r="BFU9" s="1071">
        <v>6818</v>
      </c>
      <c r="BFV9" s="1071">
        <v>7121</v>
      </c>
      <c r="BFW9" s="1071">
        <v>5967</v>
      </c>
      <c r="BFX9" s="1071">
        <v>7370</v>
      </c>
      <c r="BFY9" s="1071">
        <v>5747</v>
      </c>
      <c r="BFZ9" s="1071">
        <v>7342</v>
      </c>
      <c r="BGA9" s="1071">
        <v>6160</v>
      </c>
      <c r="BGB9" s="1071">
        <v>6160</v>
      </c>
      <c r="BGC9" s="1071">
        <v>7370</v>
      </c>
      <c r="BGD9" s="1071">
        <v>7508</v>
      </c>
      <c r="BGE9" s="1071">
        <v>5912</v>
      </c>
      <c r="BGF9" s="1071">
        <v>7700</v>
      </c>
      <c r="BGG9" s="1071">
        <v>5939</v>
      </c>
      <c r="BGH9" s="1071">
        <v>4593</v>
      </c>
      <c r="BGI9" s="1071">
        <v>4620</v>
      </c>
      <c r="BGJ9" s="1071">
        <v>7228</v>
      </c>
      <c r="BGK9" s="1071">
        <v>4422</v>
      </c>
      <c r="BGL9" s="1071">
        <v>4313</v>
      </c>
      <c r="BGM9" s="1154"/>
      <c r="BGN9" s="1154"/>
      <c r="BGO9" s="1154"/>
      <c r="BGP9" s="1154"/>
      <c r="BGQ9" s="1154"/>
      <c r="BGR9" s="1154"/>
      <c r="BGS9" s="1154"/>
      <c r="BGT9" s="1154"/>
      <c r="BGU9" s="1154"/>
      <c r="BGV9" s="1154"/>
      <c r="BGW9" s="1154"/>
      <c r="BGX9" s="1154"/>
      <c r="BGY9" s="1154"/>
      <c r="BGZ9" s="1154"/>
      <c r="BHA9" s="1154"/>
      <c r="BHB9" s="1154"/>
      <c r="BHC9" s="1154"/>
      <c r="BHD9" s="1154"/>
      <c r="BHE9" s="1154"/>
      <c r="BHF9" s="1154"/>
      <c r="BHG9" s="1154"/>
      <c r="BHH9" s="1154"/>
      <c r="BHI9" s="1154"/>
      <c r="BHJ9" s="1154"/>
      <c r="BHK9" s="1154"/>
      <c r="BHL9" s="1154"/>
      <c r="BHM9" s="1154"/>
      <c r="BHN9" s="1154"/>
      <c r="BHO9" s="1154"/>
      <c r="BHP9" s="1154"/>
      <c r="BHQ9" s="1154"/>
      <c r="BHR9" s="1154"/>
      <c r="BHS9" s="1154"/>
      <c r="BHT9" s="1154"/>
      <c r="BHU9" s="1154"/>
    </row>
    <row r="10" spans="1:1615" ht="50.25" customHeight="1" x14ac:dyDescent="0.2">
      <c r="A10" s="10"/>
      <c r="B10" s="10"/>
      <c r="C10" s="10"/>
      <c r="D10" s="10"/>
      <c r="E10" s="1144"/>
      <c r="F10" s="1144"/>
      <c r="G10" s="1144"/>
      <c r="H10" s="1137">
        <f>H9*1.1</f>
        <v>1679.26</v>
      </c>
      <c r="I10" s="1072">
        <f>I9*1.1</f>
        <v>3202.1000000000004</v>
      </c>
      <c r="J10" s="1072">
        <f t="shared" ref="J10:BU10" si="128">J9*1.1</f>
        <v>2155.1200000000003</v>
      </c>
      <c r="K10" s="1072">
        <f t="shared" si="128"/>
        <v>1726.8900000000003</v>
      </c>
      <c r="L10" s="1072">
        <f t="shared" si="128"/>
        <v>3242.8</v>
      </c>
      <c r="M10" s="1072">
        <f t="shared" si="128"/>
        <v>1692.9</v>
      </c>
      <c r="N10" s="1072">
        <f t="shared" si="128"/>
        <v>2447.5</v>
      </c>
      <c r="O10" s="1072">
        <f t="shared" si="128"/>
        <v>1556.5000000000002</v>
      </c>
      <c r="P10" s="1072">
        <f t="shared" si="128"/>
        <v>1463.0000000000002</v>
      </c>
      <c r="Q10" s="1072">
        <f t="shared" si="128"/>
        <v>1211.1000000000001</v>
      </c>
      <c r="R10" s="1072">
        <f t="shared" si="128"/>
        <v>2434.3000000000002</v>
      </c>
      <c r="S10" s="1072">
        <f t="shared" si="128"/>
        <v>1822.7</v>
      </c>
      <c r="T10" s="1072">
        <f t="shared" si="128"/>
        <v>2393.6000000000004</v>
      </c>
      <c r="U10" s="1072">
        <f t="shared" si="128"/>
        <v>3556.3</v>
      </c>
      <c r="V10" s="1072">
        <f t="shared" si="128"/>
        <v>1047.2</v>
      </c>
      <c r="W10" s="1072">
        <f t="shared" si="128"/>
        <v>1959.1000000000001</v>
      </c>
      <c r="X10" s="1072">
        <f t="shared" si="128"/>
        <v>2264.9</v>
      </c>
      <c r="Y10" s="1072">
        <f t="shared" si="128"/>
        <v>2665.3</v>
      </c>
      <c r="Z10" s="1072">
        <f t="shared" si="128"/>
        <v>1284.8000000000002</v>
      </c>
      <c r="AA10" s="1072">
        <f t="shared" si="128"/>
        <v>3338.5000000000005</v>
      </c>
      <c r="AB10" s="1072">
        <f t="shared" si="128"/>
        <v>2536.6000000000004</v>
      </c>
      <c r="AC10" s="1072">
        <f t="shared" si="128"/>
        <v>2312.2000000000003</v>
      </c>
      <c r="AD10" s="1072">
        <f t="shared" si="128"/>
        <v>762.30000000000007</v>
      </c>
      <c r="AE10" s="1072">
        <f t="shared" si="128"/>
        <v>891.00000000000011</v>
      </c>
      <c r="AF10" s="1072">
        <f t="shared" si="128"/>
        <v>625.90000000000009</v>
      </c>
      <c r="AG10" s="1072">
        <f t="shared" si="128"/>
        <v>1788.6000000000001</v>
      </c>
      <c r="AH10" s="1072">
        <f t="shared" si="128"/>
        <v>2671.9</v>
      </c>
      <c r="AI10" s="1072">
        <f t="shared" si="128"/>
        <v>2835.8</v>
      </c>
      <c r="AJ10" s="1072">
        <f t="shared" si="128"/>
        <v>2564.1000000000004</v>
      </c>
      <c r="AK10" s="1072">
        <f t="shared" si="128"/>
        <v>3114.1000000000004</v>
      </c>
      <c r="AL10" s="1072">
        <f t="shared" si="128"/>
        <v>3331.9</v>
      </c>
      <c r="AM10" s="1072">
        <f t="shared" si="128"/>
        <v>3460.6000000000004</v>
      </c>
      <c r="AN10" s="1072">
        <f t="shared" si="128"/>
        <v>3249.4</v>
      </c>
      <c r="AO10" s="1072">
        <f t="shared" si="128"/>
        <v>2427.7000000000003</v>
      </c>
      <c r="AP10" s="1072">
        <f t="shared" si="128"/>
        <v>843.48</v>
      </c>
      <c r="AQ10" s="1072">
        <f t="shared" si="128"/>
        <v>605.66000000000008</v>
      </c>
      <c r="AR10" s="1072">
        <f t="shared" si="128"/>
        <v>699.6</v>
      </c>
      <c r="AS10" s="1072">
        <f t="shared" si="128"/>
        <v>3087.7000000000003</v>
      </c>
      <c r="AT10" s="1072">
        <f t="shared" si="128"/>
        <v>3026.1000000000004</v>
      </c>
      <c r="AU10" s="1072">
        <f t="shared" si="128"/>
        <v>2740.1000000000004</v>
      </c>
      <c r="AV10" s="1072">
        <f t="shared" si="128"/>
        <v>2943.6000000000004</v>
      </c>
      <c r="AW10" s="1072">
        <f t="shared" si="128"/>
        <v>2699.4</v>
      </c>
      <c r="AX10" s="1072">
        <f t="shared" si="128"/>
        <v>3528.8</v>
      </c>
      <c r="AY10" s="1072">
        <f t="shared" si="128"/>
        <v>2808.3</v>
      </c>
      <c r="AZ10" s="1072">
        <f t="shared" si="128"/>
        <v>3876.4</v>
      </c>
      <c r="BA10" s="1072">
        <f t="shared" si="128"/>
        <v>2611.4</v>
      </c>
      <c r="BB10" s="1072">
        <f t="shared" si="128"/>
        <v>2006.4</v>
      </c>
      <c r="BC10" s="1072">
        <f t="shared" si="128"/>
        <v>2692.8</v>
      </c>
      <c r="BD10" s="1072">
        <f t="shared" si="128"/>
        <v>2781.9</v>
      </c>
      <c r="BE10" s="1072">
        <f t="shared" si="128"/>
        <v>3562.9</v>
      </c>
      <c r="BF10" s="1072">
        <f t="shared" si="128"/>
        <v>2604.8000000000002</v>
      </c>
      <c r="BG10" s="1072">
        <f t="shared" si="128"/>
        <v>3474.9</v>
      </c>
      <c r="BH10" s="1072">
        <f t="shared" si="128"/>
        <v>3346.2000000000003</v>
      </c>
      <c r="BI10" s="1072">
        <f t="shared" si="128"/>
        <v>3597.0000000000005</v>
      </c>
      <c r="BJ10" s="1072">
        <f t="shared" si="128"/>
        <v>2358.4</v>
      </c>
      <c r="BK10" s="1072">
        <f t="shared" si="128"/>
        <v>4079.9000000000005</v>
      </c>
      <c r="BL10" s="1072">
        <f t="shared" si="128"/>
        <v>3740.0000000000005</v>
      </c>
      <c r="BM10" s="1072">
        <f t="shared" si="128"/>
        <v>3617.9</v>
      </c>
      <c r="BN10" s="1072">
        <f t="shared" si="128"/>
        <v>3413.3</v>
      </c>
      <c r="BO10" s="1072">
        <f t="shared" si="128"/>
        <v>2209.9</v>
      </c>
      <c r="BP10" s="1072">
        <f t="shared" si="128"/>
        <v>1856.8000000000002</v>
      </c>
      <c r="BQ10" s="1072">
        <f t="shared" si="128"/>
        <v>3115.2000000000003</v>
      </c>
      <c r="BR10" s="1072">
        <f t="shared" si="128"/>
        <v>2216.5</v>
      </c>
      <c r="BS10" s="1072">
        <f t="shared" si="128"/>
        <v>3386.9</v>
      </c>
      <c r="BT10" s="1072">
        <f t="shared" si="128"/>
        <v>3413.3</v>
      </c>
      <c r="BU10" s="1072">
        <f t="shared" si="128"/>
        <v>2128.5</v>
      </c>
      <c r="BV10" s="1072">
        <f t="shared" ref="BV10:EG10" si="129">BV9*1.1</f>
        <v>3502.4</v>
      </c>
      <c r="BW10" s="1072">
        <f t="shared" si="129"/>
        <v>3209.8</v>
      </c>
      <c r="BX10" s="1072">
        <f t="shared" si="129"/>
        <v>2468.4</v>
      </c>
      <c r="BY10" s="1072">
        <f t="shared" si="129"/>
        <v>2387</v>
      </c>
      <c r="BZ10" s="1072">
        <f t="shared" si="129"/>
        <v>5011.6000000000004</v>
      </c>
      <c r="CA10" s="1072">
        <f t="shared" si="129"/>
        <v>2637.8</v>
      </c>
      <c r="CB10" s="1072">
        <f t="shared" si="129"/>
        <v>1489.4</v>
      </c>
      <c r="CC10" s="1072">
        <f t="shared" si="129"/>
        <v>5031.4000000000005</v>
      </c>
      <c r="CD10" s="1072">
        <f t="shared" si="129"/>
        <v>3311.0000000000005</v>
      </c>
      <c r="CE10" s="1072">
        <f t="shared" si="129"/>
        <v>2930.4</v>
      </c>
      <c r="CF10" s="1072">
        <f t="shared" si="129"/>
        <v>2951.3</v>
      </c>
      <c r="CG10" s="1072">
        <f t="shared" si="129"/>
        <v>1353</v>
      </c>
      <c r="CH10" s="1072">
        <f t="shared" si="129"/>
        <v>4229.5</v>
      </c>
      <c r="CI10" s="1072">
        <f t="shared" si="129"/>
        <v>2971.1000000000004</v>
      </c>
      <c r="CJ10" s="1072">
        <f t="shared" si="129"/>
        <v>2761</v>
      </c>
      <c r="CK10" s="1072">
        <f t="shared" si="129"/>
        <v>2455.2000000000003</v>
      </c>
      <c r="CL10" s="1072">
        <f t="shared" si="129"/>
        <v>2468.4</v>
      </c>
      <c r="CM10" s="1072">
        <f t="shared" si="129"/>
        <v>2652.1000000000004</v>
      </c>
      <c r="CN10" s="1072">
        <f t="shared" si="129"/>
        <v>1687.4</v>
      </c>
      <c r="CO10" s="1072">
        <f t="shared" si="129"/>
        <v>1183.6000000000001</v>
      </c>
      <c r="CP10" s="1072">
        <f t="shared" si="129"/>
        <v>884.40000000000009</v>
      </c>
      <c r="CQ10" s="1072">
        <f t="shared" si="129"/>
        <v>1673.1000000000001</v>
      </c>
      <c r="CR10" s="1072">
        <f t="shared" si="129"/>
        <v>2637.8</v>
      </c>
      <c r="CS10" s="1072">
        <f t="shared" si="129"/>
        <v>2930.4</v>
      </c>
      <c r="CT10" s="1072">
        <f t="shared" si="129"/>
        <v>2828.1000000000004</v>
      </c>
      <c r="CU10" s="1072">
        <f t="shared" si="129"/>
        <v>2808.3</v>
      </c>
      <c r="CV10" s="1072">
        <f t="shared" si="129"/>
        <v>3018.4</v>
      </c>
      <c r="CW10" s="1072">
        <f t="shared" si="129"/>
        <v>3461.7000000000003</v>
      </c>
      <c r="CX10" s="1072">
        <f t="shared" si="129"/>
        <v>2597.1000000000004</v>
      </c>
      <c r="CY10" s="1072">
        <f t="shared" si="129"/>
        <v>2869.9</v>
      </c>
      <c r="CZ10" s="1072">
        <f t="shared" si="129"/>
        <v>4678.3</v>
      </c>
      <c r="DA10" s="1072">
        <f t="shared" si="129"/>
        <v>2509.1000000000004</v>
      </c>
      <c r="DB10" s="1072">
        <f t="shared" si="129"/>
        <v>4052.4000000000005</v>
      </c>
      <c r="DC10" s="1072">
        <f t="shared" si="129"/>
        <v>3964.4000000000005</v>
      </c>
      <c r="DD10" s="1072">
        <f t="shared" si="129"/>
        <v>2604.8000000000002</v>
      </c>
      <c r="DE10" s="1072">
        <f t="shared" si="129"/>
        <v>3400.1000000000004</v>
      </c>
      <c r="DF10" s="1072">
        <f t="shared" si="129"/>
        <v>3203.2000000000003</v>
      </c>
      <c r="DG10" s="1072">
        <f t="shared" si="129"/>
        <v>2094.4</v>
      </c>
      <c r="DH10" s="1072">
        <f t="shared" si="129"/>
        <v>2975.5000000000005</v>
      </c>
      <c r="DI10" s="1072">
        <f t="shared" si="129"/>
        <v>3740.0000000000005</v>
      </c>
      <c r="DJ10" s="1072">
        <f t="shared" si="129"/>
        <v>2447.5</v>
      </c>
      <c r="DK10" s="1072">
        <f t="shared" si="129"/>
        <v>2761</v>
      </c>
      <c r="DL10" s="1072">
        <f t="shared" si="129"/>
        <v>2468.4</v>
      </c>
      <c r="DM10" s="1072">
        <f t="shared" si="129"/>
        <v>1217.7</v>
      </c>
      <c r="DN10" s="1072">
        <f t="shared" si="129"/>
        <v>1115.4000000000001</v>
      </c>
      <c r="DO10" s="1072">
        <f t="shared" si="129"/>
        <v>3384.7000000000003</v>
      </c>
      <c r="DP10" s="1072">
        <f t="shared" si="129"/>
        <v>4813.6000000000004</v>
      </c>
      <c r="DQ10" s="1072">
        <f t="shared" si="129"/>
        <v>3507.9</v>
      </c>
      <c r="DR10" s="1072">
        <f t="shared" si="129"/>
        <v>2107.6000000000004</v>
      </c>
      <c r="DS10" s="1072">
        <f t="shared" si="129"/>
        <v>4214.1000000000004</v>
      </c>
      <c r="DT10" s="1072">
        <f t="shared" si="129"/>
        <v>3929.2000000000003</v>
      </c>
      <c r="DU10" s="1072">
        <f t="shared" si="129"/>
        <v>3916.0000000000005</v>
      </c>
      <c r="DV10" s="1072">
        <f t="shared" si="129"/>
        <v>4684.9000000000005</v>
      </c>
      <c r="DW10" s="1072">
        <f t="shared" si="129"/>
        <v>2883.1000000000004</v>
      </c>
      <c r="DX10" s="1072">
        <f t="shared" si="129"/>
        <v>5772.8</v>
      </c>
      <c r="DY10" s="1072">
        <f t="shared" si="129"/>
        <v>7934.3000000000011</v>
      </c>
      <c r="DZ10" s="1072">
        <f t="shared" si="129"/>
        <v>5860.8</v>
      </c>
      <c r="EA10" s="1072">
        <f t="shared" si="129"/>
        <v>6717.7000000000007</v>
      </c>
      <c r="EB10" s="1072">
        <f t="shared" si="129"/>
        <v>5030.3</v>
      </c>
      <c r="EC10" s="1072">
        <f t="shared" si="129"/>
        <v>7621.9000000000005</v>
      </c>
      <c r="ED10" s="1072">
        <f t="shared" si="129"/>
        <v>4786.1000000000004</v>
      </c>
      <c r="EE10" s="1072">
        <f t="shared" si="129"/>
        <v>4481.4000000000005</v>
      </c>
      <c r="EF10" s="1072">
        <f t="shared" si="129"/>
        <v>7312.8</v>
      </c>
      <c r="EG10" s="1072">
        <f t="shared" si="129"/>
        <v>7219.3</v>
      </c>
      <c r="EH10" s="1072">
        <f t="shared" ref="EH10:GS10" si="130">EH9*1.1</f>
        <v>6948.7000000000007</v>
      </c>
      <c r="EI10" s="1072">
        <f t="shared" si="130"/>
        <v>7015.8</v>
      </c>
      <c r="EJ10" s="1072">
        <f t="shared" si="130"/>
        <v>5711.2000000000007</v>
      </c>
      <c r="EK10" s="1072">
        <f t="shared" si="130"/>
        <v>5628.7000000000007</v>
      </c>
      <c r="EL10" s="1072">
        <f t="shared" si="130"/>
        <v>4970.9000000000005</v>
      </c>
      <c r="EM10" s="1072">
        <f t="shared" si="130"/>
        <v>5582.5</v>
      </c>
      <c r="EN10" s="1072">
        <f t="shared" si="130"/>
        <v>5893.8</v>
      </c>
      <c r="EO10" s="1072">
        <f t="shared" si="130"/>
        <v>5711.2000000000007</v>
      </c>
      <c r="EP10" s="1072">
        <f t="shared" si="130"/>
        <v>4732.2000000000007</v>
      </c>
      <c r="EQ10" s="1072">
        <f t="shared" si="130"/>
        <v>3984.2000000000003</v>
      </c>
      <c r="ER10" s="1072">
        <f t="shared" si="130"/>
        <v>5948.8</v>
      </c>
      <c r="ES10" s="1072">
        <f t="shared" si="130"/>
        <v>6751.8</v>
      </c>
      <c r="ET10" s="1072">
        <f t="shared" si="130"/>
        <v>7287.5000000000009</v>
      </c>
      <c r="EU10" s="1072">
        <f t="shared" si="130"/>
        <v>9021.1</v>
      </c>
      <c r="EV10" s="1072">
        <f t="shared" si="130"/>
        <v>7056.5000000000009</v>
      </c>
      <c r="EW10" s="1072">
        <f t="shared" si="130"/>
        <v>7287.5000000000009</v>
      </c>
      <c r="EX10" s="1072">
        <f t="shared" si="130"/>
        <v>8457.9000000000015</v>
      </c>
      <c r="EY10" s="1072">
        <f t="shared" si="130"/>
        <v>6948.7000000000007</v>
      </c>
      <c r="EZ10" s="1072">
        <f t="shared" si="130"/>
        <v>8386.4000000000015</v>
      </c>
      <c r="FA10" s="1072">
        <f t="shared" si="130"/>
        <v>6443.8</v>
      </c>
      <c r="FB10" s="1072">
        <f t="shared" si="130"/>
        <v>8509.6</v>
      </c>
      <c r="FC10" s="1072">
        <f t="shared" si="130"/>
        <v>5509.9000000000005</v>
      </c>
      <c r="FD10" s="1072">
        <f t="shared" si="130"/>
        <v>7219.3</v>
      </c>
      <c r="FE10" s="1072">
        <f t="shared" si="130"/>
        <v>5208.5</v>
      </c>
      <c r="FF10" s="1072">
        <f t="shared" si="130"/>
        <v>4526.5</v>
      </c>
      <c r="FG10" s="1072">
        <f t="shared" si="130"/>
        <v>4158</v>
      </c>
      <c r="FH10" s="1072">
        <f t="shared" si="130"/>
        <v>3746.6000000000004</v>
      </c>
      <c r="FI10" s="1072">
        <f t="shared" si="130"/>
        <v>4459.4000000000005</v>
      </c>
      <c r="FJ10" s="1072">
        <f t="shared" si="130"/>
        <v>3086.6000000000004</v>
      </c>
      <c r="FK10" s="1072">
        <f t="shared" si="130"/>
        <v>4340.6000000000004</v>
      </c>
      <c r="FL10" s="1072">
        <f t="shared" si="130"/>
        <v>2889.7000000000003</v>
      </c>
      <c r="FM10" s="1072">
        <f t="shared" si="130"/>
        <v>4549.6000000000004</v>
      </c>
      <c r="FN10" s="1072">
        <f t="shared" si="130"/>
        <v>4513.3</v>
      </c>
      <c r="FO10" s="1072">
        <f t="shared" si="130"/>
        <v>3172.4</v>
      </c>
      <c r="FP10" s="1072">
        <f t="shared" si="130"/>
        <v>4746.5</v>
      </c>
      <c r="FQ10" s="1072">
        <f t="shared" si="130"/>
        <v>4709.1000000000004</v>
      </c>
      <c r="FR10" s="1072">
        <f t="shared" si="130"/>
        <v>3141.6000000000004</v>
      </c>
      <c r="FS10" s="1072">
        <f t="shared" si="130"/>
        <v>4470.4000000000005</v>
      </c>
      <c r="FT10" s="1072">
        <f t="shared" si="130"/>
        <v>3855.5000000000005</v>
      </c>
      <c r="FU10" s="1072">
        <f t="shared" si="130"/>
        <v>2718.1000000000004</v>
      </c>
      <c r="FV10" s="1072">
        <f t="shared" si="130"/>
        <v>4838.9000000000005</v>
      </c>
      <c r="FW10" s="1072">
        <f t="shared" si="130"/>
        <v>4636.5</v>
      </c>
      <c r="FX10" s="1072">
        <f t="shared" si="130"/>
        <v>4648.6000000000004</v>
      </c>
      <c r="FY10" s="1072">
        <f t="shared" si="130"/>
        <v>4950</v>
      </c>
      <c r="FZ10" s="1072">
        <f t="shared" si="130"/>
        <v>4808.1000000000004</v>
      </c>
      <c r="GA10" s="1072">
        <f t="shared" si="130"/>
        <v>4961</v>
      </c>
      <c r="GB10" s="1072">
        <f t="shared" si="130"/>
        <v>4954.4000000000005</v>
      </c>
      <c r="GC10" s="1072">
        <f t="shared" si="130"/>
        <v>5995.0000000000009</v>
      </c>
      <c r="GD10" s="1072">
        <f t="shared" si="130"/>
        <v>5804.7000000000007</v>
      </c>
      <c r="GE10" s="1072">
        <f t="shared" si="130"/>
        <v>8100.4000000000005</v>
      </c>
      <c r="GF10" s="1072">
        <f t="shared" si="130"/>
        <v>6710.0000000000009</v>
      </c>
      <c r="GG10" s="1072">
        <f t="shared" si="130"/>
        <v>6527.4000000000005</v>
      </c>
      <c r="GH10" s="1072">
        <f t="shared" si="130"/>
        <v>7506.4000000000005</v>
      </c>
      <c r="GI10" s="1072">
        <f t="shared" si="130"/>
        <v>6023.6</v>
      </c>
      <c r="GJ10" s="1072">
        <f t="shared" si="130"/>
        <v>6418.5000000000009</v>
      </c>
      <c r="GK10" s="1072">
        <f t="shared" si="130"/>
        <v>7863.9000000000005</v>
      </c>
      <c r="GL10" s="1072">
        <f t="shared" si="130"/>
        <v>5478</v>
      </c>
      <c r="GM10" s="1072">
        <f t="shared" si="130"/>
        <v>5350.4000000000005</v>
      </c>
      <c r="GN10" s="1072">
        <f t="shared" si="130"/>
        <v>5654.0000000000009</v>
      </c>
      <c r="GO10" s="1072">
        <f t="shared" si="130"/>
        <v>5883.9000000000005</v>
      </c>
      <c r="GP10" s="1072">
        <f t="shared" si="130"/>
        <v>5562.7000000000007</v>
      </c>
      <c r="GQ10" s="1072">
        <f t="shared" si="130"/>
        <v>5574.8</v>
      </c>
      <c r="GR10" s="1072">
        <f t="shared" si="130"/>
        <v>5381.2000000000007</v>
      </c>
      <c r="GS10" s="1072">
        <f t="shared" si="130"/>
        <v>5597.9000000000005</v>
      </c>
      <c r="GT10" s="1072">
        <f t="shared" ref="GT10:JE10" si="131">GT9*1.1</f>
        <v>5350.4000000000005</v>
      </c>
      <c r="GU10" s="1072">
        <f t="shared" si="131"/>
        <v>4337.3</v>
      </c>
      <c r="GV10" s="1072">
        <f t="shared" si="131"/>
        <v>4227.3</v>
      </c>
      <c r="GW10" s="1072">
        <f t="shared" si="131"/>
        <v>3911.6000000000004</v>
      </c>
      <c r="GX10" s="1072">
        <f t="shared" si="131"/>
        <v>4166.8</v>
      </c>
      <c r="GY10" s="1072">
        <f t="shared" si="131"/>
        <v>3645.4</v>
      </c>
      <c r="GZ10" s="1072">
        <f t="shared" si="131"/>
        <v>4118.4000000000005</v>
      </c>
      <c r="HA10" s="1072">
        <f t="shared" si="131"/>
        <v>4149.2000000000007</v>
      </c>
      <c r="HB10" s="1072">
        <f t="shared" si="131"/>
        <v>4154.7000000000007</v>
      </c>
      <c r="HC10" s="1072">
        <f t="shared" si="131"/>
        <v>4246</v>
      </c>
      <c r="HD10" s="1072">
        <f t="shared" si="131"/>
        <v>4197.6000000000004</v>
      </c>
      <c r="HE10" s="1072">
        <f t="shared" si="131"/>
        <v>4166.8</v>
      </c>
      <c r="HF10" s="1072">
        <f t="shared" si="131"/>
        <v>4489.1000000000004</v>
      </c>
      <c r="HG10" s="1072">
        <f t="shared" si="131"/>
        <v>4439.6000000000004</v>
      </c>
      <c r="HH10" s="1072">
        <f t="shared" si="131"/>
        <v>4361.5</v>
      </c>
      <c r="HI10" s="1072">
        <f t="shared" si="131"/>
        <v>4665.1000000000004</v>
      </c>
      <c r="HJ10" s="1072">
        <f t="shared" si="131"/>
        <v>4634.3</v>
      </c>
      <c r="HK10" s="1072">
        <f t="shared" si="131"/>
        <v>4422</v>
      </c>
      <c r="HL10" s="1072">
        <f t="shared" si="131"/>
        <v>4688.2000000000007</v>
      </c>
      <c r="HM10" s="1072">
        <f t="shared" si="131"/>
        <v>4748.7000000000007</v>
      </c>
      <c r="HN10" s="1072">
        <f t="shared" si="131"/>
        <v>4694.8</v>
      </c>
      <c r="HO10" s="1072">
        <f t="shared" si="131"/>
        <v>4792.7000000000007</v>
      </c>
      <c r="HP10" s="1072">
        <f t="shared" si="131"/>
        <v>4713.5</v>
      </c>
      <c r="HQ10" s="1072">
        <f t="shared" si="131"/>
        <v>4737.7000000000007</v>
      </c>
      <c r="HR10" s="1072">
        <f t="shared" si="131"/>
        <v>4349.4000000000005</v>
      </c>
      <c r="HS10" s="1072">
        <f t="shared" si="131"/>
        <v>4275.7000000000007</v>
      </c>
      <c r="HT10" s="1072">
        <f t="shared" si="131"/>
        <v>4301</v>
      </c>
      <c r="HU10" s="1072">
        <f t="shared" si="131"/>
        <v>4282.3</v>
      </c>
      <c r="HV10" s="1072">
        <f t="shared" si="131"/>
        <v>4150.3</v>
      </c>
      <c r="HW10" s="1072">
        <f t="shared" si="131"/>
        <v>4209.7000000000007</v>
      </c>
      <c r="HX10" s="1072">
        <f t="shared" si="131"/>
        <v>4330.7000000000007</v>
      </c>
      <c r="HY10" s="1072">
        <f t="shared" si="131"/>
        <v>4197.6000000000004</v>
      </c>
      <c r="HZ10" s="1072">
        <f t="shared" si="131"/>
        <v>4701.4000000000005</v>
      </c>
      <c r="IA10" s="1072">
        <f t="shared" si="131"/>
        <v>5241.5</v>
      </c>
      <c r="IB10" s="1072">
        <f t="shared" si="131"/>
        <v>5253.6</v>
      </c>
      <c r="IC10" s="1072">
        <f t="shared" si="131"/>
        <v>5398.8</v>
      </c>
      <c r="ID10" s="1072">
        <f t="shared" si="131"/>
        <v>5095.2000000000007</v>
      </c>
      <c r="IE10" s="1072">
        <f t="shared" si="131"/>
        <v>5138.1000000000004</v>
      </c>
      <c r="IF10" s="1072">
        <f t="shared" si="131"/>
        <v>5119.4000000000005</v>
      </c>
      <c r="IG10" s="1072">
        <f t="shared" si="131"/>
        <v>5071</v>
      </c>
      <c r="IH10" s="1072">
        <f t="shared" si="131"/>
        <v>4986.3</v>
      </c>
      <c r="II10" s="1072">
        <f t="shared" si="131"/>
        <v>4943.4000000000005</v>
      </c>
      <c r="IJ10" s="1072">
        <f t="shared" si="131"/>
        <v>4937.9000000000005</v>
      </c>
      <c r="IK10" s="1072">
        <f t="shared" si="131"/>
        <v>4998.4000000000005</v>
      </c>
      <c r="IL10" s="1072">
        <f t="shared" si="131"/>
        <v>5017.1000000000004</v>
      </c>
      <c r="IM10" s="1072">
        <f t="shared" si="131"/>
        <v>4349.4000000000005</v>
      </c>
      <c r="IN10" s="1072">
        <f t="shared" si="131"/>
        <v>5307.5</v>
      </c>
      <c r="IO10" s="1072">
        <f t="shared" si="131"/>
        <v>5581.4000000000005</v>
      </c>
      <c r="IP10" s="1072">
        <f t="shared" si="131"/>
        <v>4925.8</v>
      </c>
      <c r="IQ10" s="1072">
        <f t="shared" si="131"/>
        <v>4779.5</v>
      </c>
      <c r="IR10" s="1072">
        <f t="shared" si="131"/>
        <v>5029.2000000000007</v>
      </c>
      <c r="IS10" s="1072">
        <f t="shared" si="131"/>
        <v>5077.6000000000004</v>
      </c>
      <c r="IT10" s="1072">
        <f t="shared" si="131"/>
        <v>4907.1000000000004</v>
      </c>
      <c r="IU10" s="1072">
        <f t="shared" si="131"/>
        <v>5671.6</v>
      </c>
      <c r="IV10" s="1072">
        <f t="shared" si="131"/>
        <v>5046.8</v>
      </c>
      <c r="IW10" s="1072">
        <f t="shared" si="131"/>
        <v>5143.6000000000004</v>
      </c>
      <c r="IX10" s="1072">
        <f t="shared" si="131"/>
        <v>5393.3</v>
      </c>
      <c r="IY10" s="1072">
        <f t="shared" si="131"/>
        <v>5155.7000000000007</v>
      </c>
      <c r="IZ10" s="1072">
        <f t="shared" si="131"/>
        <v>5128.2000000000007</v>
      </c>
      <c r="JA10" s="1072">
        <f t="shared" si="131"/>
        <v>5077.6000000000004</v>
      </c>
      <c r="JB10" s="1072">
        <f t="shared" si="131"/>
        <v>4925.8</v>
      </c>
      <c r="JC10" s="1072">
        <f t="shared" si="131"/>
        <v>4834.5</v>
      </c>
      <c r="JD10" s="1072">
        <f t="shared" si="131"/>
        <v>4986.3</v>
      </c>
      <c r="JE10" s="1072">
        <f t="shared" si="131"/>
        <v>4925.8</v>
      </c>
      <c r="JF10" s="1072">
        <f t="shared" ref="JF10:LQ10" si="132">JF9*1.1</f>
        <v>5065.5</v>
      </c>
      <c r="JG10" s="1072">
        <f t="shared" si="132"/>
        <v>5429.6</v>
      </c>
      <c r="JH10" s="1072">
        <f t="shared" si="132"/>
        <v>5866.3</v>
      </c>
      <c r="JI10" s="1072">
        <f t="shared" si="132"/>
        <v>5762.9000000000005</v>
      </c>
      <c r="JJ10" s="1072">
        <f t="shared" si="132"/>
        <v>6018.1</v>
      </c>
      <c r="JK10" s="1072">
        <f t="shared" si="132"/>
        <v>6078.6</v>
      </c>
      <c r="JL10" s="1072">
        <f t="shared" si="132"/>
        <v>6066.5000000000009</v>
      </c>
      <c r="JM10" s="1072">
        <f t="shared" si="132"/>
        <v>6109.4000000000005</v>
      </c>
      <c r="JN10" s="1072">
        <f t="shared" si="132"/>
        <v>7596.6</v>
      </c>
      <c r="JO10" s="1072">
        <f t="shared" si="132"/>
        <v>7439.3</v>
      </c>
      <c r="JP10" s="1072">
        <f t="shared" si="132"/>
        <v>5890.5000000000009</v>
      </c>
      <c r="JQ10" s="1072">
        <f t="shared" si="132"/>
        <v>7372.2000000000007</v>
      </c>
      <c r="JR10" s="1072">
        <f t="shared" si="132"/>
        <v>5896.0000000000009</v>
      </c>
      <c r="JS10" s="1072">
        <f t="shared" si="132"/>
        <v>7675.8</v>
      </c>
      <c r="JT10" s="1072">
        <f t="shared" si="132"/>
        <v>6157.8</v>
      </c>
      <c r="JU10" s="1072">
        <f t="shared" si="132"/>
        <v>7372.2000000000007</v>
      </c>
      <c r="JV10" s="1072">
        <f t="shared" si="132"/>
        <v>7620.8</v>
      </c>
      <c r="JW10" s="1072">
        <f t="shared" si="132"/>
        <v>5926.8</v>
      </c>
      <c r="JX10" s="1072">
        <f t="shared" si="132"/>
        <v>6996.0000000000009</v>
      </c>
      <c r="JY10" s="1072">
        <f t="shared" si="132"/>
        <v>5805.8</v>
      </c>
      <c r="JZ10" s="1072">
        <f t="shared" si="132"/>
        <v>6959.7000000000007</v>
      </c>
      <c r="KA10" s="1072">
        <f t="shared" si="132"/>
        <v>7256.7000000000007</v>
      </c>
      <c r="KB10" s="1072">
        <f t="shared" si="132"/>
        <v>6078.6</v>
      </c>
      <c r="KC10" s="1072">
        <f t="shared" si="132"/>
        <v>7851.8</v>
      </c>
      <c r="KD10" s="1072">
        <f t="shared" si="132"/>
        <v>6425.1</v>
      </c>
      <c r="KE10" s="1072">
        <f t="shared" si="132"/>
        <v>7821.0000000000009</v>
      </c>
      <c r="KF10" s="1072">
        <f t="shared" si="132"/>
        <v>6078.6</v>
      </c>
      <c r="KG10" s="1072">
        <f t="shared" si="132"/>
        <v>7529.5000000000009</v>
      </c>
      <c r="KH10" s="1072">
        <f t="shared" si="132"/>
        <v>7075.2000000000007</v>
      </c>
      <c r="KI10" s="1072">
        <f t="shared" si="132"/>
        <v>5787.1</v>
      </c>
      <c r="KJ10" s="1072">
        <f t="shared" si="132"/>
        <v>6454.8</v>
      </c>
      <c r="KK10" s="1072">
        <f t="shared" si="132"/>
        <v>6399.8</v>
      </c>
      <c r="KL10" s="1072">
        <f t="shared" si="132"/>
        <v>6449.3</v>
      </c>
      <c r="KM10" s="1072">
        <f t="shared" si="132"/>
        <v>6309.6</v>
      </c>
      <c r="KN10" s="1072">
        <f t="shared" si="132"/>
        <v>6345.9000000000005</v>
      </c>
      <c r="KO10" s="1072">
        <f t="shared" si="132"/>
        <v>6285.4000000000005</v>
      </c>
      <c r="KP10" s="1072">
        <f t="shared" si="132"/>
        <v>6575.8</v>
      </c>
      <c r="KQ10" s="1072">
        <f t="shared" si="132"/>
        <v>7772.6</v>
      </c>
      <c r="KR10" s="1072">
        <f t="shared" si="132"/>
        <v>5854.2000000000007</v>
      </c>
      <c r="KS10" s="1072">
        <f t="shared" si="132"/>
        <v>6923.4000000000005</v>
      </c>
      <c r="KT10" s="1072">
        <f t="shared" si="132"/>
        <v>4955.5</v>
      </c>
      <c r="KU10" s="1072">
        <f t="shared" si="132"/>
        <v>4731.1000000000004</v>
      </c>
      <c r="KV10" s="1072">
        <f t="shared" si="132"/>
        <v>4246</v>
      </c>
      <c r="KW10" s="1072">
        <f t="shared" si="132"/>
        <v>3960.0000000000005</v>
      </c>
      <c r="KX10" s="1072">
        <f t="shared" si="132"/>
        <v>4130.5</v>
      </c>
      <c r="KY10" s="1072">
        <f t="shared" si="132"/>
        <v>5465.9000000000005</v>
      </c>
      <c r="KZ10" s="1072">
        <f t="shared" si="132"/>
        <v>7742.9000000000005</v>
      </c>
      <c r="LA10" s="1072">
        <f t="shared" si="132"/>
        <v>6345.9000000000005</v>
      </c>
      <c r="LB10" s="1072">
        <f t="shared" si="132"/>
        <v>7808.9000000000005</v>
      </c>
      <c r="LC10" s="1072">
        <f t="shared" si="132"/>
        <v>6344.8</v>
      </c>
      <c r="LD10" s="1072">
        <f t="shared" si="132"/>
        <v>7560.3</v>
      </c>
      <c r="LE10" s="1072">
        <f t="shared" si="132"/>
        <v>5058.9000000000005</v>
      </c>
      <c r="LF10" s="1072">
        <f t="shared" si="132"/>
        <v>5891.6</v>
      </c>
      <c r="LG10" s="1072">
        <f t="shared" si="132"/>
        <v>6716.6</v>
      </c>
      <c r="LH10" s="1072">
        <f t="shared" si="132"/>
        <v>6904.7000000000007</v>
      </c>
      <c r="LI10" s="1072">
        <f t="shared" si="132"/>
        <v>6649.5000000000009</v>
      </c>
      <c r="LJ10" s="1072">
        <f t="shared" si="132"/>
        <v>5174.4000000000005</v>
      </c>
      <c r="LK10" s="1072">
        <f t="shared" si="132"/>
        <v>6856.3</v>
      </c>
      <c r="LL10" s="1072">
        <f t="shared" si="132"/>
        <v>5155.7000000000007</v>
      </c>
      <c r="LM10" s="1072">
        <f t="shared" si="132"/>
        <v>4463.8</v>
      </c>
      <c r="LN10" s="1072">
        <f t="shared" si="132"/>
        <v>3711.4</v>
      </c>
      <c r="LO10" s="1072">
        <f t="shared" si="132"/>
        <v>6279.9000000000005</v>
      </c>
      <c r="LP10" s="1072">
        <f t="shared" si="132"/>
        <v>5926.8</v>
      </c>
      <c r="LQ10" s="1072">
        <f t="shared" si="132"/>
        <v>7178.6</v>
      </c>
      <c r="LR10" s="1072">
        <f t="shared" ref="LR10:OC10" si="133">LR9*1.1</f>
        <v>5222.8</v>
      </c>
      <c r="LS10" s="1072">
        <f t="shared" si="133"/>
        <v>7075.2000000000007</v>
      </c>
      <c r="LT10" s="1072">
        <f t="shared" si="133"/>
        <v>5799.2000000000007</v>
      </c>
      <c r="LU10" s="1072">
        <f t="shared" si="133"/>
        <v>7220.4000000000005</v>
      </c>
      <c r="LV10" s="1072">
        <f t="shared" si="133"/>
        <v>6127.0000000000009</v>
      </c>
      <c r="LW10" s="1072">
        <f t="shared" si="133"/>
        <v>7444.8</v>
      </c>
      <c r="LX10" s="1072">
        <f t="shared" si="133"/>
        <v>6006.0000000000009</v>
      </c>
      <c r="LY10" s="1072">
        <f t="shared" si="133"/>
        <v>7360.1</v>
      </c>
      <c r="LZ10" s="1072">
        <f t="shared" si="133"/>
        <v>5945.5000000000009</v>
      </c>
      <c r="MA10" s="1072">
        <f t="shared" si="133"/>
        <v>4505.6000000000004</v>
      </c>
      <c r="MB10" s="1072">
        <f t="shared" si="133"/>
        <v>7663.7000000000007</v>
      </c>
      <c r="MC10" s="1072">
        <f t="shared" si="133"/>
        <v>7591.1</v>
      </c>
      <c r="MD10" s="1072">
        <f t="shared" si="133"/>
        <v>6182.0000000000009</v>
      </c>
      <c r="ME10" s="1072">
        <f t="shared" si="133"/>
        <v>7675.8</v>
      </c>
      <c r="MF10" s="1072">
        <f t="shared" si="133"/>
        <v>5871.8</v>
      </c>
      <c r="MG10" s="1072">
        <f t="shared" si="133"/>
        <v>7244.6</v>
      </c>
      <c r="MH10" s="1072">
        <f t="shared" si="133"/>
        <v>6237.0000000000009</v>
      </c>
      <c r="MI10" s="1072">
        <f t="shared" si="133"/>
        <v>7408.5000000000009</v>
      </c>
      <c r="MJ10" s="1072">
        <f t="shared" si="133"/>
        <v>5969.7000000000007</v>
      </c>
      <c r="MK10" s="1072">
        <f t="shared" si="133"/>
        <v>5993.9000000000005</v>
      </c>
      <c r="ML10" s="1072">
        <f t="shared" si="133"/>
        <v>7348.0000000000009</v>
      </c>
      <c r="MM10" s="1072">
        <f t="shared" si="133"/>
        <v>5854.2000000000007</v>
      </c>
      <c r="MN10" s="1072">
        <f t="shared" si="133"/>
        <v>7305.1</v>
      </c>
      <c r="MO10" s="1072">
        <f t="shared" si="133"/>
        <v>7736.3</v>
      </c>
      <c r="MP10" s="1072">
        <f t="shared" si="133"/>
        <v>6223.8</v>
      </c>
      <c r="MQ10" s="1072">
        <f t="shared" si="133"/>
        <v>7439.3</v>
      </c>
      <c r="MR10" s="1072">
        <f t="shared" si="133"/>
        <v>6139.1</v>
      </c>
      <c r="MS10" s="1072">
        <f t="shared" si="133"/>
        <v>7124.7000000000007</v>
      </c>
      <c r="MT10" s="1072">
        <f t="shared" si="133"/>
        <v>6169.9000000000005</v>
      </c>
      <c r="MU10" s="1072">
        <f t="shared" si="133"/>
        <v>7499.8</v>
      </c>
      <c r="MV10" s="1072">
        <f t="shared" si="133"/>
        <v>5914.7000000000007</v>
      </c>
      <c r="MW10" s="1072">
        <f t="shared" si="133"/>
        <v>7463.5000000000009</v>
      </c>
      <c r="MX10" s="1072">
        <f t="shared" si="133"/>
        <v>5623.2000000000007</v>
      </c>
      <c r="MY10" s="1072">
        <f t="shared" si="133"/>
        <v>7280.9000000000005</v>
      </c>
      <c r="MZ10" s="1072">
        <f t="shared" si="133"/>
        <v>5897.1</v>
      </c>
      <c r="NA10" s="1072">
        <f t="shared" si="133"/>
        <v>7784.7000000000007</v>
      </c>
      <c r="NB10" s="1072">
        <f t="shared" si="133"/>
        <v>6237.0000000000009</v>
      </c>
      <c r="NC10" s="1072">
        <f t="shared" si="133"/>
        <v>7063.1</v>
      </c>
      <c r="ND10" s="1072">
        <f t="shared" si="133"/>
        <v>6078.6</v>
      </c>
      <c r="NE10" s="1072">
        <f t="shared" si="133"/>
        <v>7669.2000000000007</v>
      </c>
      <c r="NF10" s="1072">
        <f t="shared" si="133"/>
        <v>6199.6</v>
      </c>
      <c r="NG10" s="1072">
        <f t="shared" si="133"/>
        <v>7554.8</v>
      </c>
      <c r="NH10" s="1072">
        <f t="shared" si="133"/>
        <v>6109.4000000000005</v>
      </c>
      <c r="NI10" s="1072">
        <f t="shared" si="133"/>
        <v>6892.6</v>
      </c>
      <c r="NJ10" s="1072">
        <f t="shared" si="133"/>
        <v>5805.8</v>
      </c>
      <c r="NK10" s="1072">
        <f t="shared" si="133"/>
        <v>7044.4000000000005</v>
      </c>
      <c r="NL10" s="1072">
        <f t="shared" si="133"/>
        <v>6169.9000000000005</v>
      </c>
      <c r="NM10" s="1072">
        <f t="shared" si="133"/>
        <v>7287.5000000000009</v>
      </c>
      <c r="NN10" s="1072">
        <f t="shared" si="133"/>
        <v>6169.9000000000005</v>
      </c>
      <c r="NO10" s="1072">
        <f t="shared" si="133"/>
        <v>6989.4000000000005</v>
      </c>
      <c r="NP10" s="1072">
        <f t="shared" si="133"/>
        <v>6261.2000000000007</v>
      </c>
      <c r="NQ10" s="1072">
        <f t="shared" si="133"/>
        <v>7135.7000000000007</v>
      </c>
      <c r="NR10" s="1072">
        <f t="shared" si="133"/>
        <v>6199.6</v>
      </c>
      <c r="NS10" s="1072">
        <f t="shared" si="133"/>
        <v>6473.5000000000009</v>
      </c>
      <c r="NT10" s="1072">
        <f t="shared" si="133"/>
        <v>5926.8</v>
      </c>
      <c r="NU10" s="1072">
        <f t="shared" si="133"/>
        <v>7032.3</v>
      </c>
      <c r="NV10" s="1072">
        <f t="shared" si="133"/>
        <v>7499.8</v>
      </c>
      <c r="NW10" s="1072">
        <f t="shared" si="133"/>
        <v>5417.5</v>
      </c>
      <c r="NX10" s="1072">
        <f t="shared" si="133"/>
        <v>6042.3</v>
      </c>
      <c r="NY10" s="1072">
        <f t="shared" si="133"/>
        <v>7348.0000000000009</v>
      </c>
      <c r="NZ10" s="1072">
        <f t="shared" si="133"/>
        <v>5666.1</v>
      </c>
      <c r="OA10" s="1072">
        <f t="shared" si="133"/>
        <v>7408.5000000000009</v>
      </c>
      <c r="OB10" s="1072">
        <f t="shared" si="133"/>
        <v>7700.0000000000009</v>
      </c>
      <c r="OC10" s="1072">
        <f t="shared" si="133"/>
        <v>5896.0000000000009</v>
      </c>
      <c r="OD10" s="1072">
        <f t="shared" ref="OD10:QO10" si="134">OD9*1.1</f>
        <v>5987.3</v>
      </c>
      <c r="OE10" s="1072">
        <f t="shared" si="134"/>
        <v>7591.1</v>
      </c>
      <c r="OF10" s="1072">
        <f t="shared" si="134"/>
        <v>7227.0000000000009</v>
      </c>
      <c r="OG10" s="1072">
        <f t="shared" si="134"/>
        <v>5914.7000000000007</v>
      </c>
      <c r="OH10" s="1072">
        <f t="shared" si="134"/>
        <v>5993.9000000000005</v>
      </c>
      <c r="OI10" s="1072">
        <f t="shared" si="134"/>
        <v>7335.9000000000005</v>
      </c>
      <c r="OJ10" s="1072">
        <f t="shared" si="134"/>
        <v>4013.9000000000005</v>
      </c>
      <c r="OK10" s="1072">
        <f t="shared" si="134"/>
        <v>1657.7</v>
      </c>
      <c r="OL10" s="1072">
        <f t="shared" si="134"/>
        <v>4578.2000000000007</v>
      </c>
      <c r="OM10" s="1072">
        <f t="shared" si="134"/>
        <v>4688.2000000000007</v>
      </c>
      <c r="ON10" s="1072">
        <f t="shared" si="134"/>
        <v>4512.2000000000007</v>
      </c>
      <c r="OO10" s="1072">
        <f t="shared" si="134"/>
        <v>4852.1000000000004</v>
      </c>
      <c r="OP10" s="1072">
        <f t="shared" si="134"/>
        <v>4942.3</v>
      </c>
      <c r="OQ10" s="1072">
        <f t="shared" si="134"/>
        <v>4772.9000000000005</v>
      </c>
      <c r="OR10" s="1072">
        <f t="shared" si="134"/>
        <v>4742.1000000000004</v>
      </c>
      <c r="OS10" s="1072">
        <f t="shared" si="134"/>
        <v>5052.3</v>
      </c>
      <c r="OT10" s="1072">
        <f t="shared" si="134"/>
        <v>4881.8</v>
      </c>
      <c r="OU10" s="1072">
        <f t="shared" si="134"/>
        <v>4869.7000000000007</v>
      </c>
      <c r="OV10" s="1072">
        <f t="shared" si="134"/>
        <v>6133.6</v>
      </c>
      <c r="OW10" s="1072">
        <f t="shared" si="134"/>
        <v>5926.8</v>
      </c>
      <c r="OX10" s="1072">
        <f t="shared" si="134"/>
        <v>8919.9000000000015</v>
      </c>
      <c r="OY10" s="1072">
        <f t="shared" si="134"/>
        <v>5471.4000000000005</v>
      </c>
      <c r="OZ10" s="1072">
        <f t="shared" si="134"/>
        <v>7900.2000000000007</v>
      </c>
      <c r="PA10" s="1072">
        <f t="shared" si="134"/>
        <v>7712.1</v>
      </c>
      <c r="PB10" s="1072">
        <f t="shared" si="134"/>
        <v>6157.8</v>
      </c>
      <c r="PC10" s="1072">
        <f t="shared" si="134"/>
        <v>7791.3</v>
      </c>
      <c r="PD10" s="1072">
        <f t="shared" si="134"/>
        <v>6290.9000000000005</v>
      </c>
      <c r="PE10" s="1072">
        <f t="shared" si="134"/>
        <v>7487.7000000000007</v>
      </c>
      <c r="PF10" s="1072">
        <f t="shared" si="134"/>
        <v>6078.6</v>
      </c>
      <c r="PG10" s="1072">
        <f t="shared" si="134"/>
        <v>5835.5000000000009</v>
      </c>
      <c r="PH10" s="1072">
        <f t="shared" si="134"/>
        <v>7955.2000000000007</v>
      </c>
      <c r="PI10" s="1072">
        <f t="shared" si="134"/>
        <v>7075.2000000000007</v>
      </c>
      <c r="PJ10" s="1072">
        <f t="shared" si="134"/>
        <v>5981.8</v>
      </c>
      <c r="PK10" s="1072">
        <f t="shared" si="134"/>
        <v>5757.4000000000005</v>
      </c>
      <c r="PL10" s="1072">
        <f t="shared" si="134"/>
        <v>7591.1</v>
      </c>
      <c r="PM10" s="1072">
        <f t="shared" si="134"/>
        <v>4517.7000000000007</v>
      </c>
      <c r="PN10" s="1072">
        <f t="shared" si="134"/>
        <v>8288.5</v>
      </c>
      <c r="PO10" s="1072">
        <f t="shared" si="134"/>
        <v>6503.2000000000007</v>
      </c>
      <c r="PP10" s="1072">
        <f t="shared" si="134"/>
        <v>8471.1</v>
      </c>
      <c r="PQ10" s="1072">
        <f t="shared" si="134"/>
        <v>6789.2000000000007</v>
      </c>
      <c r="PR10" s="1072">
        <f t="shared" si="134"/>
        <v>8549.2000000000007</v>
      </c>
      <c r="PS10" s="1072">
        <f t="shared" si="134"/>
        <v>6782.6</v>
      </c>
      <c r="PT10" s="1072">
        <f t="shared" si="134"/>
        <v>8312.7000000000007</v>
      </c>
      <c r="PU10" s="1072">
        <f t="shared" si="134"/>
        <v>6442.7000000000007</v>
      </c>
      <c r="PV10" s="1072">
        <f t="shared" si="134"/>
        <v>8409.5</v>
      </c>
      <c r="PW10" s="1072">
        <f t="shared" si="134"/>
        <v>6406.4000000000005</v>
      </c>
      <c r="PX10" s="1072">
        <f t="shared" si="134"/>
        <v>8015.7000000000007</v>
      </c>
      <c r="PY10" s="1072">
        <f t="shared" si="134"/>
        <v>8027.8000000000011</v>
      </c>
      <c r="PZ10" s="1072">
        <f t="shared" si="134"/>
        <v>6534.0000000000009</v>
      </c>
      <c r="QA10" s="1072">
        <f t="shared" si="134"/>
        <v>7591.1</v>
      </c>
      <c r="QB10" s="1072">
        <f t="shared" si="134"/>
        <v>6437.2000000000007</v>
      </c>
      <c r="QC10" s="1072">
        <f t="shared" si="134"/>
        <v>6235.9000000000005</v>
      </c>
      <c r="QD10" s="1072">
        <f t="shared" si="134"/>
        <v>8179.6</v>
      </c>
      <c r="QE10" s="1072">
        <f t="shared" si="134"/>
        <v>8076.2000000000007</v>
      </c>
      <c r="QF10" s="1072">
        <f t="shared" si="134"/>
        <v>6273.3</v>
      </c>
      <c r="QG10" s="1072">
        <f t="shared" si="134"/>
        <v>6594.5000000000009</v>
      </c>
      <c r="QH10" s="1072">
        <f t="shared" si="134"/>
        <v>4457.2000000000007</v>
      </c>
      <c r="QI10" s="1072">
        <f t="shared" si="134"/>
        <v>8107.0000000000009</v>
      </c>
      <c r="QJ10" s="1072">
        <f t="shared" si="134"/>
        <v>8319.3000000000011</v>
      </c>
      <c r="QK10" s="1072">
        <f t="shared" si="134"/>
        <v>6594.5000000000009</v>
      </c>
      <c r="QL10" s="1072">
        <f t="shared" si="134"/>
        <v>8312.7000000000007</v>
      </c>
      <c r="QM10" s="1072">
        <f t="shared" si="134"/>
        <v>6691.3</v>
      </c>
      <c r="QN10" s="1072">
        <f t="shared" si="134"/>
        <v>6546.1</v>
      </c>
      <c r="QO10" s="1072">
        <f t="shared" si="134"/>
        <v>6746.3</v>
      </c>
      <c r="QP10" s="1072">
        <f t="shared" ref="QP10:TA10" si="135">QP9*1.1</f>
        <v>7924.4000000000005</v>
      </c>
      <c r="QQ10" s="1072">
        <f t="shared" si="135"/>
        <v>6424.0000000000009</v>
      </c>
      <c r="QR10" s="1072">
        <f t="shared" si="135"/>
        <v>8131.2000000000007</v>
      </c>
      <c r="QS10" s="1072">
        <f t="shared" si="135"/>
        <v>6606.6</v>
      </c>
      <c r="QT10" s="1072">
        <f t="shared" si="135"/>
        <v>4536.4000000000005</v>
      </c>
      <c r="QU10" s="1072">
        <f t="shared" si="135"/>
        <v>7317.2000000000007</v>
      </c>
      <c r="QV10" s="1072">
        <f t="shared" si="135"/>
        <v>5963.1</v>
      </c>
      <c r="QW10" s="1072">
        <f t="shared" si="135"/>
        <v>7736.3</v>
      </c>
      <c r="QX10" s="1072">
        <f t="shared" si="135"/>
        <v>5762.9000000000005</v>
      </c>
      <c r="QY10" s="1072">
        <f t="shared" si="135"/>
        <v>6109.4000000000005</v>
      </c>
      <c r="QZ10" s="1072">
        <f t="shared" si="135"/>
        <v>7505.3</v>
      </c>
      <c r="RA10" s="1072">
        <f t="shared" si="135"/>
        <v>6618.7000000000007</v>
      </c>
      <c r="RB10" s="1072">
        <f t="shared" si="135"/>
        <v>7384.3</v>
      </c>
      <c r="RC10" s="1072">
        <f t="shared" si="135"/>
        <v>6351.4000000000005</v>
      </c>
      <c r="RD10" s="1072">
        <f t="shared" si="135"/>
        <v>7967.3000000000011</v>
      </c>
      <c r="RE10" s="1072">
        <f t="shared" si="135"/>
        <v>6333.8</v>
      </c>
      <c r="RF10" s="1072">
        <f t="shared" si="135"/>
        <v>8119.1</v>
      </c>
      <c r="RG10" s="1072">
        <f t="shared" si="135"/>
        <v>6485.6</v>
      </c>
      <c r="RH10" s="1072">
        <f t="shared" si="135"/>
        <v>8385.3000000000011</v>
      </c>
      <c r="RI10" s="1072">
        <f t="shared" si="135"/>
        <v>6534.0000000000009</v>
      </c>
      <c r="RJ10" s="1072">
        <f t="shared" si="135"/>
        <v>8124.6</v>
      </c>
      <c r="RK10" s="1072">
        <f t="shared" si="135"/>
        <v>6837.6</v>
      </c>
      <c r="RL10" s="1072">
        <f t="shared" si="135"/>
        <v>8124.6</v>
      </c>
      <c r="RM10" s="1072">
        <f t="shared" si="135"/>
        <v>6655.0000000000009</v>
      </c>
      <c r="RN10" s="1072">
        <f t="shared" si="135"/>
        <v>8057.5000000000009</v>
      </c>
      <c r="RO10" s="1072">
        <f t="shared" si="135"/>
        <v>6102.8</v>
      </c>
      <c r="RP10" s="1072">
        <f t="shared" si="135"/>
        <v>7924.4000000000005</v>
      </c>
      <c r="RQ10" s="1072">
        <f t="shared" si="135"/>
        <v>6248.0000000000009</v>
      </c>
      <c r="RR10" s="1072">
        <f t="shared" si="135"/>
        <v>6527.4000000000005</v>
      </c>
      <c r="RS10" s="1072">
        <f t="shared" si="135"/>
        <v>7845.2000000000007</v>
      </c>
      <c r="RT10" s="1072">
        <f t="shared" si="135"/>
        <v>8064.1</v>
      </c>
      <c r="RU10" s="1072">
        <f t="shared" si="135"/>
        <v>6194.1</v>
      </c>
      <c r="RV10" s="1072">
        <f t="shared" si="135"/>
        <v>7833.1</v>
      </c>
      <c r="RW10" s="1072">
        <f t="shared" si="135"/>
        <v>6411.9000000000005</v>
      </c>
      <c r="RX10" s="1072">
        <f t="shared" si="135"/>
        <v>6230.4000000000005</v>
      </c>
      <c r="RY10" s="1072">
        <f t="shared" si="135"/>
        <v>8136.7000000000007</v>
      </c>
      <c r="RZ10" s="1072">
        <f t="shared" si="135"/>
        <v>6290.9000000000005</v>
      </c>
      <c r="SA10" s="1072">
        <f t="shared" si="135"/>
        <v>7936.5000000000009</v>
      </c>
      <c r="SB10" s="1072">
        <f t="shared" si="135"/>
        <v>6370.1</v>
      </c>
      <c r="SC10" s="1072">
        <f t="shared" si="135"/>
        <v>7876.0000000000009</v>
      </c>
      <c r="SD10" s="1072">
        <f t="shared" si="135"/>
        <v>7651.6</v>
      </c>
      <c r="SE10" s="1072">
        <f t="shared" si="135"/>
        <v>6218.3</v>
      </c>
      <c r="SF10" s="1072">
        <f t="shared" si="135"/>
        <v>8349</v>
      </c>
      <c r="SG10" s="1072">
        <f t="shared" si="135"/>
        <v>6466.9000000000005</v>
      </c>
      <c r="SH10" s="1072">
        <f t="shared" si="135"/>
        <v>6563.7000000000007</v>
      </c>
      <c r="SI10" s="1072">
        <f t="shared" si="135"/>
        <v>8233.5</v>
      </c>
      <c r="SJ10" s="1072">
        <f t="shared" si="135"/>
        <v>8107.0000000000009</v>
      </c>
      <c r="SK10" s="1072">
        <f t="shared" si="135"/>
        <v>6563.7000000000007</v>
      </c>
      <c r="SL10" s="1072">
        <f t="shared" si="135"/>
        <v>8148.8000000000011</v>
      </c>
      <c r="SM10" s="1072">
        <f t="shared" si="135"/>
        <v>6399.8</v>
      </c>
      <c r="SN10" s="1072">
        <f t="shared" si="135"/>
        <v>8064.1</v>
      </c>
      <c r="SO10" s="1072">
        <f t="shared" si="135"/>
        <v>6411.9000000000005</v>
      </c>
      <c r="SP10" s="1072">
        <f t="shared" si="135"/>
        <v>8015.7000000000007</v>
      </c>
      <c r="SQ10" s="1072">
        <f t="shared" si="135"/>
        <v>6321.7000000000007</v>
      </c>
      <c r="SR10" s="1072">
        <f t="shared" si="135"/>
        <v>8045.4000000000005</v>
      </c>
      <c r="SS10" s="1072">
        <f t="shared" si="135"/>
        <v>6491.1</v>
      </c>
      <c r="ST10" s="1072">
        <f t="shared" si="135"/>
        <v>8131.2000000000007</v>
      </c>
      <c r="SU10" s="1072">
        <f t="shared" si="135"/>
        <v>6333.8</v>
      </c>
      <c r="SV10" s="1072">
        <f t="shared" si="135"/>
        <v>8349</v>
      </c>
      <c r="SW10" s="1072">
        <f t="shared" si="135"/>
        <v>6563.7000000000007</v>
      </c>
      <c r="SX10" s="1072">
        <f t="shared" si="135"/>
        <v>8416.1</v>
      </c>
      <c r="SY10" s="1072">
        <f t="shared" si="135"/>
        <v>6321.7000000000007</v>
      </c>
      <c r="SZ10" s="1072">
        <f t="shared" si="135"/>
        <v>8228</v>
      </c>
      <c r="TA10" s="1072">
        <f t="shared" si="135"/>
        <v>6509.8</v>
      </c>
      <c r="TB10" s="1072">
        <f t="shared" ref="TB10:VM10" si="136">TB9*1.1</f>
        <v>8324.8000000000011</v>
      </c>
      <c r="TC10" s="1072">
        <f t="shared" si="136"/>
        <v>6406.4000000000005</v>
      </c>
      <c r="TD10" s="1072">
        <f t="shared" si="136"/>
        <v>8228</v>
      </c>
      <c r="TE10" s="1072">
        <f t="shared" si="136"/>
        <v>6503.2000000000007</v>
      </c>
      <c r="TF10" s="1072">
        <f t="shared" si="136"/>
        <v>8385.3000000000011</v>
      </c>
      <c r="TG10" s="1072">
        <f t="shared" si="136"/>
        <v>6594.5000000000009</v>
      </c>
      <c r="TH10" s="1072">
        <f t="shared" si="136"/>
        <v>8604.2000000000007</v>
      </c>
      <c r="TI10" s="1072">
        <f t="shared" si="136"/>
        <v>6625.3</v>
      </c>
      <c r="TJ10" s="1072">
        <f t="shared" si="136"/>
        <v>8719.7000000000007</v>
      </c>
      <c r="TK10" s="1072">
        <f t="shared" si="136"/>
        <v>6406.4000000000005</v>
      </c>
      <c r="TL10" s="1072">
        <f t="shared" si="136"/>
        <v>8295.1</v>
      </c>
      <c r="TM10" s="1072">
        <f t="shared" si="136"/>
        <v>6655.0000000000009</v>
      </c>
      <c r="TN10" s="1072">
        <f t="shared" si="136"/>
        <v>8288.5</v>
      </c>
      <c r="TO10" s="1072">
        <f t="shared" si="136"/>
        <v>6223.8</v>
      </c>
      <c r="TP10" s="1072">
        <f t="shared" si="136"/>
        <v>8258.8000000000011</v>
      </c>
      <c r="TQ10" s="1072">
        <f t="shared" si="136"/>
        <v>6563.7000000000007</v>
      </c>
      <c r="TR10" s="1072">
        <f t="shared" si="136"/>
        <v>5926.8</v>
      </c>
      <c r="TS10" s="1072">
        <f t="shared" si="136"/>
        <v>5016</v>
      </c>
      <c r="TT10" s="1072">
        <f t="shared" si="136"/>
        <v>5204.1000000000004</v>
      </c>
      <c r="TU10" s="1072">
        <f t="shared" si="136"/>
        <v>5021.5</v>
      </c>
      <c r="TV10" s="1072">
        <f t="shared" si="136"/>
        <v>5179.9000000000005</v>
      </c>
      <c r="TW10" s="1072">
        <f t="shared" si="136"/>
        <v>6023.6</v>
      </c>
      <c r="TX10" s="1072">
        <f t="shared" si="136"/>
        <v>8719.7000000000007</v>
      </c>
      <c r="TY10" s="1072">
        <f t="shared" si="136"/>
        <v>6994.9000000000005</v>
      </c>
      <c r="TZ10" s="1072">
        <f t="shared" si="136"/>
        <v>8288.5</v>
      </c>
      <c r="UA10" s="1072">
        <f t="shared" si="136"/>
        <v>6382.2000000000007</v>
      </c>
      <c r="UB10" s="1072">
        <f t="shared" si="136"/>
        <v>8409.5</v>
      </c>
      <c r="UC10" s="1072">
        <f t="shared" si="136"/>
        <v>6685.8</v>
      </c>
      <c r="UD10" s="1072">
        <f t="shared" si="136"/>
        <v>8597.6</v>
      </c>
      <c r="UE10" s="1072">
        <f t="shared" si="136"/>
        <v>6382.2000000000007</v>
      </c>
      <c r="UF10" s="1072">
        <f t="shared" si="136"/>
        <v>8228</v>
      </c>
      <c r="UG10" s="1072">
        <f t="shared" si="136"/>
        <v>4669.5</v>
      </c>
      <c r="UH10" s="1072">
        <f t="shared" si="136"/>
        <v>4918.1000000000004</v>
      </c>
      <c r="UI10" s="1072">
        <f t="shared" si="136"/>
        <v>4961</v>
      </c>
      <c r="UJ10" s="1072">
        <f t="shared" si="136"/>
        <v>5021.5</v>
      </c>
      <c r="UK10" s="1072">
        <f t="shared" si="136"/>
        <v>4961</v>
      </c>
      <c r="UL10" s="1072">
        <f t="shared" si="136"/>
        <v>6503.2000000000007</v>
      </c>
      <c r="UM10" s="1072">
        <f t="shared" si="136"/>
        <v>7663.7000000000007</v>
      </c>
      <c r="UN10" s="1072">
        <f t="shared" si="136"/>
        <v>8416.1</v>
      </c>
      <c r="UO10" s="1072">
        <f t="shared" si="136"/>
        <v>6387.7000000000007</v>
      </c>
      <c r="UP10" s="1072">
        <f t="shared" si="136"/>
        <v>6230.4000000000005</v>
      </c>
      <c r="UQ10" s="1072">
        <f t="shared" si="136"/>
        <v>7924.4000000000005</v>
      </c>
      <c r="UR10" s="1072">
        <f t="shared" si="136"/>
        <v>8379.8000000000011</v>
      </c>
      <c r="US10" s="1072">
        <f t="shared" si="136"/>
        <v>6782.6</v>
      </c>
      <c r="UT10" s="1072">
        <f t="shared" si="136"/>
        <v>7924.4000000000005</v>
      </c>
      <c r="UU10" s="1072">
        <f t="shared" si="136"/>
        <v>3115.2000000000003</v>
      </c>
      <c r="UV10" s="1072">
        <f t="shared" si="136"/>
        <v>4414.3</v>
      </c>
      <c r="UW10" s="1072">
        <f t="shared" si="136"/>
        <v>2659.8</v>
      </c>
      <c r="UX10" s="1072">
        <f t="shared" si="136"/>
        <v>2720.3</v>
      </c>
      <c r="UY10" s="1072">
        <f t="shared" si="136"/>
        <v>2538.8000000000002</v>
      </c>
      <c r="UZ10" s="1072">
        <f t="shared" si="136"/>
        <v>7469.0000000000009</v>
      </c>
      <c r="VA10" s="1072">
        <f t="shared" si="136"/>
        <v>6534.0000000000009</v>
      </c>
      <c r="VB10" s="1072">
        <f t="shared" si="136"/>
        <v>6442.7000000000007</v>
      </c>
      <c r="VC10" s="1072">
        <f t="shared" si="136"/>
        <v>7955.2000000000007</v>
      </c>
      <c r="VD10" s="1072">
        <f t="shared" si="136"/>
        <v>8355.6</v>
      </c>
      <c r="VE10" s="1072">
        <f t="shared" si="136"/>
        <v>6563.7000000000007</v>
      </c>
      <c r="VF10" s="1072">
        <f t="shared" si="136"/>
        <v>7931.0000000000009</v>
      </c>
      <c r="VG10" s="1072">
        <f t="shared" si="136"/>
        <v>6473.5000000000009</v>
      </c>
      <c r="VH10" s="1072">
        <f t="shared" si="136"/>
        <v>6655.0000000000009</v>
      </c>
      <c r="VI10" s="1072">
        <f t="shared" si="136"/>
        <v>8045.4000000000005</v>
      </c>
      <c r="VJ10" s="1072">
        <f t="shared" si="136"/>
        <v>6278.8</v>
      </c>
      <c r="VK10" s="1072">
        <f t="shared" si="136"/>
        <v>6582.4000000000005</v>
      </c>
      <c r="VL10" s="1072">
        <f t="shared" si="136"/>
        <v>8167.5000000000009</v>
      </c>
      <c r="VM10" s="1072">
        <f t="shared" si="136"/>
        <v>8107.0000000000009</v>
      </c>
      <c r="VN10" s="1072">
        <f t="shared" ref="VN10:XY10" si="137">VN9*1.1</f>
        <v>6442.7000000000007</v>
      </c>
      <c r="VO10" s="1072">
        <f t="shared" si="137"/>
        <v>8064.1</v>
      </c>
      <c r="VP10" s="1072">
        <f t="shared" si="137"/>
        <v>6442.7000000000007</v>
      </c>
      <c r="VQ10" s="1072">
        <f t="shared" si="137"/>
        <v>6399.8</v>
      </c>
      <c r="VR10" s="1072">
        <f t="shared" si="137"/>
        <v>8136.7000000000007</v>
      </c>
      <c r="VS10" s="1072">
        <f t="shared" si="137"/>
        <v>8027.8000000000011</v>
      </c>
      <c r="VT10" s="1072">
        <f t="shared" si="137"/>
        <v>6315.1</v>
      </c>
      <c r="VU10" s="1072">
        <f t="shared" si="137"/>
        <v>8124.6</v>
      </c>
      <c r="VV10" s="1072">
        <f t="shared" si="137"/>
        <v>6546.1</v>
      </c>
      <c r="VW10" s="1072">
        <f t="shared" si="137"/>
        <v>6290.9000000000005</v>
      </c>
      <c r="VX10" s="1072">
        <f t="shared" si="137"/>
        <v>6370.1</v>
      </c>
      <c r="VY10" s="1072">
        <f t="shared" si="137"/>
        <v>7955.2000000000007</v>
      </c>
      <c r="VZ10" s="1072">
        <f t="shared" si="137"/>
        <v>8076.2000000000007</v>
      </c>
      <c r="WA10" s="1072">
        <f t="shared" si="137"/>
        <v>6442.7000000000007</v>
      </c>
      <c r="WB10" s="1072">
        <f t="shared" si="137"/>
        <v>7833.1</v>
      </c>
      <c r="WC10" s="1072">
        <f t="shared" si="137"/>
        <v>6563.7000000000007</v>
      </c>
      <c r="WD10" s="1072">
        <f t="shared" si="137"/>
        <v>7984.9000000000005</v>
      </c>
      <c r="WE10" s="1072">
        <f t="shared" si="137"/>
        <v>6411.9000000000005</v>
      </c>
      <c r="WF10" s="1072">
        <f t="shared" si="137"/>
        <v>6503.2000000000007</v>
      </c>
      <c r="WG10" s="1072">
        <f t="shared" si="137"/>
        <v>8288.5</v>
      </c>
      <c r="WH10" s="1072">
        <f t="shared" si="137"/>
        <v>8179.6</v>
      </c>
      <c r="WI10" s="1072">
        <f t="shared" si="137"/>
        <v>6290.9000000000005</v>
      </c>
      <c r="WJ10" s="1072">
        <f t="shared" si="137"/>
        <v>6411.9000000000005</v>
      </c>
      <c r="WK10" s="1072">
        <f t="shared" si="137"/>
        <v>7893.6</v>
      </c>
      <c r="WL10" s="1072">
        <f t="shared" si="137"/>
        <v>8045.4000000000005</v>
      </c>
      <c r="WM10" s="1072">
        <f t="shared" si="137"/>
        <v>6546.1</v>
      </c>
      <c r="WN10" s="1072">
        <f t="shared" si="137"/>
        <v>7924.4000000000005</v>
      </c>
      <c r="WO10" s="1072">
        <f t="shared" si="137"/>
        <v>6382.2000000000007</v>
      </c>
      <c r="WP10" s="1072">
        <f t="shared" si="137"/>
        <v>8107.0000000000009</v>
      </c>
      <c r="WQ10" s="1072">
        <f t="shared" si="137"/>
        <v>6351.4000000000005</v>
      </c>
      <c r="WR10" s="1072">
        <f t="shared" si="137"/>
        <v>7984.9000000000005</v>
      </c>
      <c r="WS10" s="1072">
        <f t="shared" si="137"/>
        <v>6655.0000000000009</v>
      </c>
      <c r="WT10" s="1072">
        <f t="shared" si="137"/>
        <v>8385.3000000000011</v>
      </c>
      <c r="WU10" s="1072">
        <f t="shared" si="137"/>
        <v>6351.4000000000005</v>
      </c>
      <c r="WV10" s="1072">
        <f t="shared" si="137"/>
        <v>8045.4000000000005</v>
      </c>
      <c r="WW10" s="1072">
        <f t="shared" si="137"/>
        <v>6625.3</v>
      </c>
      <c r="WX10" s="1072">
        <f t="shared" si="137"/>
        <v>8119.1</v>
      </c>
      <c r="WY10" s="1072">
        <f t="shared" si="137"/>
        <v>6594.5000000000009</v>
      </c>
      <c r="WZ10" s="1072">
        <f t="shared" si="137"/>
        <v>8397.4000000000015</v>
      </c>
      <c r="XA10" s="1072">
        <f t="shared" si="137"/>
        <v>6442.7000000000007</v>
      </c>
      <c r="XB10" s="1072">
        <f t="shared" si="137"/>
        <v>7816.6</v>
      </c>
      <c r="XC10" s="1072">
        <f t="shared" si="137"/>
        <v>6261.2000000000007</v>
      </c>
      <c r="XD10" s="1072">
        <f t="shared" si="137"/>
        <v>7772.6</v>
      </c>
      <c r="XE10" s="1072">
        <f t="shared" si="137"/>
        <v>6230.4000000000005</v>
      </c>
      <c r="XF10" s="1072">
        <f t="shared" si="137"/>
        <v>7863.9000000000005</v>
      </c>
      <c r="XG10" s="1072">
        <f t="shared" si="137"/>
        <v>6563.7000000000007</v>
      </c>
      <c r="XH10" s="1072">
        <f t="shared" si="137"/>
        <v>8228</v>
      </c>
      <c r="XI10" s="1072">
        <f t="shared" si="137"/>
        <v>6716.6</v>
      </c>
      <c r="XJ10" s="1072">
        <f t="shared" si="137"/>
        <v>8107.0000000000009</v>
      </c>
      <c r="XK10" s="1072">
        <f t="shared" si="137"/>
        <v>6625.3</v>
      </c>
      <c r="XL10" s="1072">
        <f t="shared" si="137"/>
        <v>8258.8000000000011</v>
      </c>
      <c r="XM10" s="1072">
        <f t="shared" si="137"/>
        <v>6746.3</v>
      </c>
      <c r="XN10" s="1072">
        <f t="shared" si="137"/>
        <v>8076.2000000000007</v>
      </c>
      <c r="XO10" s="1072">
        <f t="shared" si="137"/>
        <v>6290.9000000000005</v>
      </c>
      <c r="XP10" s="1072">
        <f t="shared" si="137"/>
        <v>8167.5000000000009</v>
      </c>
      <c r="XQ10" s="1072">
        <f t="shared" si="137"/>
        <v>6382.2000000000007</v>
      </c>
      <c r="XR10" s="1072">
        <f t="shared" si="137"/>
        <v>8052.0000000000009</v>
      </c>
      <c r="XS10" s="1072">
        <f t="shared" si="137"/>
        <v>6411.9000000000005</v>
      </c>
      <c r="XT10" s="1072">
        <f t="shared" si="137"/>
        <v>7955.2000000000007</v>
      </c>
      <c r="XU10" s="1072">
        <f t="shared" si="137"/>
        <v>6139.1</v>
      </c>
      <c r="XV10" s="1072">
        <f t="shared" si="137"/>
        <v>7772.6</v>
      </c>
      <c r="XW10" s="1072">
        <f t="shared" si="137"/>
        <v>5594.6</v>
      </c>
      <c r="XX10" s="1072">
        <f t="shared" si="137"/>
        <v>7560.3</v>
      </c>
      <c r="XY10" s="1072">
        <f t="shared" si="137"/>
        <v>6351.4000000000005</v>
      </c>
      <c r="XZ10" s="1072">
        <f t="shared" ref="XZ10:AAK10" si="138">XZ9*1.1</f>
        <v>7227.0000000000009</v>
      </c>
      <c r="YA10" s="1072">
        <f t="shared" si="138"/>
        <v>5926.8</v>
      </c>
      <c r="YB10" s="1072">
        <f t="shared" si="138"/>
        <v>7687.9000000000005</v>
      </c>
      <c r="YC10" s="1072">
        <f t="shared" si="138"/>
        <v>5714.5000000000009</v>
      </c>
      <c r="YD10" s="1072">
        <f t="shared" si="138"/>
        <v>1208.9000000000001</v>
      </c>
      <c r="YE10" s="1072">
        <f t="shared" si="138"/>
        <v>0</v>
      </c>
      <c r="YF10" s="1072">
        <f t="shared" si="138"/>
        <v>0</v>
      </c>
      <c r="YG10" s="1072">
        <f t="shared" si="138"/>
        <v>0</v>
      </c>
      <c r="YH10" s="1072">
        <f t="shared" si="138"/>
        <v>0</v>
      </c>
      <c r="YI10" s="1072">
        <f t="shared" si="138"/>
        <v>0</v>
      </c>
      <c r="YJ10" s="1072">
        <f t="shared" si="138"/>
        <v>0</v>
      </c>
      <c r="YK10" s="1072">
        <f t="shared" si="138"/>
        <v>0</v>
      </c>
      <c r="YL10" s="1072">
        <f t="shared" si="138"/>
        <v>0</v>
      </c>
      <c r="YM10" s="1072">
        <f t="shared" si="138"/>
        <v>0</v>
      </c>
      <c r="YN10" s="1072">
        <f t="shared" si="138"/>
        <v>0</v>
      </c>
      <c r="YO10" s="1072">
        <f t="shared" si="138"/>
        <v>0</v>
      </c>
      <c r="YP10" s="1072">
        <f t="shared" si="138"/>
        <v>0</v>
      </c>
      <c r="YQ10" s="1072">
        <f t="shared" si="138"/>
        <v>0</v>
      </c>
      <c r="YR10" s="1072">
        <f t="shared" si="138"/>
        <v>0</v>
      </c>
      <c r="YS10" s="1072">
        <f t="shared" si="138"/>
        <v>0</v>
      </c>
      <c r="YT10" s="1072">
        <f t="shared" si="138"/>
        <v>0</v>
      </c>
      <c r="YU10" s="1072">
        <f t="shared" si="138"/>
        <v>0</v>
      </c>
      <c r="YV10" s="1072">
        <f t="shared" si="138"/>
        <v>0</v>
      </c>
      <c r="YW10" s="1072">
        <f t="shared" si="138"/>
        <v>0</v>
      </c>
      <c r="YX10" s="1072">
        <f t="shared" si="138"/>
        <v>0</v>
      </c>
      <c r="YY10" s="1072">
        <f t="shared" si="138"/>
        <v>0</v>
      </c>
      <c r="YZ10" s="1072">
        <f t="shared" si="138"/>
        <v>0</v>
      </c>
      <c r="ZA10" s="1072">
        <f t="shared" si="138"/>
        <v>0</v>
      </c>
      <c r="ZB10" s="1072">
        <f t="shared" si="138"/>
        <v>0</v>
      </c>
      <c r="ZC10" s="1072">
        <f t="shared" si="138"/>
        <v>0</v>
      </c>
      <c r="ZD10" s="1072">
        <f t="shared" si="138"/>
        <v>1360.7</v>
      </c>
      <c r="ZE10" s="1072">
        <f t="shared" si="138"/>
        <v>5896.0000000000009</v>
      </c>
      <c r="ZF10" s="1072">
        <f t="shared" si="138"/>
        <v>7104.9000000000005</v>
      </c>
      <c r="ZG10" s="1072">
        <f t="shared" si="138"/>
        <v>5107.3</v>
      </c>
      <c r="ZH10" s="1072">
        <f t="shared" si="138"/>
        <v>6892.6</v>
      </c>
      <c r="ZI10" s="1072">
        <f t="shared" si="138"/>
        <v>5034.7000000000007</v>
      </c>
      <c r="ZJ10" s="1072">
        <f t="shared" si="138"/>
        <v>5405.4000000000005</v>
      </c>
      <c r="ZK10" s="1072">
        <f t="shared" si="138"/>
        <v>4682.7000000000007</v>
      </c>
      <c r="ZL10" s="1072">
        <f t="shared" si="138"/>
        <v>4451.7000000000007</v>
      </c>
      <c r="ZM10" s="1072">
        <f t="shared" si="138"/>
        <v>4409.9000000000005</v>
      </c>
      <c r="ZN10" s="1072">
        <f t="shared" si="138"/>
        <v>3930.3</v>
      </c>
      <c r="ZO10" s="1072">
        <f t="shared" si="138"/>
        <v>4051.3</v>
      </c>
      <c r="ZP10" s="1072">
        <f t="shared" si="138"/>
        <v>4015.0000000000005</v>
      </c>
      <c r="ZQ10" s="1072">
        <f t="shared" si="138"/>
        <v>4925.8</v>
      </c>
      <c r="ZR10" s="1072">
        <f t="shared" si="138"/>
        <v>4901.6000000000004</v>
      </c>
      <c r="ZS10" s="1072">
        <f t="shared" si="138"/>
        <v>6358.0000000000009</v>
      </c>
      <c r="ZT10" s="1072">
        <f t="shared" si="138"/>
        <v>6030.2000000000007</v>
      </c>
      <c r="ZU10" s="1072">
        <f t="shared" si="138"/>
        <v>5890.5000000000009</v>
      </c>
      <c r="ZV10" s="1072">
        <f t="shared" si="138"/>
        <v>5666.1</v>
      </c>
      <c r="ZW10" s="1072">
        <f t="shared" si="138"/>
        <v>5398.8</v>
      </c>
      <c r="ZX10" s="1072">
        <f t="shared" si="138"/>
        <v>5599</v>
      </c>
      <c r="ZY10" s="1072">
        <f t="shared" si="138"/>
        <v>5162.3</v>
      </c>
      <c r="ZZ10" s="1072">
        <f t="shared" si="138"/>
        <v>5210.7000000000007</v>
      </c>
      <c r="AAA10" s="1072">
        <f t="shared" si="138"/>
        <v>5162.3</v>
      </c>
      <c r="AAB10" s="1072">
        <f t="shared" si="138"/>
        <v>5265.7000000000007</v>
      </c>
      <c r="AAC10" s="1072">
        <f t="shared" si="138"/>
        <v>5162.3</v>
      </c>
      <c r="AAD10" s="1072">
        <f t="shared" si="138"/>
        <v>5155.7000000000007</v>
      </c>
      <c r="AAE10" s="1072">
        <f t="shared" si="138"/>
        <v>5222.8</v>
      </c>
      <c r="AAF10" s="1072">
        <f t="shared" si="138"/>
        <v>5071</v>
      </c>
      <c r="AAG10" s="1072">
        <f t="shared" si="138"/>
        <v>5162.3</v>
      </c>
      <c r="AAH10" s="1072">
        <f t="shared" si="138"/>
        <v>5077.6000000000004</v>
      </c>
      <c r="AAI10" s="1072">
        <f t="shared" si="138"/>
        <v>5362.5</v>
      </c>
      <c r="AAJ10" s="1072">
        <f t="shared" si="138"/>
        <v>5205.2000000000007</v>
      </c>
      <c r="AAK10" s="1072">
        <f t="shared" si="138"/>
        <v>5174.4000000000005</v>
      </c>
      <c r="AAL10" s="1072">
        <f t="shared" ref="AAL10:ACW10" si="139">AAL9*1.1</f>
        <v>5167.8</v>
      </c>
      <c r="AAM10" s="1072">
        <f t="shared" si="139"/>
        <v>5307.5</v>
      </c>
      <c r="AAN10" s="1072">
        <f t="shared" si="139"/>
        <v>5126</v>
      </c>
      <c r="AAO10" s="1072">
        <f t="shared" si="139"/>
        <v>5126</v>
      </c>
      <c r="AAP10" s="1072">
        <f t="shared" si="139"/>
        <v>5186.5</v>
      </c>
      <c r="AAQ10" s="1072">
        <f t="shared" si="139"/>
        <v>5222.8</v>
      </c>
      <c r="AAR10" s="1072">
        <f t="shared" si="139"/>
        <v>5289.9000000000005</v>
      </c>
      <c r="AAS10" s="1072">
        <f t="shared" si="139"/>
        <v>5198.6000000000004</v>
      </c>
      <c r="AAT10" s="1072">
        <f t="shared" si="139"/>
        <v>4986.3</v>
      </c>
      <c r="AAU10" s="1072">
        <f t="shared" si="139"/>
        <v>5003.9000000000005</v>
      </c>
      <c r="AAV10" s="1072">
        <f t="shared" si="139"/>
        <v>4913.7000000000007</v>
      </c>
      <c r="AAW10" s="1072">
        <f t="shared" si="139"/>
        <v>4865.3</v>
      </c>
      <c r="AAX10" s="1072">
        <f t="shared" si="139"/>
        <v>4786.1000000000004</v>
      </c>
      <c r="AAY10" s="1072">
        <f t="shared" si="139"/>
        <v>4931.3</v>
      </c>
      <c r="AAZ10" s="1072">
        <f t="shared" si="139"/>
        <v>4786.1000000000004</v>
      </c>
      <c r="ABA10" s="1072">
        <f t="shared" si="139"/>
        <v>4937.9000000000005</v>
      </c>
      <c r="ABB10" s="1072">
        <f t="shared" si="139"/>
        <v>4967.6000000000004</v>
      </c>
      <c r="ABC10" s="1072">
        <f t="shared" si="139"/>
        <v>5041.3</v>
      </c>
      <c r="ABD10" s="1072">
        <f t="shared" si="139"/>
        <v>5459.3</v>
      </c>
      <c r="ABE10" s="1072">
        <f t="shared" si="139"/>
        <v>6406.4000000000005</v>
      </c>
      <c r="ABF10" s="1072">
        <f t="shared" si="139"/>
        <v>6697.9000000000005</v>
      </c>
      <c r="ABG10" s="1072">
        <f t="shared" si="139"/>
        <v>8446.9000000000015</v>
      </c>
      <c r="ABH10" s="1072">
        <f t="shared" si="139"/>
        <v>7172.0000000000009</v>
      </c>
      <c r="ABI10" s="1072">
        <f t="shared" si="139"/>
        <v>6066.5000000000009</v>
      </c>
      <c r="ABJ10" s="1072">
        <f t="shared" si="139"/>
        <v>7170.9000000000005</v>
      </c>
      <c r="ABK10" s="1072">
        <f t="shared" si="139"/>
        <v>6066.5000000000009</v>
      </c>
      <c r="ABL10" s="1072">
        <f t="shared" si="139"/>
        <v>8027.8000000000011</v>
      </c>
      <c r="ABM10" s="1072">
        <f t="shared" si="139"/>
        <v>6515.3</v>
      </c>
      <c r="ABN10" s="1072">
        <f t="shared" si="139"/>
        <v>7087.3</v>
      </c>
      <c r="ABO10" s="1072">
        <f t="shared" si="139"/>
        <v>5654.0000000000009</v>
      </c>
      <c r="ABP10" s="1072">
        <f t="shared" si="139"/>
        <v>7406.3</v>
      </c>
      <c r="ABQ10" s="1072">
        <f t="shared" si="139"/>
        <v>5355.9000000000005</v>
      </c>
      <c r="ABR10" s="1072">
        <f t="shared" si="139"/>
        <v>7165.4000000000005</v>
      </c>
      <c r="ABS10" s="1072">
        <f t="shared" si="139"/>
        <v>6430.6</v>
      </c>
      <c r="ABT10" s="1072">
        <f t="shared" si="139"/>
        <v>8124.6</v>
      </c>
      <c r="ABU10" s="1072">
        <f t="shared" si="139"/>
        <v>6534.0000000000009</v>
      </c>
      <c r="ABV10" s="1072">
        <f t="shared" si="139"/>
        <v>8373.2000000000007</v>
      </c>
      <c r="ABW10" s="1072">
        <f t="shared" si="139"/>
        <v>6527.4000000000005</v>
      </c>
      <c r="ABX10" s="1072">
        <f t="shared" si="139"/>
        <v>6994.9000000000005</v>
      </c>
      <c r="ABY10" s="1072">
        <f t="shared" si="139"/>
        <v>8276.4000000000015</v>
      </c>
      <c r="ABZ10" s="1072">
        <f t="shared" si="139"/>
        <v>6290.9000000000005</v>
      </c>
      <c r="ACA10" s="1072">
        <f t="shared" si="139"/>
        <v>8319.3000000000011</v>
      </c>
      <c r="ACB10" s="1072">
        <f t="shared" si="139"/>
        <v>6411.9000000000005</v>
      </c>
      <c r="ACC10" s="1072">
        <f t="shared" si="139"/>
        <v>8155.4000000000005</v>
      </c>
      <c r="ACD10" s="1072">
        <f t="shared" si="139"/>
        <v>6715.5000000000009</v>
      </c>
      <c r="ACE10" s="1072">
        <f t="shared" si="139"/>
        <v>8440.3000000000011</v>
      </c>
      <c r="ACF10" s="1072">
        <f t="shared" si="139"/>
        <v>7984.9000000000005</v>
      </c>
      <c r="ACG10" s="1072">
        <f t="shared" si="139"/>
        <v>6873.9000000000005</v>
      </c>
      <c r="ACH10" s="1072">
        <f t="shared" si="139"/>
        <v>8500.8000000000011</v>
      </c>
      <c r="ACI10" s="1072">
        <f t="shared" si="139"/>
        <v>6546.1</v>
      </c>
      <c r="ACJ10" s="1072">
        <f t="shared" si="139"/>
        <v>8197.2000000000007</v>
      </c>
      <c r="ACK10" s="1072">
        <f t="shared" si="139"/>
        <v>6625.3</v>
      </c>
      <c r="ACL10" s="1072">
        <f t="shared" si="139"/>
        <v>8228</v>
      </c>
      <c r="ACM10" s="1072">
        <f t="shared" si="139"/>
        <v>6534.0000000000009</v>
      </c>
      <c r="ACN10" s="1072">
        <f t="shared" si="139"/>
        <v>8421.6</v>
      </c>
      <c r="ACO10" s="1072">
        <f t="shared" si="139"/>
        <v>6776.0000000000009</v>
      </c>
      <c r="ACP10" s="1072">
        <f t="shared" si="139"/>
        <v>8531.6</v>
      </c>
      <c r="ACQ10" s="1072">
        <f t="shared" si="139"/>
        <v>6867.3</v>
      </c>
      <c r="ACR10" s="1072">
        <f t="shared" si="139"/>
        <v>6867.3</v>
      </c>
      <c r="ACS10" s="1072">
        <f t="shared" si="139"/>
        <v>8349</v>
      </c>
      <c r="ACT10" s="1072">
        <f t="shared" si="139"/>
        <v>6169.9000000000005</v>
      </c>
      <c r="ACU10" s="1072">
        <f t="shared" si="139"/>
        <v>8659.2000000000007</v>
      </c>
      <c r="ACV10" s="1072">
        <f t="shared" si="139"/>
        <v>6563.7000000000007</v>
      </c>
      <c r="ACW10" s="1072">
        <f t="shared" si="139"/>
        <v>7772.6</v>
      </c>
      <c r="ACX10" s="1072">
        <f t="shared" ref="ACX10:AFI10" si="140">ACX9*1.1</f>
        <v>8197.2000000000007</v>
      </c>
      <c r="ACY10" s="1072">
        <f t="shared" si="140"/>
        <v>6746.3</v>
      </c>
      <c r="ACZ10" s="1072">
        <f t="shared" si="140"/>
        <v>8258.8000000000011</v>
      </c>
      <c r="ADA10" s="1072">
        <f t="shared" si="140"/>
        <v>6473.5000000000009</v>
      </c>
      <c r="ADB10" s="1072">
        <f t="shared" si="140"/>
        <v>6776.0000000000009</v>
      </c>
      <c r="ADC10" s="1072">
        <f t="shared" si="140"/>
        <v>8409.5</v>
      </c>
      <c r="ADD10" s="1072">
        <f t="shared" si="140"/>
        <v>6782.6</v>
      </c>
      <c r="ADE10" s="1072">
        <f t="shared" si="140"/>
        <v>8713.1</v>
      </c>
      <c r="ADF10" s="1072">
        <f t="shared" si="140"/>
        <v>8944.1</v>
      </c>
      <c r="ADG10" s="1072">
        <f t="shared" si="140"/>
        <v>7183.0000000000009</v>
      </c>
      <c r="ADH10" s="1072">
        <f t="shared" si="140"/>
        <v>9035.4000000000015</v>
      </c>
      <c r="ADI10" s="1072">
        <f t="shared" si="140"/>
        <v>7025.7000000000007</v>
      </c>
      <c r="ADJ10" s="1072">
        <f t="shared" si="140"/>
        <v>8980.4000000000015</v>
      </c>
      <c r="ADK10" s="1072">
        <f t="shared" si="140"/>
        <v>7213.8</v>
      </c>
      <c r="ADL10" s="1072">
        <f t="shared" si="140"/>
        <v>6879.4000000000005</v>
      </c>
      <c r="ADM10" s="1072">
        <f t="shared" si="140"/>
        <v>7808.9000000000005</v>
      </c>
      <c r="ADN10" s="1072">
        <f t="shared" si="140"/>
        <v>7111.5000000000009</v>
      </c>
      <c r="ADO10" s="1072">
        <f t="shared" si="140"/>
        <v>6782.6</v>
      </c>
      <c r="ADP10" s="1072">
        <f t="shared" si="140"/>
        <v>8258.8000000000011</v>
      </c>
      <c r="ADQ10" s="1072">
        <f t="shared" si="140"/>
        <v>6843.1</v>
      </c>
      <c r="ADR10" s="1072">
        <f t="shared" si="140"/>
        <v>8197.2000000000007</v>
      </c>
      <c r="ADS10" s="1072">
        <f t="shared" si="140"/>
        <v>6503.2000000000007</v>
      </c>
      <c r="ADT10" s="1072">
        <f t="shared" si="140"/>
        <v>8264.3000000000011</v>
      </c>
      <c r="ADU10" s="1072">
        <f t="shared" si="140"/>
        <v>6109.4000000000005</v>
      </c>
      <c r="ADV10" s="1072">
        <f t="shared" si="140"/>
        <v>8519.5</v>
      </c>
      <c r="ADW10" s="1072">
        <f t="shared" si="140"/>
        <v>6411.9000000000005</v>
      </c>
      <c r="ADX10" s="1072">
        <f t="shared" si="140"/>
        <v>7863.9000000000005</v>
      </c>
      <c r="ADY10" s="1072">
        <f t="shared" si="140"/>
        <v>6411.9000000000005</v>
      </c>
      <c r="ADZ10" s="1072">
        <f t="shared" si="140"/>
        <v>8076.2000000000007</v>
      </c>
      <c r="AEA10" s="1072">
        <f t="shared" si="140"/>
        <v>6503.2000000000007</v>
      </c>
      <c r="AEB10" s="1072">
        <f t="shared" si="140"/>
        <v>8015.7000000000007</v>
      </c>
      <c r="AEC10" s="1072">
        <f t="shared" si="140"/>
        <v>6382.2000000000007</v>
      </c>
      <c r="AED10" s="1072">
        <f t="shared" si="140"/>
        <v>8197.2000000000007</v>
      </c>
      <c r="AEE10" s="1072">
        <f t="shared" si="140"/>
        <v>6594.5000000000009</v>
      </c>
      <c r="AEF10" s="1072">
        <f t="shared" si="140"/>
        <v>7833.1</v>
      </c>
      <c r="AEG10" s="1072">
        <f t="shared" si="140"/>
        <v>6321.7000000000007</v>
      </c>
      <c r="AEH10" s="1072">
        <f t="shared" si="140"/>
        <v>7772.6</v>
      </c>
      <c r="AEI10" s="1072">
        <f t="shared" si="140"/>
        <v>6321.7000000000007</v>
      </c>
      <c r="AEJ10" s="1072">
        <f t="shared" si="140"/>
        <v>8107.0000000000009</v>
      </c>
      <c r="AEK10" s="1072">
        <f t="shared" si="140"/>
        <v>6503.2000000000007</v>
      </c>
      <c r="AEL10" s="1072">
        <f t="shared" si="140"/>
        <v>8107.0000000000009</v>
      </c>
      <c r="AEM10" s="1072">
        <f t="shared" si="140"/>
        <v>6382.2000000000007</v>
      </c>
      <c r="AEN10" s="1072">
        <f t="shared" si="140"/>
        <v>7845.2000000000007</v>
      </c>
      <c r="AEO10" s="1072">
        <f t="shared" si="140"/>
        <v>6273.3</v>
      </c>
      <c r="AEP10" s="1072">
        <f t="shared" si="140"/>
        <v>8349</v>
      </c>
      <c r="AEQ10" s="1072">
        <f t="shared" si="140"/>
        <v>6655.0000000000009</v>
      </c>
      <c r="AER10" s="1072">
        <f t="shared" si="140"/>
        <v>8258.8000000000011</v>
      </c>
      <c r="AES10" s="1072">
        <f t="shared" si="140"/>
        <v>6594.5000000000009</v>
      </c>
      <c r="AET10" s="1072">
        <f t="shared" si="140"/>
        <v>7742.9000000000005</v>
      </c>
      <c r="AEU10" s="1072">
        <f t="shared" si="140"/>
        <v>2994.2000000000003</v>
      </c>
      <c r="AEV10" s="1072">
        <f t="shared" si="140"/>
        <v>6685.8</v>
      </c>
      <c r="AEW10" s="1072">
        <f t="shared" si="140"/>
        <v>6509.8</v>
      </c>
      <c r="AEX10" s="1072">
        <f t="shared" si="140"/>
        <v>7529.5000000000009</v>
      </c>
      <c r="AEY10" s="1072">
        <f t="shared" si="140"/>
        <v>6047.8</v>
      </c>
      <c r="AEZ10" s="1072">
        <f t="shared" si="140"/>
        <v>6109.4000000000005</v>
      </c>
      <c r="AFA10" s="1072">
        <f t="shared" si="140"/>
        <v>8500.8000000000011</v>
      </c>
      <c r="AFB10" s="1072">
        <f t="shared" si="140"/>
        <v>6382.2000000000007</v>
      </c>
      <c r="AFC10" s="1072">
        <f t="shared" si="140"/>
        <v>8167.5000000000009</v>
      </c>
      <c r="AFD10" s="1072">
        <f t="shared" si="140"/>
        <v>7833.1</v>
      </c>
      <c r="AFE10" s="1072">
        <f t="shared" si="140"/>
        <v>6290.9000000000005</v>
      </c>
      <c r="AFF10" s="1072">
        <f t="shared" si="140"/>
        <v>7620.8</v>
      </c>
      <c r="AFG10" s="1072">
        <f t="shared" si="140"/>
        <v>6047.8</v>
      </c>
      <c r="AFH10" s="1072">
        <f t="shared" si="140"/>
        <v>7145.6</v>
      </c>
      <c r="AFI10" s="1072">
        <f t="shared" si="140"/>
        <v>8823.1</v>
      </c>
      <c r="AFJ10" s="1072">
        <f t="shared" ref="AFJ10:AHU10" si="141">AFJ9*1.1</f>
        <v>8409.5</v>
      </c>
      <c r="AFK10" s="1072">
        <f t="shared" si="141"/>
        <v>6655.0000000000009</v>
      </c>
      <c r="AFL10" s="1072">
        <f t="shared" si="141"/>
        <v>7323.8</v>
      </c>
      <c r="AFM10" s="1072">
        <f t="shared" si="141"/>
        <v>5465.9000000000005</v>
      </c>
      <c r="AFN10" s="1072">
        <f t="shared" si="141"/>
        <v>6880.5000000000009</v>
      </c>
      <c r="AFO10" s="1072">
        <f t="shared" si="141"/>
        <v>4895</v>
      </c>
      <c r="AFP10" s="1072">
        <f t="shared" si="141"/>
        <v>6073.1</v>
      </c>
      <c r="AFQ10" s="1072">
        <f t="shared" si="141"/>
        <v>4719</v>
      </c>
      <c r="AFR10" s="1072">
        <f t="shared" si="141"/>
        <v>6012.6</v>
      </c>
      <c r="AFS10" s="1072">
        <f t="shared" si="141"/>
        <v>4774</v>
      </c>
      <c r="AFT10" s="1072">
        <f t="shared" si="141"/>
        <v>7893.6</v>
      </c>
      <c r="AFU10" s="1072">
        <f t="shared" si="141"/>
        <v>6861.8</v>
      </c>
      <c r="AFV10" s="1072">
        <f t="shared" si="141"/>
        <v>8471.1</v>
      </c>
      <c r="AFW10" s="1072">
        <f t="shared" si="141"/>
        <v>5143.6000000000004</v>
      </c>
      <c r="AFX10" s="1072">
        <f t="shared" si="141"/>
        <v>9533.7000000000007</v>
      </c>
      <c r="AFY10" s="1072">
        <f t="shared" si="141"/>
        <v>6685.8</v>
      </c>
      <c r="AFZ10" s="1072">
        <f t="shared" si="141"/>
        <v>8561.3000000000011</v>
      </c>
      <c r="AGA10" s="1072">
        <f t="shared" si="141"/>
        <v>6837.6</v>
      </c>
      <c r="AGB10" s="1072">
        <f t="shared" si="141"/>
        <v>8519.5</v>
      </c>
      <c r="AGC10" s="1072">
        <f t="shared" si="141"/>
        <v>6915.7000000000007</v>
      </c>
      <c r="AGD10" s="1072">
        <f t="shared" si="141"/>
        <v>8592.1</v>
      </c>
      <c r="AGE10" s="1072">
        <f t="shared" si="141"/>
        <v>6879.4000000000005</v>
      </c>
      <c r="AGF10" s="1072">
        <f t="shared" si="141"/>
        <v>8446.9000000000015</v>
      </c>
      <c r="AGG10" s="1072">
        <f t="shared" si="141"/>
        <v>6655.0000000000009</v>
      </c>
      <c r="AGH10" s="1072">
        <f t="shared" si="141"/>
        <v>6818.9000000000005</v>
      </c>
      <c r="AGI10" s="1072">
        <f t="shared" si="141"/>
        <v>7056.5000000000009</v>
      </c>
      <c r="AGJ10" s="1072">
        <f t="shared" si="141"/>
        <v>6751.8</v>
      </c>
      <c r="AGK10" s="1072">
        <f t="shared" si="141"/>
        <v>8409.5</v>
      </c>
      <c r="AGL10" s="1072">
        <f t="shared" si="141"/>
        <v>6939.9000000000005</v>
      </c>
      <c r="AGM10" s="1072">
        <f t="shared" si="141"/>
        <v>8416.1</v>
      </c>
      <c r="AGN10" s="1072">
        <f t="shared" si="141"/>
        <v>8585.5</v>
      </c>
      <c r="AGO10" s="1072">
        <f t="shared" si="141"/>
        <v>6449.3</v>
      </c>
      <c r="AGP10" s="1072">
        <f t="shared" si="141"/>
        <v>7893.6</v>
      </c>
      <c r="AGQ10" s="1072">
        <f t="shared" si="141"/>
        <v>6563.7000000000007</v>
      </c>
      <c r="AGR10" s="1072">
        <f t="shared" si="141"/>
        <v>7717.6</v>
      </c>
      <c r="AGS10" s="1072">
        <f t="shared" si="141"/>
        <v>6691.3</v>
      </c>
      <c r="AGT10" s="1072">
        <f t="shared" si="141"/>
        <v>7943.1</v>
      </c>
      <c r="AGU10" s="1072">
        <f t="shared" si="141"/>
        <v>6939.9000000000005</v>
      </c>
      <c r="AGV10" s="1072">
        <f t="shared" si="141"/>
        <v>8391.9000000000015</v>
      </c>
      <c r="AGW10" s="1072">
        <f t="shared" si="141"/>
        <v>6886.0000000000009</v>
      </c>
      <c r="AGX10" s="1072">
        <f t="shared" si="141"/>
        <v>6927.8</v>
      </c>
      <c r="AGY10" s="1072">
        <f t="shared" si="141"/>
        <v>8324.8000000000011</v>
      </c>
      <c r="AGZ10" s="1072">
        <f t="shared" si="141"/>
        <v>6794.7000000000007</v>
      </c>
      <c r="AHA10" s="1072">
        <f t="shared" si="141"/>
        <v>8233.5</v>
      </c>
      <c r="AHB10" s="1072">
        <f t="shared" si="141"/>
        <v>8610.8000000000011</v>
      </c>
      <c r="AHC10" s="1072">
        <f t="shared" si="141"/>
        <v>6934.4000000000005</v>
      </c>
      <c r="AHD10" s="1072">
        <f t="shared" si="141"/>
        <v>8349</v>
      </c>
      <c r="AHE10" s="1072">
        <f t="shared" si="141"/>
        <v>6855.2000000000007</v>
      </c>
      <c r="AHF10" s="1072">
        <f t="shared" si="141"/>
        <v>8525</v>
      </c>
      <c r="AHG10" s="1072">
        <f t="shared" si="141"/>
        <v>6618.7000000000007</v>
      </c>
      <c r="AHH10" s="1072">
        <f t="shared" si="141"/>
        <v>8512.9000000000015</v>
      </c>
      <c r="AHI10" s="1072">
        <f t="shared" si="141"/>
        <v>6734.2000000000007</v>
      </c>
      <c r="AHJ10" s="1072">
        <f t="shared" si="141"/>
        <v>7876.0000000000009</v>
      </c>
      <c r="AHK10" s="1072">
        <f t="shared" si="141"/>
        <v>6813.4000000000005</v>
      </c>
      <c r="AHL10" s="1072">
        <f t="shared" si="141"/>
        <v>8622.9000000000015</v>
      </c>
      <c r="AHM10" s="1072">
        <f t="shared" si="141"/>
        <v>6898.1</v>
      </c>
      <c r="AHN10" s="1072">
        <f t="shared" si="141"/>
        <v>8203.8000000000011</v>
      </c>
      <c r="AHO10" s="1072">
        <f t="shared" si="141"/>
        <v>5999.4000000000005</v>
      </c>
      <c r="AHP10" s="1072">
        <f t="shared" si="141"/>
        <v>8409.5</v>
      </c>
      <c r="AHQ10" s="1072">
        <f t="shared" si="141"/>
        <v>6758.4000000000005</v>
      </c>
      <c r="AHR10" s="1072">
        <f t="shared" si="141"/>
        <v>8519.5</v>
      </c>
      <c r="AHS10" s="1072">
        <f t="shared" si="141"/>
        <v>6685.8</v>
      </c>
      <c r="AHT10" s="1072">
        <f t="shared" si="141"/>
        <v>8683.4000000000015</v>
      </c>
      <c r="AHU10" s="1072">
        <f t="shared" si="141"/>
        <v>6903.6</v>
      </c>
      <c r="AHV10" s="1072">
        <f t="shared" ref="AHV10:AKG10" si="142">AHV9*1.1</f>
        <v>8324.8000000000011</v>
      </c>
      <c r="AHW10" s="1072">
        <f t="shared" si="142"/>
        <v>6927.8</v>
      </c>
      <c r="AHX10" s="1072">
        <f t="shared" si="142"/>
        <v>8349</v>
      </c>
      <c r="AHY10" s="1072">
        <f t="shared" si="142"/>
        <v>6806.8</v>
      </c>
      <c r="AHZ10" s="1072">
        <f t="shared" si="142"/>
        <v>6903.6</v>
      </c>
      <c r="AIA10" s="1072">
        <f t="shared" si="142"/>
        <v>8361.1</v>
      </c>
      <c r="AIB10" s="1072">
        <f t="shared" si="142"/>
        <v>7439.3</v>
      </c>
      <c r="AIC10" s="1072">
        <f t="shared" si="142"/>
        <v>6843.1</v>
      </c>
      <c r="AID10" s="1072">
        <f t="shared" si="142"/>
        <v>8597.6</v>
      </c>
      <c r="AIE10" s="1072">
        <f t="shared" si="142"/>
        <v>6806.8</v>
      </c>
      <c r="AIF10" s="1072">
        <f t="shared" si="142"/>
        <v>8276.4000000000015</v>
      </c>
      <c r="AIG10" s="1072">
        <f t="shared" si="142"/>
        <v>6473.5000000000009</v>
      </c>
      <c r="AIH10" s="1072">
        <f t="shared" si="142"/>
        <v>7833.1</v>
      </c>
      <c r="AII10" s="1072">
        <f t="shared" si="142"/>
        <v>6321.7000000000007</v>
      </c>
      <c r="AIJ10" s="1072">
        <f t="shared" si="142"/>
        <v>7620.8</v>
      </c>
      <c r="AIK10" s="1072">
        <f t="shared" si="142"/>
        <v>7037.8</v>
      </c>
      <c r="AIL10" s="1072">
        <f t="shared" si="142"/>
        <v>8416.1</v>
      </c>
      <c r="AIM10" s="1072">
        <f t="shared" si="142"/>
        <v>6473.5000000000009</v>
      </c>
      <c r="AIN10" s="1072">
        <f t="shared" si="142"/>
        <v>6290.9000000000005</v>
      </c>
      <c r="AIO10" s="1072">
        <f t="shared" si="142"/>
        <v>7044.4000000000005</v>
      </c>
      <c r="AIP10" s="1072">
        <f t="shared" si="142"/>
        <v>6078.6</v>
      </c>
      <c r="AIQ10" s="1072">
        <f t="shared" si="142"/>
        <v>7287.5000000000009</v>
      </c>
      <c r="AIR10" s="1072">
        <f t="shared" si="142"/>
        <v>8823.1</v>
      </c>
      <c r="AIS10" s="1072">
        <f t="shared" si="142"/>
        <v>6837.6</v>
      </c>
      <c r="AIT10" s="1072">
        <f t="shared" si="142"/>
        <v>8476.6</v>
      </c>
      <c r="AIU10" s="1072">
        <f t="shared" si="142"/>
        <v>6351.4000000000005</v>
      </c>
      <c r="AIV10" s="1072">
        <f t="shared" si="142"/>
        <v>8264.3000000000011</v>
      </c>
      <c r="AIW10" s="1072">
        <f t="shared" si="142"/>
        <v>6169.9000000000005</v>
      </c>
      <c r="AIX10" s="1072">
        <f t="shared" si="142"/>
        <v>6382.2000000000007</v>
      </c>
      <c r="AIY10" s="1072">
        <f t="shared" si="142"/>
        <v>7348.0000000000009</v>
      </c>
      <c r="AIZ10" s="1072">
        <f t="shared" si="142"/>
        <v>6230.4000000000005</v>
      </c>
      <c r="AJA10" s="1072">
        <f t="shared" si="142"/>
        <v>7353.5000000000009</v>
      </c>
      <c r="AJB10" s="1072">
        <f t="shared" si="142"/>
        <v>7772.6</v>
      </c>
      <c r="AJC10" s="1072">
        <f t="shared" si="142"/>
        <v>6047.8</v>
      </c>
      <c r="AJD10" s="1072">
        <f t="shared" si="142"/>
        <v>6169.9000000000005</v>
      </c>
      <c r="AJE10" s="1072">
        <f t="shared" si="142"/>
        <v>7712.1</v>
      </c>
      <c r="AJF10" s="1072">
        <f t="shared" si="142"/>
        <v>7681.3</v>
      </c>
      <c r="AJG10" s="1072">
        <f t="shared" si="142"/>
        <v>5775.0000000000009</v>
      </c>
      <c r="AJH10" s="1072">
        <f t="shared" si="142"/>
        <v>6199.6</v>
      </c>
      <c r="AJI10" s="1072">
        <f t="shared" si="142"/>
        <v>7135.7000000000007</v>
      </c>
      <c r="AJJ10" s="1072">
        <f t="shared" si="142"/>
        <v>6109.4000000000005</v>
      </c>
      <c r="AJK10" s="1072">
        <f t="shared" si="142"/>
        <v>7075.2000000000007</v>
      </c>
      <c r="AJL10" s="1072">
        <f t="shared" si="142"/>
        <v>6169.9000000000005</v>
      </c>
      <c r="AJM10" s="1072">
        <f t="shared" si="142"/>
        <v>5775.0000000000009</v>
      </c>
      <c r="AJN10" s="1072">
        <f t="shared" si="142"/>
        <v>5805.8</v>
      </c>
      <c r="AJO10" s="1072">
        <f t="shared" si="142"/>
        <v>7960.7000000000007</v>
      </c>
      <c r="AJP10" s="1072">
        <f t="shared" si="142"/>
        <v>4869.7000000000007</v>
      </c>
      <c r="AJQ10" s="1072">
        <f t="shared" si="142"/>
        <v>4840</v>
      </c>
      <c r="AJR10" s="1072">
        <f t="shared" si="142"/>
        <v>4688.2000000000007</v>
      </c>
      <c r="AJS10" s="1072">
        <f t="shared" si="142"/>
        <v>4253.7000000000007</v>
      </c>
      <c r="AJT10" s="1072">
        <f t="shared" si="142"/>
        <v>4840</v>
      </c>
      <c r="AJU10" s="1072">
        <f t="shared" si="142"/>
        <v>4717.9000000000005</v>
      </c>
      <c r="AJV10" s="1072">
        <f t="shared" si="142"/>
        <v>4930.2000000000007</v>
      </c>
      <c r="AJW10" s="1072">
        <f t="shared" si="142"/>
        <v>4900.5</v>
      </c>
      <c r="AJX10" s="1072">
        <f t="shared" si="142"/>
        <v>5082</v>
      </c>
      <c r="AJY10" s="1072">
        <f t="shared" si="142"/>
        <v>5143.6000000000004</v>
      </c>
      <c r="AJZ10" s="1072">
        <f t="shared" si="142"/>
        <v>8647.1</v>
      </c>
      <c r="AKA10" s="1072">
        <f t="shared" si="142"/>
        <v>7231.4000000000005</v>
      </c>
      <c r="AKB10" s="1072">
        <f t="shared" si="142"/>
        <v>7141.2000000000007</v>
      </c>
      <c r="AKC10" s="1072">
        <f t="shared" si="142"/>
        <v>9023.3000000000011</v>
      </c>
      <c r="AKD10" s="1072">
        <f t="shared" si="142"/>
        <v>7146.7000000000007</v>
      </c>
      <c r="AKE10" s="1072">
        <f t="shared" si="142"/>
        <v>8883.6</v>
      </c>
      <c r="AKF10" s="1072">
        <f t="shared" si="142"/>
        <v>7274.3</v>
      </c>
      <c r="AKG10" s="1072">
        <f t="shared" si="142"/>
        <v>8622.9000000000015</v>
      </c>
      <c r="AKH10" s="1072">
        <f t="shared" ref="AKH10:AKR10" si="143">AKH9*1.1</f>
        <v>8652.6</v>
      </c>
      <c r="AKI10" s="1072">
        <f t="shared" si="143"/>
        <v>7025.7000000000007</v>
      </c>
      <c r="AKJ10" s="1072">
        <f t="shared" si="143"/>
        <v>7243.5000000000009</v>
      </c>
      <c r="AKK10" s="1072">
        <f t="shared" si="143"/>
        <v>8804.4000000000015</v>
      </c>
      <c r="AKL10" s="1072">
        <f t="shared" si="143"/>
        <v>7145.6</v>
      </c>
      <c r="AKM10" s="1072">
        <f t="shared" si="143"/>
        <v>8816.5</v>
      </c>
      <c r="AKN10" s="1072">
        <f t="shared" si="143"/>
        <v>8616.3000000000011</v>
      </c>
      <c r="AKO10" s="1072">
        <f t="shared" si="143"/>
        <v>6989.4000000000005</v>
      </c>
      <c r="AKP10" s="1072">
        <f t="shared" si="143"/>
        <v>8592.1</v>
      </c>
      <c r="AKQ10" s="1072">
        <f t="shared" si="143"/>
        <v>6958.6</v>
      </c>
      <c r="AKR10" s="1072">
        <f t="shared" si="143"/>
        <v>8652.6</v>
      </c>
      <c r="AKS10" s="1072">
        <v>6959</v>
      </c>
      <c r="AKT10" s="1072">
        <v>8562</v>
      </c>
      <c r="AKU10" s="1072">
        <f>AKU9*1.1</f>
        <v>7079.6</v>
      </c>
      <c r="AKV10" s="1072">
        <f>AKV9*1.1</f>
        <v>7146.7000000000007</v>
      </c>
      <c r="AKW10" s="1072">
        <f>AKW9*1.1</f>
        <v>9035.4000000000015</v>
      </c>
      <c r="AKX10" s="1072">
        <f>AKX9*1.1</f>
        <v>8719.7000000000007</v>
      </c>
      <c r="AKY10" s="1072">
        <f>AKY9*1.1</f>
        <v>6806.8</v>
      </c>
      <c r="AKZ10" s="1072">
        <v>8744</v>
      </c>
      <c r="ALA10" s="1072">
        <v>7190</v>
      </c>
      <c r="ALB10" s="1072">
        <f>ALB9*1.1</f>
        <v>8816.5</v>
      </c>
      <c r="ALC10" s="1072">
        <f>ALC9*1.1</f>
        <v>7291.9000000000005</v>
      </c>
      <c r="ALD10" s="1072">
        <f>ALD9*1.1</f>
        <v>8780.2000000000007</v>
      </c>
      <c r="ALE10" s="1072">
        <f>ALE9*1.1</f>
        <v>6813.4000000000005</v>
      </c>
      <c r="ALF10" s="1072">
        <f>ALF9*1.1</f>
        <v>8647.1</v>
      </c>
      <c r="ALG10" s="1072">
        <v>4840</v>
      </c>
      <c r="ALH10" s="1072">
        <v>6867</v>
      </c>
      <c r="ALI10" s="1072">
        <f>ALI9*1.1</f>
        <v>3576.1000000000004</v>
      </c>
      <c r="ALJ10" s="1072">
        <f>ALJ9*1.1</f>
        <v>7213.8</v>
      </c>
      <c r="ALK10" s="1072">
        <f>ALK9*1.1</f>
        <v>3698.2000000000003</v>
      </c>
      <c r="ALL10" s="1072">
        <f>ALL9*1.1</f>
        <v>7091.7000000000007</v>
      </c>
      <c r="ALM10" s="1072">
        <f>ALM9*1.1</f>
        <v>4299.9000000000005</v>
      </c>
      <c r="ALN10" s="1072">
        <v>8082</v>
      </c>
      <c r="ALO10" s="1072">
        <v>6661</v>
      </c>
      <c r="ALP10" s="1072">
        <f>ALP9*1.1</f>
        <v>6751.8</v>
      </c>
      <c r="ALQ10" s="1072">
        <f>ALQ9*1.1</f>
        <v>8021.2000000000007</v>
      </c>
      <c r="ALR10" s="1072">
        <f>ALR9*1.1</f>
        <v>8197.2000000000007</v>
      </c>
      <c r="ALS10" s="1072">
        <f>ALS9*1.1</f>
        <v>6473.5000000000009</v>
      </c>
      <c r="ALT10" s="1072">
        <f>ALT9*1.1</f>
        <v>8659.2000000000007</v>
      </c>
      <c r="ALU10" s="1072">
        <v>6722</v>
      </c>
      <c r="ALV10" s="1072">
        <v>8234</v>
      </c>
      <c r="ALW10" s="1072">
        <f t="shared" ref="ALW10:AMD10" si="144">ALW9*1.1</f>
        <v>6630.8</v>
      </c>
      <c r="ALX10" s="1072">
        <f t="shared" si="144"/>
        <v>8531.6</v>
      </c>
      <c r="ALY10" s="1072">
        <f t="shared" si="144"/>
        <v>6934.4000000000005</v>
      </c>
      <c r="ALZ10" s="1072">
        <f t="shared" si="144"/>
        <v>7031.2000000000007</v>
      </c>
      <c r="AMA10" s="1072">
        <f t="shared" si="144"/>
        <v>6655.0000000000009</v>
      </c>
      <c r="AMB10" s="1072">
        <f t="shared" si="144"/>
        <v>5112.8</v>
      </c>
      <c r="AMC10" s="1072">
        <f t="shared" si="144"/>
        <v>5209.6000000000004</v>
      </c>
      <c r="AMD10" s="1072">
        <f t="shared" si="144"/>
        <v>5021.5</v>
      </c>
      <c r="AME10" s="1072">
        <f t="shared" ref="AME10:AMF10" si="145">AME9*1.1</f>
        <v>4930.2000000000007</v>
      </c>
      <c r="AMF10" s="1072">
        <f t="shared" si="145"/>
        <v>7529.5000000000009</v>
      </c>
      <c r="AMG10" s="1072">
        <f t="shared" ref="AMG10:AMH10" si="146">AMG9*1.1</f>
        <v>6594.5000000000009</v>
      </c>
      <c r="AMH10" s="1072">
        <f t="shared" si="146"/>
        <v>8471.1</v>
      </c>
      <c r="AMI10" s="1072">
        <v>6534</v>
      </c>
      <c r="AMJ10" s="1072">
        <v>6686</v>
      </c>
      <c r="AMK10" s="1072">
        <v>8047</v>
      </c>
      <c r="AML10" s="1072">
        <v>8379</v>
      </c>
      <c r="AMM10" s="1072">
        <v>6685</v>
      </c>
      <c r="AMN10" s="1072">
        <v>8380</v>
      </c>
      <c r="AMO10" s="1072">
        <v>6382</v>
      </c>
      <c r="AMP10" s="1072">
        <f>AMP9*1.1</f>
        <v>8235.7000000000007</v>
      </c>
      <c r="AMQ10" s="1072">
        <v>6554</v>
      </c>
      <c r="AMR10" s="1072">
        <v>6595</v>
      </c>
      <c r="AMS10" s="1072">
        <v>8107</v>
      </c>
      <c r="AMT10" s="1072">
        <v>7833</v>
      </c>
      <c r="AMU10" s="1072">
        <v>6200</v>
      </c>
      <c r="AMV10" s="1072">
        <v>8076</v>
      </c>
      <c r="AMW10" s="1072">
        <v>6048</v>
      </c>
      <c r="AMX10" s="1072">
        <v>7894</v>
      </c>
      <c r="AMY10" s="1072">
        <v>6169</v>
      </c>
      <c r="AMZ10" s="1072">
        <v>8166</v>
      </c>
      <c r="ANA10" s="1072">
        <v>6168</v>
      </c>
      <c r="ANB10" s="1072">
        <v>8016</v>
      </c>
      <c r="ANC10" s="1072">
        <v>6078.6</v>
      </c>
      <c r="AND10" s="1072">
        <v>6127</v>
      </c>
      <c r="ANE10" s="1072">
        <v>7517</v>
      </c>
      <c r="ANF10" s="1072">
        <v>6322</v>
      </c>
      <c r="ANG10" s="1072">
        <v>6449</v>
      </c>
      <c r="ANH10" s="1072">
        <v>6018</v>
      </c>
      <c r="ANI10" s="1072">
        <v>7288</v>
      </c>
      <c r="ANJ10" s="1072">
        <v>2994</v>
      </c>
      <c r="ANK10" s="1072">
        <v>6139</v>
      </c>
      <c r="ANL10" s="1072">
        <v>3024</v>
      </c>
      <c r="ANM10" s="1072">
        <v>5836</v>
      </c>
      <c r="ANN10" s="1072">
        <v>4778</v>
      </c>
      <c r="ANO10" s="1072">
        <v>4324</v>
      </c>
      <c r="ANP10" s="1072">
        <v>3146</v>
      </c>
      <c r="ANQ10" s="1072">
        <v>7894</v>
      </c>
      <c r="ANR10" s="1072">
        <v>6230</v>
      </c>
      <c r="ANS10" s="1072">
        <v>7379</v>
      </c>
      <c r="ANT10" s="1072">
        <v>7894</v>
      </c>
      <c r="ANU10" s="1072">
        <v>7317</v>
      </c>
      <c r="ANV10" s="1072">
        <v>7227</v>
      </c>
      <c r="ANW10" s="1072">
        <v>6832</v>
      </c>
      <c r="ANX10" s="1072">
        <v>7317</v>
      </c>
      <c r="ANY10" s="1072">
        <v>7015</v>
      </c>
      <c r="ANZ10" s="1072">
        <v>7014</v>
      </c>
      <c r="AOA10" s="1072">
        <f t="shared" ref="AOA10:AOG10" si="147">AOA9*1.1</f>
        <v>7232.5000000000009</v>
      </c>
      <c r="AOB10" s="1072">
        <f t="shared" si="147"/>
        <v>6649.5000000000009</v>
      </c>
      <c r="AOC10" s="1072">
        <f t="shared" si="147"/>
        <v>6923.4000000000005</v>
      </c>
      <c r="AOD10" s="1072">
        <f t="shared" si="147"/>
        <v>7135.7000000000007</v>
      </c>
      <c r="AOE10" s="1072">
        <f t="shared" si="147"/>
        <v>6953.1</v>
      </c>
      <c r="AOF10" s="1072">
        <f t="shared" si="147"/>
        <v>8769.2000000000007</v>
      </c>
      <c r="AOG10" s="1072">
        <f t="shared" si="147"/>
        <v>7165.4000000000005</v>
      </c>
      <c r="AOH10" s="1072">
        <f t="shared" ref="AOH10:AOI10" si="148">AOH9*1.1</f>
        <v>7044.4000000000005</v>
      </c>
      <c r="AOI10" s="1072">
        <f t="shared" si="148"/>
        <v>7348.0000000000009</v>
      </c>
      <c r="AOJ10" s="1072">
        <f t="shared" ref="AOJ10:AOK10" si="149">AOJ9*1.1</f>
        <v>7256.7000000000007</v>
      </c>
      <c r="AOK10" s="1072">
        <f t="shared" si="149"/>
        <v>7348.0000000000009</v>
      </c>
      <c r="AOL10" s="1072">
        <f t="shared" ref="AOL10:AOR10" si="150">AOL9*1.1</f>
        <v>7560.3</v>
      </c>
      <c r="AOM10" s="1072">
        <f t="shared" si="150"/>
        <v>7165.4000000000005</v>
      </c>
      <c r="AON10" s="1072">
        <f t="shared" si="150"/>
        <v>7104.9000000000005</v>
      </c>
      <c r="AOO10" s="1072">
        <f t="shared" si="150"/>
        <v>7408.5000000000009</v>
      </c>
      <c r="AOP10" s="1072">
        <f t="shared" si="150"/>
        <v>7439.3</v>
      </c>
      <c r="AOQ10" s="1072">
        <f t="shared" si="150"/>
        <v>7591.1</v>
      </c>
      <c r="AOR10" s="1072">
        <f t="shared" si="150"/>
        <v>7620.8</v>
      </c>
      <c r="AOS10" s="1072">
        <f t="shared" ref="AOS10:AOT10" si="151">AOS9*1.1</f>
        <v>6923.4000000000005</v>
      </c>
      <c r="AOT10" s="1072">
        <f t="shared" si="151"/>
        <v>7044.4000000000005</v>
      </c>
      <c r="AOU10" s="1072">
        <f t="shared" ref="AOU10:AOV10" si="152">AOU9*1.1</f>
        <v>7165.4000000000005</v>
      </c>
      <c r="AOV10" s="1072">
        <f t="shared" si="152"/>
        <v>7104.9000000000005</v>
      </c>
      <c r="AOW10" s="1072">
        <f t="shared" ref="AOW10:AOX10" si="153">AOW9*1.1</f>
        <v>6892.6</v>
      </c>
      <c r="AOX10" s="1072">
        <f t="shared" si="153"/>
        <v>8708.7000000000007</v>
      </c>
      <c r="AOY10" s="1072">
        <f t="shared" ref="AOY10:AOZ10" si="154">AOY9*1.1</f>
        <v>6953.1</v>
      </c>
      <c r="AOZ10" s="1072">
        <f t="shared" si="154"/>
        <v>6862.9000000000005</v>
      </c>
      <c r="APA10" s="1072">
        <f t="shared" ref="APA10:APB10" si="155">APA9*1.1</f>
        <v>6316.2000000000007</v>
      </c>
      <c r="APB10" s="1072">
        <f t="shared" si="155"/>
        <v>6347.0000000000009</v>
      </c>
      <c r="APC10" s="1072">
        <f t="shared" ref="APC10:APE10" si="156">APC9*1.1</f>
        <v>6740.8</v>
      </c>
      <c r="APD10" s="1072">
        <f t="shared" si="156"/>
        <v>5593.5</v>
      </c>
      <c r="APE10" s="1072">
        <f t="shared" si="156"/>
        <v>8526.1</v>
      </c>
      <c r="APF10" s="1072">
        <f t="shared" ref="APF10:APG10" si="157">APF9*1.1</f>
        <v>7499.8</v>
      </c>
      <c r="APG10" s="1072">
        <f t="shared" si="157"/>
        <v>6347.0000000000009</v>
      </c>
      <c r="APH10" s="1072">
        <f t="shared" ref="APH10:API10" si="158">APH9*1.1</f>
        <v>7348.0000000000009</v>
      </c>
      <c r="API10" s="1072">
        <f t="shared" si="158"/>
        <v>7620.8</v>
      </c>
      <c r="APJ10" s="1072">
        <f t="shared" ref="APJ10:APK10" si="159">APJ9*1.1</f>
        <v>6078.6</v>
      </c>
      <c r="APK10" s="1072">
        <f t="shared" si="159"/>
        <v>7196.2000000000007</v>
      </c>
      <c r="APL10" s="1072">
        <f t="shared" ref="APL10" si="160">APL9*1.1</f>
        <v>8556.9000000000015</v>
      </c>
      <c r="APM10" s="1072">
        <f>APM9*1.1</f>
        <v>7165.4000000000005</v>
      </c>
      <c r="APN10" s="1072">
        <f t="shared" ref="APN10:APO10" si="161">APN9*1.1</f>
        <v>7227.0000000000009</v>
      </c>
      <c r="APO10" s="1072">
        <f t="shared" si="161"/>
        <v>7196.2000000000007</v>
      </c>
      <c r="APP10" s="1072">
        <f t="shared" ref="APP10:APQ10" si="162">APP9*1.1</f>
        <v>7348.0000000000009</v>
      </c>
      <c r="APQ10" s="1072">
        <f t="shared" si="162"/>
        <v>6290.9000000000005</v>
      </c>
      <c r="APR10" s="1072">
        <f t="shared" ref="APR10:APS10" si="163">APR9*1.1</f>
        <v>8107.0000000000009</v>
      </c>
      <c r="APS10" s="1072">
        <f t="shared" si="163"/>
        <v>6534.0000000000009</v>
      </c>
      <c r="APT10" s="1072">
        <f t="shared" ref="APT10:APU10" si="164">APT9*1.1</f>
        <v>8197.2000000000007</v>
      </c>
      <c r="APU10" s="1072">
        <f t="shared" si="164"/>
        <v>6411.9000000000005</v>
      </c>
      <c r="APV10" s="1072">
        <f t="shared" ref="APV10:APW10" si="165">APV9*1.1</f>
        <v>8567.9000000000015</v>
      </c>
      <c r="APW10" s="1072">
        <f t="shared" si="165"/>
        <v>6199.6</v>
      </c>
      <c r="APX10" s="1072">
        <f t="shared" ref="APX10:APZ10" si="166">APX9*1.1</f>
        <v>6923.4000000000005</v>
      </c>
      <c r="APY10" s="1072">
        <f t="shared" si="166"/>
        <v>5896.0000000000009</v>
      </c>
      <c r="APZ10" s="1072">
        <f t="shared" si="166"/>
        <v>7408.5000000000009</v>
      </c>
      <c r="AQA10" s="1072">
        <f t="shared" ref="AQA10:AQB10" si="167">AQA9*1.1</f>
        <v>5471.4000000000005</v>
      </c>
      <c r="AQB10" s="1072">
        <f t="shared" si="167"/>
        <v>6054.4000000000005</v>
      </c>
      <c r="AQC10" s="1072">
        <f t="shared" ref="AQC10:AQD10" si="168">AQC9*1.1</f>
        <v>7256.7000000000007</v>
      </c>
      <c r="AQD10" s="1072">
        <f t="shared" si="168"/>
        <v>8021.2000000000007</v>
      </c>
      <c r="AQE10" s="1072">
        <f t="shared" ref="AQE10:AQG10" si="169">AQE9*1.1</f>
        <v>5957.6</v>
      </c>
      <c r="AQF10" s="1072">
        <f t="shared" si="169"/>
        <v>6018.1</v>
      </c>
      <c r="AQG10" s="1072">
        <f t="shared" si="169"/>
        <v>6892.6</v>
      </c>
      <c r="AQH10" s="1072">
        <f t="shared" ref="AQH10:AQI10" si="170">AQH9*1.1</f>
        <v>5745.3</v>
      </c>
      <c r="AQI10" s="1072">
        <f t="shared" si="170"/>
        <v>7044.4000000000005</v>
      </c>
      <c r="AQJ10" s="1072">
        <f t="shared" ref="AQJ10:AQK10" si="171">AQJ9*1.1</f>
        <v>5805.8</v>
      </c>
      <c r="AQK10" s="1072">
        <f t="shared" si="171"/>
        <v>7135.7000000000007</v>
      </c>
      <c r="AQL10" s="1072">
        <f t="shared" ref="AQL10:AQN10" si="172">AQL9*1.1</f>
        <v>5683.7000000000007</v>
      </c>
      <c r="AQM10" s="1072">
        <f t="shared" si="172"/>
        <v>5835.5000000000009</v>
      </c>
      <c r="AQN10" s="1072">
        <f t="shared" si="172"/>
        <v>7135.7000000000007</v>
      </c>
      <c r="AQO10" s="1072">
        <f t="shared" ref="AQO10:ARS10" si="173">AQO9*1.13</f>
        <v>7580.0399999999991</v>
      </c>
      <c r="AQP10" s="1072">
        <f t="shared" si="173"/>
        <v>5558.4699999999993</v>
      </c>
      <c r="AQQ10" s="1072">
        <f t="shared" si="173"/>
        <v>6120.079999999999</v>
      </c>
      <c r="AQR10" s="1072">
        <f t="shared" si="173"/>
        <v>7580.0399999999991</v>
      </c>
      <c r="AQS10" s="1072">
        <f t="shared" si="173"/>
        <v>7461.3899999999994</v>
      </c>
      <c r="AQT10" s="1072">
        <f t="shared" si="173"/>
        <v>5776.5599999999995</v>
      </c>
      <c r="AQU10" s="1072">
        <f t="shared" si="173"/>
        <v>5652.2599999999993</v>
      </c>
      <c r="AQV10" s="1072">
        <f t="shared" si="173"/>
        <v>7798.1299999999992</v>
      </c>
      <c r="AQW10" s="1072">
        <f t="shared" si="173"/>
        <v>5746.0499999999993</v>
      </c>
      <c r="AQX10" s="1072">
        <f t="shared" si="173"/>
        <v>6618.4099999999989</v>
      </c>
      <c r="AQY10" s="1072">
        <f t="shared" si="173"/>
        <v>6462.4699999999993</v>
      </c>
      <c r="AQZ10" s="1072">
        <f t="shared" si="173"/>
        <v>6368.6799999999994</v>
      </c>
      <c r="ARA10" s="1072">
        <f t="shared" si="173"/>
        <v>6805.99</v>
      </c>
      <c r="ARB10" s="1072">
        <f t="shared" si="173"/>
        <v>6561.9099999999989</v>
      </c>
      <c r="ARC10" s="1072">
        <f t="shared" si="173"/>
        <v>6712.2</v>
      </c>
      <c r="ARD10" s="1072">
        <f t="shared" si="173"/>
        <v>6742.7099999999991</v>
      </c>
      <c r="ARE10" s="1072">
        <f t="shared" si="173"/>
        <v>6524.619999999999</v>
      </c>
      <c r="ARF10" s="1072">
        <f t="shared" si="173"/>
        <v>6712.2</v>
      </c>
      <c r="ARG10" s="1072">
        <f t="shared" si="173"/>
        <v>6836.4999999999991</v>
      </c>
      <c r="ARH10" s="1072">
        <f t="shared" si="173"/>
        <v>5914.4199999999992</v>
      </c>
      <c r="ARI10" s="1072">
        <f t="shared" si="173"/>
        <v>6524.619999999999</v>
      </c>
      <c r="ARJ10" s="1072">
        <f t="shared" si="173"/>
        <v>6655.7</v>
      </c>
      <c r="ARK10" s="1072">
        <f t="shared" si="173"/>
        <v>6811.6399999999994</v>
      </c>
      <c r="ARL10" s="1072">
        <f t="shared" si="173"/>
        <v>6868.1399999999994</v>
      </c>
      <c r="ARM10" s="1072">
        <f t="shared" si="173"/>
        <v>7123.5199999999995</v>
      </c>
      <c r="ARN10" s="1072">
        <f t="shared" si="173"/>
        <v>6586.7699999999995</v>
      </c>
      <c r="ARO10" s="1072">
        <f t="shared" si="173"/>
        <v>6843.28</v>
      </c>
      <c r="ARP10" s="1072">
        <f t="shared" si="173"/>
        <v>6742.7099999999991</v>
      </c>
      <c r="ARQ10" s="1072">
        <f t="shared" si="173"/>
        <v>6586.7699999999995</v>
      </c>
      <c r="ARR10" s="1072">
        <f t="shared" si="173"/>
        <v>6680.5599999999995</v>
      </c>
      <c r="ARS10" s="1072">
        <f t="shared" si="173"/>
        <v>6805.99</v>
      </c>
      <c r="ART10" s="1072">
        <f t="shared" ref="ART10:ASA10" si="174">ART9*1.13</f>
        <v>6836.4999999999991</v>
      </c>
      <c r="ARU10" s="1072">
        <f t="shared" si="174"/>
        <v>7222.9599999999991</v>
      </c>
      <c r="ARV10" s="1072">
        <f t="shared" si="174"/>
        <v>7260.2499999999991</v>
      </c>
      <c r="ARW10" s="1072">
        <f t="shared" si="174"/>
        <v>6779.9999999999991</v>
      </c>
      <c r="ARX10" s="1072">
        <f t="shared" si="174"/>
        <v>6898.65</v>
      </c>
      <c r="ARY10" s="1072">
        <f t="shared" si="174"/>
        <v>6992.44</v>
      </c>
      <c r="ARZ10" s="1072">
        <f t="shared" si="174"/>
        <v>6805.99</v>
      </c>
      <c r="ASA10" s="1072">
        <f t="shared" si="174"/>
        <v>6655.7</v>
      </c>
      <c r="ASB10" s="1072">
        <f t="shared" ref="ASB10:ASD10" si="175">ASB9*1.13</f>
        <v>7984.579999999999</v>
      </c>
      <c r="ASC10" s="1072">
        <f t="shared" si="175"/>
        <v>6724.6299999999992</v>
      </c>
      <c r="ASD10" s="1072">
        <f t="shared" si="175"/>
        <v>7548.4</v>
      </c>
      <c r="ASE10" s="1072">
        <f t="shared" ref="ASE10:ASF10" si="176">ASE9*1.13</f>
        <v>7330.3099999999995</v>
      </c>
      <c r="ASF10" s="1072">
        <f t="shared" si="176"/>
        <v>6368.6799999999994</v>
      </c>
      <c r="ASG10" s="1072">
        <f t="shared" ref="ASG10:ASH10" si="177">ASG9*1.13</f>
        <v>7672.6999999999989</v>
      </c>
      <c r="ASH10" s="1072">
        <f t="shared" si="177"/>
        <v>7672.6999999999989</v>
      </c>
      <c r="ASI10" s="1072">
        <f t="shared" ref="ASI10:ASK10" si="178">ASI9*1.13</f>
        <v>8521.33</v>
      </c>
      <c r="ASJ10" s="1072">
        <f t="shared" si="178"/>
        <v>6650.0499999999993</v>
      </c>
      <c r="ASK10" s="1072">
        <f t="shared" si="178"/>
        <v>9019.66</v>
      </c>
      <c r="ASL10" s="1072">
        <f t="shared" ref="ASL10:ASM10" si="179">ASL9*1.13</f>
        <v>7061.369999999999</v>
      </c>
      <c r="ASM10" s="1072">
        <f t="shared" si="179"/>
        <v>8546.1899999999987</v>
      </c>
      <c r="ASN10" s="1072">
        <f t="shared" ref="ASN10:ASP10" si="180">ASN9*1.13</f>
        <v>7348.3899999999994</v>
      </c>
      <c r="ASO10" s="1072">
        <f t="shared" si="180"/>
        <v>8988.0199999999986</v>
      </c>
      <c r="ASP10" s="1072">
        <f t="shared" si="180"/>
        <v>7185.6699999999992</v>
      </c>
      <c r="ASQ10" s="1072">
        <f t="shared" ref="ASQ10:ASR10" si="181">ASQ9*1.13</f>
        <v>8046.73</v>
      </c>
      <c r="ASR10" s="1072">
        <f t="shared" si="181"/>
        <v>6586.7699999999995</v>
      </c>
      <c r="ASS10" s="1072">
        <f t="shared" ref="ASS10:AST10" si="182">ASS9*1.13</f>
        <v>6556.2599999999993</v>
      </c>
      <c r="AST10" s="1072">
        <f t="shared" si="182"/>
        <v>8209.4499999999989</v>
      </c>
      <c r="ASU10" s="1072">
        <f t="shared" ref="ASU10:ASW10" si="183">ASU9*1.13</f>
        <v>6724.6299999999992</v>
      </c>
      <c r="ASV10" s="1072">
        <f t="shared" si="183"/>
        <v>7610.5499999999993</v>
      </c>
      <c r="ASW10" s="1072">
        <f t="shared" si="183"/>
        <v>6469.2499999999991</v>
      </c>
      <c r="ASX10" s="1072">
        <f t="shared" ref="ASX10:ASY10" si="184">ASX9*1.13</f>
        <v>8521.33</v>
      </c>
      <c r="ASY10" s="1072">
        <f t="shared" si="184"/>
        <v>8838.8599999999988</v>
      </c>
      <c r="ASZ10" s="1072">
        <f t="shared" ref="ASZ10:ATA10" si="185">ASZ9*1.13</f>
        <v>6494.11</v>
      </c>
      <c r="ATA10" s="1072">
        <f t="shared" si="185"/>
        <v>7860.2799999999988</v>
      </c>
      <c r="ATB10" s="1072">
        <f t="shared" ref="ATB10:ATC10" si="186">ATB9*1.13</f>
        <v>6063.579999999999</v>
      </c>
      <c r="ATC10" s="1072">
        <f t="shared" si="186"/>
        <v>8420.7599999999984</v>
      </c>
      <c r="ATD10" s="1072">
        <f t="shared" ref="ATD10:ATF10" si="187">ATD9*1.13</f>
        <v>6499.7599999999993</v>
      </c>
      <c r="ATE10" s="1072">
        <f t="shared" si="187"/>
        <v>8303.24</v>
      </c>
      <c r="ATF10" s="1072">
        <f t="shared" si="187"/>
        <v>6400.32</v>
      </c>
      <c r="ATG10" s="1072">
        <f t="shared" ref="ATG10:ATH10" si="188">ATG9*1.13</f>
        <v>8072.7199999999993</v>
      </c>
      <c r="ATH10" s="1072">
        <f t="shared" si="188"/>
        <v>6212.74</v>
      </c>
      <c r="ATI10" s="1072">
        <f t="shared" ref="ATI10:ATJ10" si="189">ATI9*1.13</f>
        <v>8546.1899999999987</v>
      </c>
      <c r="ATJ10" s="1072">
        <f t="shared" si="189"/>
        <v>6524.619999999999</v>
      </c>
      <c r="ATK10" s="1072">
        <f t="shared" ref="ATK10:ATM10" si="190">ATK9*1.13</f>
        <v>8452.4</v>
      </c>
      <c r="ATL10" s="1072">
        <f t="shared" si="190"/>
        <v>6431.9599999999991</v>
      </c>
      <c r="ATM10" s="1072">
        <f t="shared" si="190"/>
        <v>8521.33</v>
      </c>
      <c r="ATN10" s="1072">
        <f t="shared" ref="ATN10:ATO10" si="191">ATN9*1.13</f>
        <v>6774.3499999999995</v>
      </c>
      <c r="ATO10" s="1072">
        <f t="shared" si="191"/>
        <v>8358.6099999999988</v>
      </c>
      <c r="ATP10" s="1072">
        <f t="shared" ref="ATP10:ATQ10" si="192">ATP9*1.13</f>
        <v>6026.2899999999991</v>
      </c>
      <c r="ATQ10" s="1072">
        <f t="shared" si="192"/>
        <v>8464.83</v>
      </c>
      <c r="ATR10" s="1072">
        <f t="shared" ref="ATR10:ATS10" si="193">ATR9*1.13</f>
        <v>6350.5999999999995</v>
      </c>
      <c r="ATS10" s="1072">
        <f t="shared" si="193"/>
        <v>8583.48</v>
      </c>
      <c r="ATT10" s="1072">
        <f t="shared" ref="ATT10:ATU10" si="194">ATT9*1.13</f>
        <v>7054.5899999999992</v>
      </c>
      <c r="ATU10" s="1072">
        <f t="shared" si="194"/>
        <v>6680.5599999999995</v>
      </c>
      <c r="ATV10" s="1072">
        <f t="shared" ref="ATV10:ATW10" si="195">ATV9*1.13</f>
        <v>8328.0999999999985</v>
      </c>
      <c r="ATW10" s="1072">
        <f t="shared" si="195"/>
        <v>8645.6299999999992</v>
      </c>
      <c r="ATX10" s="1072">
        <f t="shared" ref="ATX10" si="196">ATX9*1.13</f>
        <v>5742.66</v>
      </c>
      <c r="ATY10" s="1072">
        <f t="shared" ref="ATY10:AUA10" si="197">ATY9*1.13</f>
        <v>7648.9699999999993</v>
      </c>
      <c r="ATZ10" s="1072">
        <f t="shared" si="197"/>
        <v>5590.11</v>
      </c>
      <c r="AUA10" s="1072">
        <f t="shared" si="197"/>
        <v>5896.3399999999992</v>
      </c>
      <c r="AUB10" s="1072">
        <f t="shared" ref="AUB10:AUC10" si="198">AUB9*1.13</f>
        <v>4716.62</v>
      </c>
      <c r="AUC10" s="1072">
        <f t="shared" si="198"/>
        <v>7890.7899999999991</v>
      </c>
      <c r="AUD10" s="1072">
        <f t="shared" ref="AUD10:AUE10" si="199">AUD9*1.13</f>
        <v>6056.7999999999993</v>
      </c>
      <c r="AUE10" s="1072">
        <f t="shared" si="199"/>
        <v>7672.6999999999989</v>
      </c>
      <c r="AUF10" s="1072">
        <f t="shared" ref="AUF10:AUH10" si="200">AUF9*1.13</f>
        <v>6031.94</v>
      </c>
      <c r="AUG10" s="1072">
        <f t="shared" si="200"/>
        <v>8108.8799999999992</v>
      </c>
      <c r="AUH10" s="1072">
        <f t="shared" si="200"/>
        <v>5964.1399999999994</v>
      </c>
      <c r="AUI10" s="1072">
        <f t="shared" ref="AUI10:AUJ10" si="201">AUI9*1.13</f>
        <v>4722.2699999999995</v>
      </c>
      <c r="AUJ10" s="1072">
        <f t="shared" si="201"/>
        <v>9543.98</v>
      </c>
      <c r="AUK10" s="1072">
        <f t="shared" ref="AUK10:AUL10" si="202">AUK9*1.13</f>
        <v>6462.4699999999993</v>
      </c>
      <c r="AUL10" s="1072">
        <f t="shared" si="202"/>
        <v>8046.73</v>
      </c>
      <c r="AUM10" s="1072">
        <f t="shared" ref="AUM10:AUN10" si="203">AUM9*1.13</f>
        <v>6056.7999999999993</v>
      </c>
      <c r="AUN10" s="1072">
        <f t="shared" si="203"/>
        <v>6368.6799999999994</v>
      </c>
      <c r="AUO10" s="1072">
        <f t="shared" ref="AUO10:AUP10" si="204">AUO9*1.13</f>
        <v>8328.0999999999985</v>
      </c>
      <c r="AUP10" s="1072">
        <f t="shared" si="204"/>
        <v>6056.7999999999993</v>
      </c>
      <c r="AUQ10" s="1072">
        <f t="shared" ref="AUQ10:AUR10" si="205">AUQ9*1.13</f>
        <v>8108.8799999999992</v>
      </c>
      <c r="AUR10" s="1072">
        <f t="shared" si="205"/>
        <v>7828.6399999999994</v>
      </c>
      <c r="AUS10" s="1072">
        <f t="shared" ref="AUS10:AUT10" si="206">AUS9*1.13</f>
        <v>6338.1699999999992</v>
      </c>
      <c r="AUT10" s="1072">
        <f t="shared" si="206"/>
        <v>7798.1299999999992</v>
      </c>
      <c r="AUU10" s="1072">
        <f t="shared" ref="AUU10:AUV10" si="207">AUU9*1.13</f>
        <v>6742.7099999999991</v>
      </c>
      <c r="AUV10" s="1072">
        <f t="shared" si="207"/>
        <v>6150.5899999999992</v>
      </c>
      <c r="AUW10" s="1072">
        <f t="shared" ref="AUW10:AUX10" si="208">AUW9*1.13</f>
        <v>7890.7899999999991</v>
      </c>
      <c r="AUX10" s="1072">
        <f t="shared" si="208"/>
        <v>7486.2499999999991</v>
      </c>
      <c r="AUY10" s="1072">
        <f t="shared" ref="AUY10:AUZ10" si="209">AUY9*1.13</f>
        <v>6462.4699999999993</v>
      </c>
      <c r="AUZ10" s="1072">
        <f t="shared" si="209"/>
        <v>7630.8899999999994</v>
      </c>
      <c r="AVA10" s="1072">
        <f t="shared" ref="AVA10:AVC10" si="210">AVA9*1.13</f>
        <v>5714.41</v>
      </c>
      <c r="AVB10" s="1072">
        <f t="shared" si="210"/>
        <v>7080.579999999999</v>
      </c>
      <c r="AVC10" s="1072">
        <f t="shared" si="210"/>
        <v>5558.4699999999993</v>
      </c>
      <c r="AVD10" s="1072">
        <f t="shared" ref="AVD10:AVE10" si="211">AVD9*1.13</f>
        <v>6026.2899999999991</v>
      </c>
      <c r="AVE10" s="1072">
        <f t="shared" si="211"/>
        <v>6182.23</v>
      </c>
      <c r="AVF10" s="1072">
        <f t="shared" ref="AVF10:AVG10" si="212">AVF9*1.13</f>
        <v>5002.5099999999993</v>
      </c>
      <c r="AVG10" s="1072">
        <f t="shared" si="212"/>
        <v>7672.6999999999989</v>
      </c>
      <c r="AVH10" s="1072">
        <f t="shared" ref="AVH10:AVJ10" si="213">AVH9*1.13</f>
        <v>6469.2499999999991</v>
      </c>
      <c r="AVI10" s="1072">
        <f t="shared" si="213"/>
        <v>6306.53</v>
      </c>
      <c r="AVJ10" s="1072">
        <f t="shared" si="213"/>
        <v>6088.44</v>
      </c>
      <c r="AVK10" s="1072">
        <f t="shared" ref="AVK10:AVL10" si="214">AVK9*1.13</f>
        <v>6276.0199999999995</v>
      </c>
      <c r="AVL10" s="1072">
        <f t="shared" si="214"/>
        <v>8016.2199999999993</v>
      </c>
      <c r="AVM10" s="1072">
        <f t="shared" ref="AVM10:AVN10" si="215">AVM9*1.13</f>
        <v>6556.2599999999993</v>
      </c>
      <c r="AVN10" s="1072">
        <f t="shared" si="215"/>
        <v>6524.619999999999</v>
      </c>
      <c r="AVO10" s="1072">
        <f t="shared" ref="AVO10:AVQ10" si="216">AVO9*1.13</f>
        <v>6836.4999999999991</v>
      </c>
      <c r="AVP10" s="1072">
        <f t="shared" si="216"/>
        <v>6120.079999999999</v>
      </c>
      <c r="AVQ10" s="1072">
        <f t="shared" si="216"/>
        <v>4816.0599999999995</v>
      </c>
      <c r="AVR10" s="1072">
        <f t="shared" ref="AVR10:AVS10" si="217">AVR9*1.13</f>
        <v>4784.4199999999992</v>
      </c>
      <c r="AVS10" s="1072">
        <f t="shared" si="217"/>
        <v>4504.1799999999994</v>
      </c>
      <c r="AVT10" s="1072">
        <f t="shared" ref="AVT10:AVU10" si="218">AVT9*1.13</f>
        <v>4566.33</v>
      </c>
      <c r="AVU10" s="1072">
        <f t="shared" si="218"/>
        <v>4597.9699999999993</v>
      </c>
      <c r="AVV10" s="1072">
        <f t="shared" ref="AVV10:AVX10" si="219">AVV9*1.13</f>
        <v>4722.2699999999995</v>
      </c>
      <c r="AVW10" s="1072">
        <f t="shared" si="219"/>
        <v>6150.5899999999992</v>
      </c>
      <c r="AVX10" s="1072">
        <f t="shared" si="219"/>
        <v>6306.53</v>
      </c>
      <c r="AVY10" s="1072">
        <f t="shared" ref="AVY10:AVZ10" si="220">AVY9*1.13</f>
        <v>7798.1299999999992</v>
      </c>
      <c r="AVZ10" s="1072">
        <f t="shared" si="220"/>
        <v>6400.32</v>
      </c>
      <c r="AWA10" s="1072">
        <f t="shared" ref="AWA10:AWB10" si="221">AWA9*1.13</f>
        <v>7922.4299999999994</v>
      </c>
      <c r="AWB10" s="1072">
        <f t="shared" si="221"/>
        <v>6368.6799999999994</v>
      </c>
      <c r="AWC10" s="1072">
        <f t="shared" ref="AWC10:AWE10" si="222">AWC9*1.13</f>
        <v>8264.82</v>
      </c>
      <c r="AWD10" s="1072">
        <f t="shared" si="222"/>
        <v>7922.4299999999994</v>
      </c>
      <c r="AWE10" s="1072">
        <f t="shared" si="222"/>
        <v>6368.6799999999994</v>
      </c>
      <c r="AWF10" s="1072">
        <f t="shared" ref="AWF10:AWH10" si="223">AWF9*1.13</f>
        <v>7734.8499999999995</v>
      </c>
      <c r="AWG10" s="1072">
        <f t="shared" si="223"/>
        <v>5964.1399999999994</v>
      </c>
      <c r="AWH10" s="1072">
        <f t="shared" si="223"/>
        <v>4628.4799999999996</v>
      </c>
      <c r="AWI10" s="1072">
        <f t="shared" ref="AWI10:AWL10" si="224">AWI9*1.13</f>
        <v>7642.19</v>
      </c>
      <c r="AWJ10" s="1072">
        <f t="shared" si="224"/>
        <v>5620.62</v>
      </c>
      <c r="AWK10" s="1072">
        <f t="shared" si="224"/>
        <v>4192.2999999999993</v>
      </c>
      <c r="AWL10" s="1072">
        <f t="shared" si="224"/>
        <v>6768.6999999999989</v>
      </c>
      <c r="AWM10" s="1072">
        <f t="shared" ref="AWM10:AWN10" si="225">AWM9*1.13</f>
        <v>5090.6499999999996</v>
      </c>
      <c r="AWN10" s="1072">
        <f t="shared" si="225"/>
        <v>4934.7099999999991</v>
      </c>
      <c r="AWO10" s="1072">
        <f t="shared" ref="AWO10:AWP10" si="226">AWO9*1.13</f>
        <v>3506.39</v>
      </c>
      <c r="AWP10" s="1072">
        <f t="shared" si="226"/>
        <v>5834.19</v>
      </c>
      <c r="AWQ10" s="1072">
        <f t="shared" ref="AWQ10:AWS10" si="227">AWQ9*1.13</f>
        <v>4934.7099999999991</v>
      </c>
      <c r="AWR10" s="1072">
        <f t="shared" si="227"/>
        <v>3912.0599999999995</v>
      </c>
      <c r="AWS10" s="1072">
        <f t="shared" si="227"/>
        <v>6488.4599999999991</v>
      </c>
      <c r="AWT10" s="1072">
        <f t="shared" ref="AWT10:AWU10" si="228">AWT9*1.13</f>
        <v>5184.4399999999996</v>
      </c>
      <c r="AWU10" s="1072">
        <f t="shared" si="228"/>
        <v>3912.0599999999995</v>
      </c>
      <c r="AWV10" s="1072">
        <f t="shared" ref="AWV10:AWW10" si="229">AWV9*1.13</f>
        <v>5808.2</v>
      </c>
      <c r="AWW10" s="1072">
        <f t="shared" si="229"/>
        <v>8358.6099999999988</v>
      </c>
      <c r="AWX10" s="1072">
        <f t="shared" ref="AWX10:AWZ10" si="230">AWX9*1.13</f>
        <v>4971.9999999999991</v>
      </c>
      <c r="AWY10" s="1072">
        <f t="shared" si="230"/>
        <v>8140.5199999999995</v>
      </c>
      <c r="AWZ10" s="1072">
        <f t="shared" si="230"/>
        <v>6431.9599999999991</v>
      </c>
      <c r="AXA10" s="1072">
        <f t="shared" ref="AXA10" si="231">AXA9*1.13</f>
        <v>6276.0199999999995</v>
      </c>
      <c r="AXB10" s="1072">
        <f t="shared" ref="AXB10" si="232">AXB9*1.13</f>
        <v>6556.2599999999993</v>
      </c>
      <c r="AXC10" s="1072">
        <f t="shared" ref="AXC10" si="233">AXC9*1.13</f>
        <v>6400.32</v>
      </c>
      <c r="AXD10" s="1072">
        <f t="shared" ref="AXD10" si="234">AXD9*1.13</f>
        <v>6088.44</v>
      </c>
      <c r="AXE10" s="1072">
        <f t="shared" ref="AXE10" si="235">AXE9*1.13</f>
        <v>6556.2599999999993</v>
      </c>
      <c r="AXF10" s="1072">
        <f t="shared" ref="AXF10:AXH10" si="236">AXF9*1.13</f>
        <v>6586.7699999999995</v>
      </c>
      <c r="AXG10" s="1072">
        <f t="shared" si="236"/>
        <v>6680.5599999999995</v>
      </c>
      <c r="AXH10" s="1072">
        <f t="shared" si="236"/>
        <v>6960.7999999999993</v>
      </c>
      <c r="AXI10" s="1072">
        <f t="shared" ref="AXI10:AXK10" si="237">AXI9*1.13</f>
        <v>6712.2</v>
      </c>
      <c r="AXJ10" s="1072">
        <f t="shared" si="237"/>
        <v>5220.5999999999995</v>
      </c>
      <c r="AXK10" s="1072">
        <f t="shared" si="237"/>
        <v>6805.99</v>
      </c>
      <c r="AXL10" s="1072">
        <f t="shared" ref="AXL10:AXM10" si="238">AXL9*1.13</f>
        <v>8608.3399999999983</v>
      </c>
      <c r="AXM10" s="1072">
        <f t="shared" si="238"/>
        <v>7024.079999999999</v>
      </c>
      <c r="AXN10" s="1072">
        <f t="shared" ref="AXN10:AXO10" si="239">AXN9*1.13</f>
        <v>7309.9699999999993</v>
      </c>
      <c r="AXO10" s="1072">
        <f t="shared" si="239"/>
        <v>6680.5599999999995</v>
      </c>
      <c r="AXP10" s="1072">
        <f t="shared" ref="AXP10:AXQ10" si="240">AXP9*1.13</f>
        <v>7828.6399999999994</v>
      </c>
      <c r="AXQ10" s="1072">
        <f t="shared" si="240"/>
        <v>6524.619999999999</v>
      </c>
      <c r="AXR10" s="1072">
        <f t="shared" ref="AXR10:AXS10" si="241">AXR9*1.13</f>
        <v>6276.0199999999995</v>
      </c>
      <c r="AXS10" s="1072">
        <f t="shared" si="241"/>
        <v>8328.0999999999985</v>
      </c>
      <c r="AXT10" s="1072">
        <f t="shared" ref="AXT10" si="242">AXT9*1.13</f>
        <v>6306.53</v>
      </c>
      <c r="AXU10" s="1072">
        <f t="shared" ref="AXU10:AXV10" si="243">AXU9*1.13</f>
        <v>8264.82</v>
      </c>
      <c r="AXV10" s="1072">
        <f t="shared" si="243"/>
        <v>7798.1299999999992</v>
      </c>
      <c r="AXW10" s="1072">
        <f t="shared" ref="AXW10" si="244">AXW9*1.13</f>
        <v>6338.1699999999992</v>
      </c>
      <c r="AXX10" s="1072">
        <f t="shared" ref="AXX10" si="245">AXX9*1.13</f>
        <v>7860.2799999999988</v>
      </c>
      <c r="AXY10" s="1072">
        <f t="shared" ref="AXY10" si="246">AXY9*1.13</f>
        <v>6431.9599999999991</v>
      </c>
      <c r="AXZ10" s="1072">
        <f t="shared" ref="AXZ10:AYA10" si="247">AXZ9*1.13</f>
        <v>8046.73</v>
      </c>
      <c r="AYA10" s="1072">
        <f t="shared" si="247"/>
        <v>6120.079999999999</v>
      </c>
      <c r="AYB10" s="1072">
        <f t="shared" ref="AYB10" si="248">AYB9*1.13</f>
        <v>7580.0399999999991</v>
      </c>
      <c r="AYC10" s="1072">
        <f t="shared" ref="AYC10" si="249">AYC9*1.13</f>
        <v>5714.41</v>
      </c>
      <c r="AYD10" s="1072">
        <f t="shared" ref="AYD10:AYE10" si="250">AYD9*1.13</f>
        <v>5682.7699999999995</v>
      </c>
      <c r="AYE10" s="1072">
        <f t="shared" si="250"/>
        <v>7392.4599999999991</v>
      </c>
      <c r="AYF10" s="1072">
        <f t="shared" ref="AYF10:AYK10" si="251">AYF9*1.13</f>
        <v>5776.5599999999995</v>
      </c>
      <c r="AYG10" s="1072">
        <f t="shared" si="251"/>
        <v>7112.2199999999993</v>
      </c>
      <c r="AYH10" s="1072">
        <f t="shared" si="251"/>
        <v>5682.7699999999995</v>
      </c>
      <c r="AYI10" s="1072">
        <f t="shared" si="251"/>
        <v>6582.2499999999991</v>
      </c>
      <c r="AYJ10" s="1072">
        <f t="shared" si="251"/>
        <v>6768.6999999999989</v>
      </c>
      <c r="AYK10" s="1072">
        <f t="shared" si="251"/>
        <v>6120.079999999999</v>
      </c>
      <c r="AYL10" s="1072">
        <f t="shared" ref="AYL10:AYM10" si="252">AYL9*1.13</f>
        <v>5994.65</v>
      </c>
      <c r="AYM10" s="1072">
        <f t="shared" si="252"/>
        <v>6431.9599999999991</v>
      </c>
      <c r="AYN10" s="1072">
        <f t="shared" ref="AYN10:AYP10" si="253">AYN9*1.13</f>
        <v>6182.23</v>
      </c>
      <c r="AYO10" s="1072">
        <f t="shared" si="253"/>
        <v>6238.73</v>
      </c>
      <c r="AYP10" s="1072">
        <f t="shared" si="253"/>
        <v>4592.32</v>
      </c>
      <c r="AYQ10" s="1072">
        <f t="shared" ref="AYQ10:AYR10" si="254">AYQ9*1.13</f>
        <v>6612.7599999999993</v>
      </c>
      <c r="AYR10" s="1072">
        <f t="shared" si="254"/>
        <v>6244.3799999999992</v>
      </c>
      <c r="AYS10" s="1072">
        <f t="shared" ref="AYS10:AYT10" si="255">AYS9*1.13</f>
        <v>5995.78</v>
      </c>
      <c r="AYT10" s="1072">
        <f t="shared" si="255"/>
        <v>7548.4</v>
      </c>
      <c r="AYU10" s="1072">
        <f t="shared" ref="AYU10:AYW10" si="256">AYU9*1.13</f>
        <v>5994.65</v>
      </c>
      <c r="AYV10" s="1072">
        <f t="shared" si="256"/>
        <v>7704.3399999999992</v>
      </c>
      <c r="AYW10" s="1072">
        <f t="shared" si="256"/>
        <v>6056.7999999999993</v>
      </c>
      <c r="AYX10" s="1072">
        <f t="shared" ref="AYX10:AYY10" si="257">AYX9*1.13</f>
        <v>7454.61</v>
      </c>
      <c r="AYY10" s="1072">
        <f t="shared" si="257"/>
        <v>7080.579999999999</v>
      </c>
      <c r="AYZ10" s="1072">
        <f t="shared" ref="AYZ10:AZA10" si="258">AYZ9*1.13</f>
        <v>5682.7699999999995</v>
      </c>
      <c r="AZA10" s="1072">
        <f t="shared" si="258"/>
        <v>6862.49</v>
      </c>
      <c r="AZB10" s="1072">
        <f t="shared" ref="AZB10:AZD10" si="259">AZB9*1.13</f>
        <v>4472.54</v>
      </c>
      <c r="AZC10" s="1072">
        <f t="shared" si="259"/>
        <v>6150.5899999999992</v>
      </c>
      <c r="AZD10" s="1072">
        <f t="shared" si="259"/>
        <v>4722.2699999999995</v>
      </c>
      <c r="AZE10" s="1072">
        <f t="shared" ref="AZE10:AZF10" si="260">AZE9*1.13</f>
        <v>4628.4799999999996</v>
      </c>
      <c r="AZF10" s="1072">
        <f t="shared" si="260"/>
        <v>4753.91</v>
      </c>
      <c r="AZG10" s="1072">
        <f t="shared" ref="AZG10:AZH10" si="261">AZG9*1.13</f>
        <v>4660.12</v>
      </c>
      <c r="AZH10" s="1072">
        <f t="shared" si="261"/>
        <v>4816.0599999999995</v>
      </c>
      <c r="AZI10" s="1072">
        <f t="shared" ref="AZI10:AZK10" si="262">AZI9*1.13</f>
        <v>4690.6299999999992</v>
      </c>
      <c r="AZJ10" s="1072">
        <f t="shared" si="262"/>
        <v>4690.6299999999992</v>
      </c>
      <c r="AZK10" s="1072">
        <f t="shared" si="262"/>
        <v>3106.37</v>
      </c>
      <c r="AZL10" s="1072">
        <f t="shared" ref="AZL10:AZM10" si="263">AZL9*1.13</f>
        <v>6244.3799999999992</v>
      </c>
      <c r="AZM10" s="1072">
        <f t="shared" si="263"/>
        <v>4753.91</v>
      </c>
      <c r="AZN10" s="1072">
        <f t="shared" ref="AZN10:AZO10" si="264">AZN9*1.13</f>
        <v>8147.2999999999993</v>
      </c>
      <c r="AZO10" s="1072">
        <f t="shared" si="264"/>
        <v>7860.2799999999988</v>
      </c>
      <c r="AZP10" s="1072">
        <f t="shared" ref="AZP10:AZR10" si="265">AZP9*1.13</f>
        <v>6742.7099999999991</v>
      </c>
      <c r="AZQ10" s="1072">
        <f t="shared" si="265"/>
        <v>6811.6399999999994</v>
      </c>
      <c r="AZR10" s="1072">
        <f t="shared" si="265"/>
        <v>7984.579999999999</v>
      </c>
      <c r="AZS10" s="1072">
        <f t="shared" ref="AZS10:AZT10" si="266">AZS9*1.13</f>
        <v>6712.2</v>
      </c>
      <c r="AZT10" s="1072">
        <f t="shared" si="266"/>
        <v>8271.5999999999985</v>
      </c>
      <c r="AZU10" s="1072">
        <f t="shared" ref="AZU10:AZV10" si="267">AZU9*1.13</f>
        <v>6774.3499999999995</v>
      </c>
      <c r="AZV10" s="1072">
        <f t="shared" si="267"/>
        <v>6586.7699999999995</v>
      </c>
      <c r="AZW10" s="1072">
        <f t="shared" ref="AZW10:AZY10" si="268">AZW9*1.13</f>
        <v>7185.6699999999992</v>
      </c>
      <c r="AZX10" s="1072">
        <f t="shared" si="268"/>
        <v>8745.07</v>
      </c>
      <c r="AZY10" s="1072">
        <f t="shared" si="268"/>
        <v>7890.7899999999991</v>
      </c>
      <c r="AZZ10" s="1072">
        <f t="shared" ref="AZZ10:BAA10" si="269">AZZ9*1.13</f>
        <v>7298.6699999999992</v>
      </c>
      <c r="BAA10" s="1072">
        <f t="shared" si="269"/>
        <v>6306.53</v>
      </c>
      <c r="BAB10" s="1072">
        <f t="shared" ref="BAB10:BAD10" si="270">BAB9*1.13</f>
        <v>7661.4</v>
      </c>
      <c r="BAC10" s="1072">
        <f t="shared" si="270"/>
        <v>8758.6299999999992</v>
      </c>
      <c r="BAD10" s="1072">
        <f t="shared" si="270"/>
        <v>7112.2199999999993</v>
      </c>
      <c r="BAE10" s="1072">
        <f t="shared" ref="BAE10:BAF10" si="271">BAE9*1.13</f>
        <v>7268.1599999999989</v>
      </c>
      <c r="BAF10" s="1072">
        <f t="shared" si="271"/>
        <v>7050.07</v>
      </c>
      <c r="BAG10" s="1072">
        <f t="shared" ref="BAG10:BAH10" si="272">BAG9*1.13</f>
        <v>6894.1299999999992</v>
      </c>
      <c r="BAH10" s="1072">
        <f t="shared" si="272"/>
        <v>7268.1599999999989</v>
      </c>
      <c r="BAI10" s="1072">
        <f t="shared" ref="BAI10:BAJ10" si="273">BAI9*1.13</f>
        <v>6146.07</v>
      </c>
      <c r="BAJ10" s="1072">
        <f t="shared" si="273"/>
        <v>7080.579999999999</v>
      </c>
      <c r="BAK10" s="1072">
        <f t="shared" ref="BAK10:BAM10" si="274">BAK9*1.13</f>
        <v>6176.579999999999</v>
      </c>
      <c r="BAL10" s="1072">
        <f t="shared" si="274"/>
        <v>5994.65</v>
      </c>
      <c r="BAM10" s="1072">
        <f t="shared" si="274"/>
        <v>7174.369999999999</v>
      </c>
      <c r="BAN10" s="1072">
        <f t="shared" ref="BAN10:BAO10" si="275">BAN9*1.13</f>
        <v>5838.7099999999991</v>
      </c>
      <c r="BAO10" s="1072">
        <f t="shared" si="275"/>
        <v>5682.7699999999995</v>
      </c>
      <c r="BAP10" s="1072">
        <f t="shared" ref="BAP10:BAQ10" si="276">BAP9*1.13</f>
        <v>7268.1599999999989</v>
      </c>
      <c r="BAQ10" s="1072">
        <f t="shared" si="276"/>
        <v>7050.07</v>
      </c>
      <c r="BAR10" s="1072">
        <f t="shared" ref="BAR10:BAT10" si="277">BAR9*1.13</f>
        <v>5808.2</v>
      </c>
      <c r="BAS10" s="1072">
        <f t="shared" si="277"/>
        <v>6524.619999999999</v>
      </c>
      <c r="BAT10" s="1072">
        <f t="shared" si="277"/>
        <v>6774.3499999999995</v>
      </c>
      <c r="BAU10" s="1072">
        <f t="shared" ref="BAU10:BAV10" si="278">BAU9*1.13</f>
        <v>6524.619999999999</v>
      </c>
      <c r="BAV10" s="1072">
        <f t="shared" si="278"/>
        <v>6618.4099999999989</v>
      </c>
      <c r="BAW10" s="1072">
        <f t="shared" ref="BAW10:BAX10" si="279">BAW9*1.13</f>
        <v>6276.0199999999995</v>
      </c>
      <c r="BAX10" s="1072">
        <f t="shared" si="279"/>
        <v>5340.3799999999992</v>
      </c>
      <c r="BAY10" s="1072">
        <f t="shared" ref="BAY10:BBA10" si="280">BAY9*1.13</f>
        <v>4427.3399999999992</v>
      </c>
      <c r="BAZ10" s="1072">
        <f t="shared" si="280"/>
        <v>4280.4399999999996</v>
      </c>
      <c r="BBA10" s="1072">
        <f t="shared" si="280"/>
        <v>4472.54</v>
      </c>
      <c r="BBB10" s="1072">
        <f t="shared" ref="BBB10:BBC10" si="281">BBB9*1.13</f>
        <v>6276.0199999999995</v>
      </c>
      <c r="BBC10" s="1072">
        <f t="shared" si="281"/>
        <v>5034.1499999999996</v>
      </c>
      <c r="BBD10" s="1072">
        <f t="shared" ref="BBD10:BBE10" si="282">BBD9*1.13</f>
        <v>4940.3599999999997</v>
      </c>
      <c r="BBE10" s="1072">
        <f t="shared" si="282"/>
        <v>5346.03</v>
      </c>
      <c r="BBF10" s="1072">
        <f t="shared" ref="BBF10:BBH10" si="283">BBF9*1.13</f>
        <v>7086.23</v>
      </c>
      <c r="BBG10" s="1072">
        <f t="shared" si="283"/>
        <v>3418.2499999999995</v>
      </c>
      <c r="BBH10" s="1072">
        <f t="shared" si="283"/>
        <v>5252.24</v>
      </c>
      <c r="BBI10" s="1072">
        <f t="shared" ref="BBI10:BBJ10" si="284">BBI9*1.13</f>
        <v>7954.0699999999988</v>
      </c>
      <c r="BBJ10" s="1072">
        <f t="shared" si="284"/>
        <v>7865.9299999999994</v>
      </c>
      <c r="BBK10" s="1072">
        <f t="shared" ref="BBK10:BBL10" si="285">BBK9*1.13</f>
        <v>8390.25</v>
      </c>
      <c r="BBL10" s="1072">
        <f t="shared" si="285"/>
        <v>7984.579999999999</v>
      </c>
      <c r="BBM10" s="1072">
        <f t="shared" ref="BBM10:BBO10" si="286">BBM9*1.13</f>
        <v>7704.3399999999992</v>
      </c>
      <c r="BBN10" s="1072">
        <f t="shared" si="286"/>
        <v>9444.5399999999991</v>
      </c>
      <c r="BBO10" s="1072">
        <f t="shared" si="286"/>
        <v>6368.6799999999994</v>
      </c>
      <c r="BBP10" s="1072">
        <f t="shared" ref="BBP10:BBQ10" si="287">BBP9*1.13</f>
        <v>9288.5999999999985</v>
      </c>
      <c r="BBQ10" s="1072">
        <f t="shared" si="287"/>
        <v>8140.5199999999995</v>
      </c>
      <c r="BBR10" s="1072">
        <f t="shared" ref="BBR10" si="288">BBR9*1.13</f>
        <v>8264.82</v>
      </c>
      <c r="BBS10" s="1072">
        <f t="shared" ref="BBS10:BBV10" si="289">BBS9*1.13</f>
        <v>7890.7899999999991</v>
      </c>
      <c r="BBT10" s="1072">
        <f t="shared" si="289"/>
        <v>7828.6399999999994</v>
      </c>
      <c r="BBU10" s="1072">
        <f t="shared" si="289"/>
        <v>7922.4299999999994</v>
      </c>
      <c r="BBV10" s="1072">
        <f t="shared" si="289"/>
        <v>8172.1599999999989</v>
      </c>
      <c r="BBW10" s="1072">
        <f t="shared" ref="BBW10:BBX10" si="290">BBW9*1.13</f>
        <v>7798.1299999999992</v>
      </c>
      <c r="BBX10" s="1072">
        <f t="shared" si="290"/>
        <v>8016.2199999999993</v>
      </c>
      <c r="BBY10" s="1072">
        <f t="shared" ref="BBY10:BBZ10" si="291">BBY9*1.13</f>
        <v>7672.6999999999989</v>
      </c>
      <c r="BBZ10" s="1072">
        <f t="shared" si="291"/>
        <v>7516.7599999999993</v>
      </c>
      <c r="BCA10" s="1072">
        <f t="shared" ref="BCA10:BCC10" si="292">BCA9*1.13</f>
        <v>7580.0399999999991</v>
      </c>
      <c r="BCB10" s="1072">
        <f t="shared" si="292"/>
        <v>7766.4899999999989</v>
      </c>
      <c r="BCC10" s="1072">
        <f t="shared" si="292"/>
        <v>7112.2199999999993</v>
      </c>
      <c r="BCD10" s="1072">
        <f t="shared" ref="BCD10:BCE10" si="293">BCD9*1.13</f>
        <v>7298.6699999999992</v>
      </c>
      <c r="BCE10" s="1072">
        <f t="shared" si="293"/>
        <v>6338.1699999999992</v>
      </c>
      <c r="BCF10" s="1072">
        <f t="shared" ref="BCF10:BCG10" si="294">BCF9*1.13</f>
        <v>7672.6999999999989</v>
      </c>
      <c r="BCG10" s="1072">
        <f t="shared" si="294"/>
        <v>6494.11</v>
      </c>
      <c r="BCH10" s="1072">
        <f t="shared" ref="BCH10:BCJ10" si="295">BCH9*1.13</f>
        <v>7672.6999999999989</v>
      </c>
      <c r="BCI10" s="1072">
        <f t="shared" si="295"/>
        <v>6375.4599999999991</v>
      </c>
      <c r="BCJ10" s="1072">
        <f t="shared" si="295"/>
        <v>7516.7599999999993</v>
      </c>
      <c r="BCK10" s="1072">
        <f t="shared" ref="BCK10:BCL10" si="296">BCK9*1.13</f>
        <v>5901.99</v>
      </c>
      <c r="BCL10" s="1072">
        <f t="shared" si="296"/>
        <v>5746.0499999999993</v>
      </c>
      <c r="BCM10" s="1072">
        <f t="shared" ref="BCM10:BCN10" si="297">BCM9*1.13</f>
        <v>6738.19</v>
      </c>
      <c r="BCN10" s="1072">
        <f t="shared" si="297"/>
        <v>5932.4999999999991</v>
      </c>
      <c r="BCO10" s="1072">
        <f t="shared" ref="BCO10" si="298">BCO9*1.13</f>
        <v>5246.5899999999992</v>
      </c>
      <c r="BCP10" s="1072">
        <f t="shared" ref="BCP10" si="299">BCP9*1.13</f>
        <v>7865.9299999999994</v>
      </c>
      <c r="BCQ10" s="1072">
        <f t="shared" ref="BCQ10" si="300">BCQ9*1.13</f>
        <v>4934.7099999999991</v>
      </c>
      <c r="BCR10" s="1072">
        <f t="shared" ref="BCR10" si="301">BCR9*1.13</f>
        <v>6052.28</v>
      </c>
      <c r="BCS10" s="1072">
        <f t="shared" ref="BCS10" si="302">BCS9*1.13</f>
        <v>2576.3999999999996</v>
      </c>
      <c r="BCT10" s="1072">
        <f t="shared" ref="BCT10" si="303">BCT9*1.13</f>
        <v>6026.2899999999991</v>
      </c>
      <c r="BCU10" s="1072">
        <f t="shared" ref="BCU10" si="304">BCU9*1.13</f>
        <v>5402.53</v>
      </c>
      <c r="BCV10" s="1072">
        <f t="shared" ref="BCV10" si="305">BCV9*1.13</f>
        <v>6182.23</v>
      </c>
      <c r="BCW10" s="1072">
        <f t="shared" ref="BCW10" si="306">BCW9*1.13</f>
        <v>6524.619999999999</v>
      </c>
      <c r="BCX10" s="1072">
        <f t="shared" ref="BCX10" si="307">BCX9*1.13</f>
        <v>4971.9999999999991</v>
      </c>
      <c r="BCY10" s="1072">
        <f t="shared" ref="BCY10" si="308">BCY9*1.13</f>
        <v>8215.0999999999985</v>
      </c>
      <c r="BCZ10" s="1072">
        <f t="shared" ref="BCZ10" si="309">BCZ9*1.13</f>
        <v>8249</v>
      </c>
      <c r="BDA10" s="1072">
        <f t="shared" ref="BDA10" si="310">BDA9*1.13</f>
        <v>6337.0399999999991</v>
      </c>
      <c r="BDB10" s="1072">
        <f t="shared" ref="BDB10:BDC10" si="311">BDB9*1.13</f>
        <v>4971.9999999999991</v>
      </c>
      <c r="BDC10" s="1072">
        <f t="shared" si="311"/>
        <v>8203.7999999999993</v>
      </c>
      <c r="BDD10" s="1072">
        <f t="shared" ref="BDD10" si="312">BDD9*1.13</f>
        <v>6618.4099999999989</v>
      </c>
      <c r="BDE10" s="1072">
        <f t="shared" ref="BDE10" si="313">BDE9*1.13</f>
        <v>6369.8099999999995</v>
      </c>
      <c r="BDF10" s="1072">
        <f t="shared" ref="BDF10" si="314">BDF9*1.13</f>
        <v>5002.5099999999993</v>
      </c>
      <c r="BDG10" s="1072">
        <f t="shared" ref="BDG10" si="315">BDG9*1.13</f>
        <v>6400.32</v>
      </c>
      <c r="BDH10" s="1072">
        <f t="shared" ref="BDH10" si="316">BDH9*1.13</f>
        <v>6244.3799999999992</v>
      </c>
      <c r="BDI10" s="1072">
        <f t="shared" ref="BDI10" si="317">BDI9*1.13</f>
        <v>6556.2599999999993</v>
      </c>
      <c r="BDJ10" s="1072">
        <f t="shared" ref="BDJ10" si="318">BDJ9*1.13</f>
        <v>6524.619999999999</v>
      </c>
      <c r="BDK10" s="1072">
        <f t="shared" ref="BDK10" si="319">BDK9*1.13</f>
        <v>6462.4699999999993</v>
      </c>
      <c r="BDL10" s="1072">
        <f t="shared" ref="BDL10" si="320">BDL9*1.13</f>
        <v>6431.9599999999991</v>
      </c>
      <c r="BDM10" s="1072">
        <f t="shared" ref="BDM10" si="321">BDM9*1.13</f>
        <v>6524.619999999999</v>
      </c>
      <c r="BDN10" s="1072">
        <f t="shared" ref="BDN10" si="322">BDN9*1.13</f>
        <v>5870.3499999999995</v>
      </c>
      <c r="BDO10" s="1072">
        <f t="shared" ref="BDO10" si="323">BDO9*1.13</f>
        <v>6400.32</v>
      </c>
      <c r="BDP10" s="1072">
        <f t="shared" ref="BDP10" si="324">BDP9*1.13</f>
        <v>6056.7999999999993</v>
      </c>
      <c r="BDQ10" s="1072">
        <f t="shared" ref="BDQ10" si="325">BDQ9*1.13</f>
        <v>3974.2099999999996</v>
      </c>
      <c r="BDR10" s="1072">
        <f t="shared" ref="BDR10" si="326">BDR9*1.13</f>
        <v>4971.9999999999991</v>
      </c>
      <c r="BDS10" s="1072">
        <f t="shared" ref="BDS10" si="327">BDS9*1.13</f>
        <v>5158.45</v>
      </c>
      <c r="BDT10" s="1072">
        <f t="shared" ref="BDT10" si="328">BDT9*1.13</f>
        <v>3542.5499999999997</v>
      </c>
      <c r="BDU10" s="1072">
        <f t="shared" ref="BDU10:BDV10" si="329">BDU9*1.13</f>
        <v>4940.3599999999997</v>
      </c>
      <c r="BDV10" s="1072">
        <f t="shared" si="329"/>
        <v>5002.5099999999993</v>
      </c>
      <c r="BDW10" s="1072">
        <f t="shared" ref="BDW10" si="330">BDW9*1.13</f>
        <v>3512.0399999999995</v>
      </c>
      <c r="BDX10" s="1072">
        <f t="shared" ref="BDX10" si="331">BDX9*1.13</f>
        <v>5127.9399999999996</v>
      </c>
      <c r="BDY10" s="1072">
        <f t="shared" ref="BDY10:BDZ10" si="332">BDY9*1.13</f>
        <v>5321.1699999999992</v>
      </c>
      <c r="BDZ10" s="1072">
        <f t="shared" si="332"/>
        <v>5002.5099999999993</v>
      </c>
      <c r="BEA10" s="1072">
        <f t="shared" ref="BEA10" si="333">BEA9*1.13</f>
        <v>6873.7899999999991</v>
      </c>
      <c r="BEB10" s="1072">
        <f t="shared" ref="BEB10" si="334">BEB9*1.13</f>
        <v>6898.65</v>
      </c>
      <c r="BEC10" s="1072">
        <f t="shared" ref="BEC10" si="335">BEC9*1.13</f>
        <v>7123.5199999999995</v>
      </c>
      <c r="BED10" s="1072">
        <f t="shared" ref="BED10" si="336">BED9*1.13</f>
        <v>6742.7099999999991</v>
      </c>
      <c r="BEE10" s="1072">
        <f t="shared" ref="BEE10" si="337">BEE9*1.13</f>
        <v>6868.1399999999994</v>
      </c>
      <c r="BEF10" s="1072">
        <f t="shared" ref="BEF10" si="338">BEF9*1.13</f>
        <v>6779.9999999999991</v>
      </c>
      <c r="BEG10" s="1072">
        <f t="shared" ref="BEG10" si="339">BEG9*1.13</f>
        <v>6774.3499999999995</v>
      </c>
      <c r="BEH10" s="1072">
        <f t="shared" ref="BEH10" si="340">BEH9*1.13</f>
        <v>7054.5899999999992</v>
      </c>
      <c r="BEI10" s="1072">
        <f t="shared" ref="BEI10:BEJ10" si="341">BEI9*1.13</f>
        <v>6960.7999999999993</v>
      </c>
      <c r="BEJ10" s="1072">
        <f t="shared" si="341"/>
        <v>7204.8799999999992</v>
      </c>
      <c r="BEK10" s="1072">
        <f t="shared" ref="BEK10:BEL10" si="342">BEK9*1.13</f>
        <v>6212.74</v>
      </c>
      <c r="BEL10" s="1072">
        <f t="shared" si="342"/>
        <v>7704.3399999999992</v>
      </c>
      <c r="BEM10" s="1072">
        <f t="shared" ref="BEM10:BEN10" si="343">BEM9*1.13</f>
        <v>6680.5599999999995</v>
      </c>
      <c r="BEN10" s="1072">
        <f t="shared" si="343"/>
        <v>8172.1599999999989</v>
      </c>
      <c r="BEO10" s="1072">
        <f t="shared" ref="BEO10" si="344">BEO9*1.13</f>
        <v>6494.11</v>
      </c>
      <c r="BEP10" s="1072">
        <f t="shared" ref="BEP10" si="345">BEP9*1.13</f>
        <v>8328.0999999999985</v>
      </c>
      <c r="BEQ10" s="1072">
        <f t="shared" ref="BEQ10" si="346">BEQ9*1.13</f>
        <v>6219.5199999999995</v>
      </c>
      <c r="BER10" s="1072">
        <f t="shared" ref="BER10:BES10" si="347">BER9*1.13</f>
        <v>6894.1299999999992</v>
      </c>
      <c r="BES10" s="1072">
        <f t="shared" si="347"/>
        <v>5746.0499999999993</v>
      </c>
      <c r="BET10" s="1072">
        <f t="shared" ref="BET10" si="348">BET9*1.13</f>
        <v>5682.7699999999995</v>
      </c>
      <c r="BEU10" s="1072">
        <f t="shared" ref="BEU10:BFC10" si="349">BEU9*1.13</f>
        <v>7516.7599999999993</v>
      </c>
      <c r="BEV10" s="1072">
        <f t="shared" si="349"/>
        <v>6088.44</v>
      </c>
      <c r="BEW10" s="1072">
        <f t="shared" si="349"/>
        <v>7516.7599999999993</v>
      </c>
      <c r="BEX10" s="1072">
        <f t="shared" si="349"/>
        <v>5994.65</v>
      </c>
      <c r="BEY10" s="1072">
        <f t="shared" si="349"/>
        <v>7734.8499999999995</v>
      </c>
      <c r="BEZ10" s="1072">
        <f t="shared" si="349"/>
        <v>7922.4299999999994</v>
      </c>
      <c r="BFA10" s="1072">
        <f t="shared" si="349"/>
        <v>6212.74</v>
      </c>
      <c r="BFB10" s="1072">
        <f t="shared" si="349"/>
        <v>7766.4899999999989</v>
      </c>
      <c r="BFC10" s="1072">
        <f t="shared" si="349"/>
        <v>5994.65</v>
      </c>
      <c r="BFD10" s="1072">
        <f t="shared" ref="BFD10" si="350">BFD9*1.13</f>
        <v>7611.6799999999994</v>
      </c>
      <c r="BFE10" s="1072">
        <f t="shared" ref="BFE10" si="351">BFE9*1.13</f>
        <v>6181.0999999999995</v>
      </c>
      <c r="BFF10" s="1072">
        <f t="shared" ref="BFF10" si="352">BFF9*1.13</f>
        <v>7547.2699999999995</v>
      </c>
      <c r="BFG10" s="1072">
        <f t="shared" ref="BFG10" si="353">BFG9*1.13</f>
        <v>5776.5599999999995</v>
      </c>
      <c r="BFH10" s="1072">
        <f t="shared" ref="BFH10" si="354">BFH9*1.13</f>
        <v>6057.9299999999994</v>
      </c>
      <c r="BFI10" s="1072">
        <f t="shared" ref="BFI10" si="355">BFI9*1.13</f>
        <v>7330.3099999999995</v>
      </c>
      <c r="BFJ10" s="1072">
        <f t="shared" ref="BFJ10:BFK10" si="356">BFJ9*1.13</f>
        <v>6026.2899999999991</v>
      </c>
      <c r="BFK10" s="1072">
        <f t="shared" si="356"/>
        <v>7236.5199999999995</v>
      </c>
      <c r="BFL10" s="1072">
        <f t="shared" ref="BFL10:BFM10" si="357">BFL9*1.13</f>
        <v>7298.6699999999992</v>
      </c>
      <c r="BFM10" s="1072">
        <f t="shared" si="357"/>
        <v>5838.7099999999991</v>
      </c>
      <c r="BFN10" s="1072">
        <f t="shared" ref="BFN10:BFO10" si="358">BFN9*1.13</f>
        <v>7330.3099999999995</v>
      </c>
      <c r="BFO10" s="1072">
        <f t="shared" si="358"/>
        <v>5870.3499999999995</v>
      </c>
      <c r="BFP10" s="1072">
        <f t="shared" ref="BFP10:BFQ10" si="359">BFP9*1.13</f>
        <v>7360.82</v>
      </c>
      <c r="BFQ10" s="1072">
        <f t="shared" si="359"/>
        <v>5776.5599999999995</v>
      </c>
      <c r="BFR10" s="1072">
        <f t="shared" ref="BFR10" si="360">BFR9*1.13</f>
        <v>6556.2599999999993</v>
      </c>
      <c r="BFS10" s="1072">
        <f t="shared" ref="BFS10:BFT10" si="361">BFS9*1.13</f>
        <v>7180.0199999999995</v>
      </c>
      <c r="BFT10" s="1072">
        <f t="shared" si="361"/>
        <v>6999.2199999999993</v>
      </c>
      <c r="BFU10" s="1072">
        <f t="shared" ref="BFU10" si="362">BFU9*1.13</f>
        <v>7704.3399999999992</v>
      </c>
      <c r="BFV10" s="1072">
        <f t="shared" ref="BFV10" si="363">BFV9*1.13</f>
        <v>8046.73</v>
      </c>
      <c r="BFW10" s="1072">
        <f t="shared" ref="BFW10" si="364">BFW9*1.13</f>
        <v>6742.7099999999991</v>
      </c>
      <c r="BFX10" s="1072">
        <f t="shared" ref="BFX10" si="365">BFX9*1.13</f>
        <v>8328.0999999999985</v>
      </c>
      <c r="BFY10" s="1072">
        <f>BFY9*1.13</f>
        <v>6494.11</v>
      </c>
      <c r="BFZ10" s="1072">
        <f t="shared" ref="BFZ10:BGA10" si="366">BFZ9*1.13</f>
        <v>8296.4599999999991</v>
      </c>
      <c r="BGA10" s="1072">
        <f t="shared" si="366"/>
        <v>6960.7999999999993</v>
      </c>
      <c r="BGB10" s="1072">
        <f t="shared" ref="BGB10:BGC10" si="367">BGB9*1.13</f>
        <v>6960.7999999999993</v>
      </c>
      <c r="BGC10" s="1072">
        <f t="shared" si="367"/>
        <v>8328.0999999999985</v>
      </c>
      <c r="BGD10" s="1072">
        <v>8355.9</v>
      </c>
      <c r="BGE10" s="1072">
        <v>8355.9</v>
      </c>
      <c r="BGF10" s="1072">
        <v>8701</v>
      </c>
      <c r="BGG10" s="1072">
        <v>6711</v>
      </c>
      <c r="BGH10" s="1072">
        <v>5190</v>
      </c>
      <c r="BGI10" s="1072">
        <v>5220.6000000000004</v>
      </c>
      <c r="BGJ10" s="1072">
        <v>8167.6</v>
      </c>
      <c r="BGK10" s="1072">
        <v>4996.8</v>
      </c>
      <c r="BGL10" s="1072">
        <v>4873.6899999999996</v>
      </c>
      <c r="BGM10" s="1072">
        <f t="shared" ref="BGM10:BHU10" si="368">BGM9*1.13</f>
        <v>0</v>
      </c>
      <c r="BGN10" s="1072">
        <f t="shared" si="368"/>
        <v>0</v>
      </c>
      <c r="BGO10" s="1072">
        <f t="shared" si="368"/>
        <v>0</v>
      </c>
      <c r="BGP10" s="1072">
        <f t="shared" si="368"/>
        <v>0</v>
      </c>
      <c r="BGQ10" s="1072">
        <f t="shared" si="368"/>
        <v>0</v>
      </c>
      <c r="BGR10" s="1072">
        <f t="shared" si="368"/>
        <v>0</v>
      </c>
      <c r="BGS10" s="1072">
        <f t="shared" si="368"/>
        <v>0</v>
      </c>
      <c r="BGT10" s="1072">
        <f t="shared" si="368"/>
        <v>0</v>
      </c>
      <c r="BGU10" s="1072">
        <f t="shared" si="368"/>
        <v>0</v>
      </c>
      <c r="BGV10" s="1072">
        <f t="shared" si="368"/>
        <v>0</v>
      </c>
      <c r="BGW10" s="1072">
        <f t="shared" si="368"/>
        <v>0</v>
      </c>
      <c r="BGX10" s="1072">
        <f t="shared" si="368"/>
        <v>0</v>
      </c>
      <c r="BGY10" s="1072">
        <f t="shared" si="368"/>
        <v>0</v>
      </c>
      <c r="BGZ10" s="1072">
        <f t="shared" si="368"/>
        <v>0</v>
      </c>
      <c r="BHA10" s="1072">
        <f t="shared" si="368"/>
        <v>0</v>
      </c>
      <c r="BHB10" s="1072">
        <f t="shared" si="368"/>
        <v>0</v>
      </c>
      <c r="BHC10" s="1072">
        <f t="shared" si="368"/>
        <v>0</v>
      </c>
      <c r="BHD10" s="1072">
        <f t="shared" si="368"/>
        <v>0</v>
      </c>
      <c r="BHE10" s="1072">
        <f t="shared" si="368"/>
        <v>0</v>
      </c>
      <c r="BHF10" s="1072">
        <f t="shared" si="368"/>
        <v>0</v>
      </c>
      <c r="BHG10" s="1072">
        <f t="shared" si="368"/>
        <v>0</v>
      </c>
      <c r="BHH10" s="1072">
        <f t="shared" si="368"/>
        <v>0</v>
      </c>
      <c r="BHI10" s="1072">
        <f t="shared" si="368"/>
        <v>0</v>
      </c>
      <c r="BHJ10" s="1072">
        <f t="shared" si="368"/>
        <v>0</v>
      </c>
      <c r="BHK10" s="1072">
        <f t="shared" si="368"/>
        <v>0</v>
      </c>
      <c r="BHL10" s="1072">
        <f t="shared" si="368"/>
        <v>0</v>
      </c>
      <c r="BHM10" s="1072">
        <f t="shared" si="368"/>
        <v>0</v>
      </c>
      <c r="BHN10" s="1072">
        <f t="shared" si="368"/>
        <v>0</v>
      </c>
      <c r="BHO10" s="1072">
        <f t="shared" si="368"/>
        <v>0</v>
      </c>
      <c r="BHP10" s="1072">
        <f t="shared" si="368"/>
        <v>0</v>
      </c>
      <c r="BHQ10" s="1072">
        <f t="shared" si="368"/>
        <v>0</v>
      </c>
      <c r="BHR10" s="1072">
        <f t="shared" si="368"/>
        <v>0</v>
      </c>
      <c r="BHS10" s="1072">
        <f t="shared" si="368"/>
        <v>0</v>
      </c>
      <c r="BHT10" s="1072">
        <f t="shared" si="368"/>
        <v>0</v>
      </c>
      <c r="BHU10" s="1072">
        <f t="shared" si="368"/>
        <v>0</v>
      </c>
    </row>
    <row r="11" spans="1:1615" ht="33.75" customHeight="1" x14ac:dyDescent="0.25">
      <c r="A11" s="10"/>
      <c r="B11" s="10"/>
      <c r="C11" s="10"/>
      <c r="D11" s="10"/>
      <c r="E11" s="1145"/>
      <c r="F11" s="1145"/>
      <c r="G11" s="1145"/>
      <c r="H11" s="1138">
        <v>0</v>
      </c>
      <c r="I11" s="1088">
        <v>0</v>
      </c>
      <c r="J11" s="1088">
        <v>0</v>
      </c>
      <c r="K11" s="1088">
        <v>0</v>
      </c>
      <c r="L11" s="1088">
        <v>0</v>
      </c>
      <c r="M11" s="1088">
        <v>0</v>
      </c>
      <c r="N11" s="1088">
        <v>0</v>
      </c>
      <c r="O11" s="1096">
        <v>1685.11</v>
      </c>
      <c r="P11" s="1096">
        <v>1685.11</v>
      </c>
      <c r="Q11" s="1096">
        <v>1685.11</v>
      </c>
      <c r="R11" s="1096">
        <v>1685.11</v>
      </c>
      <c r="S11" s="1096">
        <v>1685.11</v>
      </c>
      <c r="T11" s="1096">
        <v>1685.11</v>
      </c>
      <c r="U11" s="1096">
        <v>1685.11</v>
      </c>
      <c r="V11" s="1096">
        <v>1685.11</v>
      </c>
      <c r="W11" s="1096">
        <v>1685.11</v>
      </c>
      <c r="X11" s="1096">
        <v>1685.11</v>
      </c>
      <c r="Y11" s="1096">
        <v>1685.11</v>
      </c>
      <c r="Z11" s="1096">
        <v>1685.11</v>
      </c>
      <c r="AA11" s="1096">
        <v>1685.11</v>
      </c>
      <c r="AB11" s="1096">
        <v>1685.11</v>
      </c>
      <c r="AC11" s="1096">
        <v>1685.11</v>
      </c>
      <c r="AD11" s="1096">
        <v>1685.11</v>
      </c>
      <c r="AE11" s="1096">
        <v>1685.11</v>
      </c>
      <c r="AF11" s="1096">
        <v>1685.11</v>
      </c>
      <c r="AG11" s="1096">
        <v>1685.11</v>
      </c>
      <c r="AH11" s="1096">
        <v>1685.11</v>
      </c>
      <c r="AI11" s="1096">
        <v>1685.11</v>
      </c>
      <c r="AJ11" s="1096">
        <v>1685.11</v>
      </c>
      <c r="AK11" s="1096">
        <v>1685.11</v>
      </c>
      <c r="AL11" s="1096">
        <v>1685.11</v>
      </c>
      <c r="AM11" s="1096">
        <v>1685.11</v>
      </c>
      <c r="AN11" s="1096">
        <v>1685.11</v>
      </c>
      <c r="AO11" s="1096">
        <v>1685.11</v>
      </c>
      <c r="AP11" s="1096">
        <v>1685.11</v>
      </c>
      <c r="AQ11" s="1096">
        <v>1685.11</v>
      </c>
      <c r="AR11" s="1096">
        <v>1685.11</v>
      </c>
      <c r="AS11" s="1096">
        <v>1685.11</v>
      </c>
      <c r="AT11" s="1096">
        <v>1685.11</v>
      </c>
      <c r="AU11" s="1096">
        <v>1685.11</v>
      </c>
      <c r="AV11" s="1096">
        <v>1685.11</v>
      </c>
      <c r="AW11" s="1097">
        <v>1685.11</v>
      </c>
      <c r="AX11" s="1098">
        <v>2113</v>
      </c>
      <c r="AY11" s="1098">
        <v>1704</v>
      </c>
      <c r="AZ11" s="1098">
        <v>2034</v>
      </c>
      <c r="BA11" s="1098">
        <v>1232</v>
      </c>
      <c r="BB11" s="1098">
        <v>2365</v>
      </c>
      <c r="BC11" s="1098">
        <v>2683</v>
      </c>
      <c r="BD11" s="1098">
        <v>1298</v>
      </c>
      <c r="BE11" s="1098">
        <v>1186</v>
      </c>
      <c r="BF11" s="1098">
        <v>1983</v>
      </c>
      <c r="BG11" s="1098">
        <v>1531</v>
      </c>
      <c r="BH11" s="1098">
        <v>1949</v>
      </c>
      <c r="BI11" s="1098">
        <v>2124</v>
      </c>
      <c r="BJ11" s="1098">
        <v>2605</v>
      </c>
      <c r="BK11" s="1098">
        <v>1864</v>
      </c>
      <c r="BL11" s="1098">
        <v>3976</v>
      </c>
      <c r="BM11" s="1088">
        <v>2356</v>
      </c>
      <c r="BN11" s="1088">
        <v>1690</v>
      </c>
      <c r="BO11" s="1088">
        <v>2243</v>
      </c>
      <c r="BP11" s="1088">
        <v>3828</v>
      </c>
      <c r="BQ11" s="1088">
        <v>3654</v>
      </c>
      <c r="BR11" s="1088">
        <v>3032</v>
      </c>
      <c r="BS11" s="1088">
        <v>2714</v>
      </c>
      <c r="BT11" s="1088">
        <v>2816</v>
      </c>
      <c r="BU11" s="1088">
        <v>2660</v>
      </c>
      <c r="BV11" s="1088">
        <v>2059</v>
      </c>
      <c r="BW11" s="1088">
        <v>2949</v>
      </c>
      <c r="BX11" s="1088">
        <v>2503</v>
      </c>
      <c r="BY11" s="1088">
        <v>3207</v>
      </c>
      <c r="BZ11" s="1088">
        <v>2910</v>
      </c>
      <c r="CA11" s="1088">
        <v>2470</v>
      </c>
      <c r="CB11" s="1088">
        <v>3750</v>
      </c>
      <c r="CC11" s="1088">
        <v>2500</v>
      </c>
      <c r="CD11" s="1088">
        <v>3200</v>
      </c>
      <c r="CE11" s="1088">
        <v>2210</v>
      </c>
      <c r="CF11" s="1088">
        <v>2950</v>
      </c>
      <c r="CG11" s="1088">
        <v>2910</v>
      </c>
      <c r="CH11" s="1088">
        <v>2600</v>
      </c>
      <c r="CI11" s="1088">
        <v>2170</v>
      </c>
      <c r="CJ11" s="1088">
        <v>2700</v>
      </c>
      <c r="CK11" s="1088">
        <v>3350</v>
      </c>
      <c r="CL11" s="1088">
        <v>1790</v>
      </c>
      <c r="CM11" s="1088">
        <v>3210</v>
      </c>
      <c r="CN11" s="1088">
        <v>1210</v>
      </c>
      <c r="CO11" s="1088">
        <v>0</v>
      </c>
      <c r="CP11" s="1088">
        <v>2606</v>
      </c>
      <c r="CQ11" s="1088">
        <v>580</v>
      </c>
      <c r="CR11" s="1088">
        <v>910</v>
      </c>
      <c r="CS11" s="1088">
        <v>2590</v>
      </c>
      <c r="CT11" s="1088">
        <v>1070</v>
      </c>
      <c r="CU11" s="1088">
        <v>2820</v>
      </c>
      <c r="CV11" s="1088">
        <v>2380</v>
      </c>
      <c r="CW11" s="1088">
        <v>4020</v>
      </c>
      <c r="CX11" s="1088">
        <v>4880</v>
      </c>
      <c r="CY11" s="1088">
        <v>3160</v>
      </c>
      <c r="CZ11" s="1088">
        <v>3810</v>
      </c>
      <c r="DA11" s="1088">
        <v>3120</v>
      </c>
      <c r="DB11" s="1088">
        <v>3660</v>
      </c>
      <c r="DC11" s="1088">
        <v>3570</v>
      </c>
      <c r="DD11" s="1088">
        <v>2970</v>
      </c>
      <c r="DE11" s="1088">
        <v>3350</v>
      </c>
      <c r="DF11" s="1088">
        <v>2060</v>
      </c>
      <c r="DG11" s="1088">
        <v>2810</v>
      </c>
      <c r="DH11" s="1088">
        <v>2680</v>
      </c>
      <c r="DI11" s="1088">
        <v>3030</v>
      </c>
      <c r="DJ11" s="1088">
        <v>2670</v>
      </c>
      <c r="DK11" s="1088">
        <v>1940</v>
      </c>
      <c r="DL11" s="1088">
        <v>3820</v>
      </c>
      <c r="DM11" s="1088">
        <v>2220</v>
      </c>
      <c r="DN11" s="1088">
        <v>1500</v>
      </c>
      <c r="DO11" s="1088">
        <v>1860</v>
      </c>
      <c r="DP11" s="1088">
        <v>3050</v>
      </c>
      <c r="DQ11" s="1088">
        <v>3830</v>
      </c>
      <c r="DR11" s="1088">
        <v>1660</v>
      </c>
      <c r="DS11" s="1088">
        <v>3100</v>
      </c>
      <c r="DT11" s="1088">
        <v>4360</v>
      </c>
      <c r="DU11" s="1088">
        <v>1480</v>
      </c>
      <c r="DV11" s="1088">
        <v>2003</v>
      </c>
      <c r="DW11" s="1088">
        <v>4427</v>
      </c>
      <c r="DX11" s="1088">
        <v>6145</v>
      </c>
      <c r="DY11" s="1090">
        <v>5091</v>
      </c>
      <c r="DZ11" s="1090">
        <v>5552</v>
      </c>
      <c r="EA11" s="1090">
        <v>7012</v>
      </c>
      <c r="EB11" s="1090">
        <v>7010</v>
      </c>
      <c r="EC11" s="1090">
        <v>3080</v>
      </c>
      <c r="ED11" s="1090">
        <v>8035</v>
      </c>
      <c r="EE11" s="1090">
        <v>9612</v>
      </c>
      <c r="EF11" s="1090">
        <v>4588</v>
      </c>
      <c r="EG11" s="1090">
        <v>8793</v>
      </c>
      <c r="EH11" s="1091">
        <v>9133</v>
      </c>
      <c r="EI11" s="1091">
        <v>6909</v>
      </c>
      <c r="EJ11" s="1091">
        <v>8133</v>
      </c>
      <c r="EK11" s="1091">
        <v>7550</v>
      </c>
      <c r="EL11" s="1091">
        <v>8321</v>
      </c>
      <c r="EM11" s="1091">
        <v>7568</v>
      </c>
      <c r="EN11" s="1091">
        <v>5643</v>
      </c>
      <c r="EO11" s="1091">
        <v>7751</v>
      </c>
      <c r="EP11" s="1091">
        <v>9099</v>
      </c>
      <c r="EQ11" s="1091">
        <v>6642</v>
      </c>
      <c r="ER11" s="1091">
        <v>6248</v>
      </c>
      <c r="ES11" s="1091">
        <v>5797</v>
      </c>
      <c r="ET11" s="1091">
        <v>4900</v>
      </c>
      <c r="EU11" s="1091">
        <v>7268</v>
      </c>
      <c r="EV11" s="1091">
        <v>6056</v>
      </c>
      <c r="EW11" s="1091">
        <v>6407</v>
      </c>
      <c r="EX11" s="1091">
        <v>4218</v>
      </c>
      <c r="EY11" s="1091">
        <v>8940</v>
      </c>
      <c r="EZ11" s="1091">
        <v>5362</v>
      </c>
      <c r="FA11" s="1091">
        <v>7912</v>
      </c>
      <c r="FB11" s="1091">
        <v>5786</v>
      </c>
      <c r="FC11" s="1091">
        <v>5748</v>
      </c>
      <c r="FD11" s="1091">
        <v>5599</v>
      </c>
      <c r="FE11" s="1091">
        <v>9332</v>
      </c>
      <c r="FF11" s="1091">
        <v>8037</v>
      </c>
      <c r="FG11" s="1099">
        <v>6898</v>
      </c>
      <c r="FH11" s="1091">
        <v>7203</v>
      </c>
      <c r="FI11" s="1091">
        <v>4953</v>
      </c>
      <c r="FJ11" s="1091">
        <v>4254</v>
      </c>
      <c r="FK11" s="1091">
        <v>7570</v>
      </c>
      <c r="FL11" s="1091">
        <v>8466</v>
      </c>
      <c r="FM11" s="1091">
        <v>7684</v>
      </c>
      <c r="FN11" s="1091">
        <v>5835</v>
      </c>
      <c r="FO11" s="1091">
        <v>4786</v>
      </c>
      <c r="FP11" s="1091">
        <v>4059</v>
      </c>
      <c r="FQ11" s="1091">
        <v>2097</v>
      </c>
      <c r="FR11" s="1091">
        <v>6187</v>
      </c>
      <c r="FS11" s="1091">
        <v>4854</v>
      </c>
      <c r="FT11" s="1091">
        <v>5381</v>
      </c>
      <c r="FU11" s="1091">
        <v>4272</v>
      </c>
      <c r="FV11" s="1091">
        <v>4174</v>
      </c>
      <c r="FW11" s="1091">
        <v>5271</v>
      </c>
      <c r="FX11" s="1091">
        <v>4806</v>
      </c>
      <c r="FY11" s="1091">
        <v>3874</v>
      </c>
      <c r="FZ11" s="1091">
        <v>3024</v>
      </c>
      <c r="GA11" s="1091">
        <v>4748</v>
      </c>
      <c r="GB11" s="1091">
        <v>4292</v>
      </c>
      <c r="GC11" s="1091">
        <v>6844</v>
      </c>
      <c r="GD11" s="1091">
        <v>6026</v>
      </c>
      <c r="GE11" s="1091">
        <v>5930</v>
      </c>
      <c r="GF11" s="1091">
        <v>7466</v>
      </c>
      <c r="GG11" s="1091">
        <v>4236</v>
      </c>
      <c r="GH11" s="1091">
        <v>3217</v>
      </c>
      <c r="GI11" s="1091">
        <v>4967</v>
      </c>
      <c r="GJ11" s="1091">
        <v>6973</v>
      </c>
      <c r="GK11" s="1091">
        <v>8969</v>
      </c>
      <c r="GL11" s="1091">
        <v>8608</v>
      </c>
      <c r="GM11" s="1091">
        <v>3534</v>
      </c>
      <c r="GN11" s="1091">
        <v>8875</v>
      </c>
      <c r="GO11" s="1091">
        <v>6607</v>
      </c>
      <c r="GP11" s="1091">
        <v>6450</v>
      </c>
      <c r="GQ11" s="1091">
        <v>5470</v>
      </c>
      <c r="GR11" s="1091">
        <v>6596</v>
      </c>
      <c r="GS11" s="1091">
        <v>4990</v>
      </c>
      <c r="GT11" s="1091">
        <v>7019</v>
      </c>
      <c r="GU11" s="1091">
        <v>6989</v>
      </c>
      <c r="GV11" s="1091">
        <v>4763</v>
      </c>
      <c r="GW11" s="1091">
        <v>4584</v>
      </c>
      <c r="GX11" s="1091">
        <v>4692</v>
      </c>
      <c r="GY11" s="1091">
        <v>3741</v>
      </c>
      <c r="GZ11" s="1091">
        <v>6429</v>
      </c>
      <c r="HA11" s="1100">
        <v>5033</v>
      </c>
      <c r="HB11" s="1100">
        <v>3563</v>
      </c>
      <c r="HC11" s="1100">
        <v>4947</v>
      </c>
      <c r="HD11" s="1091">
        <v>4422</v>
      </c>
      <c r="HE11" s="1091">
        <v>8090</v>
      </c>
      <c r="HF11" s="1091">
        <v>6435</v>
      </c>
      <c r="HG11" s="1091">
        <v>7172</v>
      </c>
      <c r="HH11" s="1091">
        <v>5640</v>
      </c>
      <c r="HI11" s="1091">
        <v>5963</v>
      </c>
      <c r="HJ11" s="1091">
        <v>3241</v>
      </c>
      <c r="HK11" s="1091">
        <v>6015</v>
      </c>
      <c r="HL11" s="1053">
        <v>4370</v>
      </c>
      <c r="HM11" s="1057">
        <v>5415</v>
      </c>
      <c r="HN11" s="1057">
        <v>4831</v>
      </c>
      <c r="HO11" s="1091">
        <v>4704</v>
      </c>
      <c r="HP11" s="1053">
        <v>5198</v>
      </c>
      <c r="HQ11" s="1053">
        <v>5030</v>
      </c>
      <c r="HR11" s="1058">
        <v>5630</v>
      </c>
      <c r="HS11" s="1058">
        <v>5907</v>
      </c>
      <c r="HT11" s="1058">
        <v>6318</v>
      </c>
      <c r="HU11" s="1058">
        <v>5890</v>
      </c>
      <c r="HV11" s="1058">
        <v>5865</v>
      </c>
      <c r="HW11" s="1058">
        <v>3521</v>
      </c>
      <c r="HX11" s="1058">
        <v>5672</v>
      </c>
      <c r="HY11" s="1058">
        <v>5067</v>
      </c>
      <c r="HZ11" s="1101">
        <v>5027</v>
      </c>
      <c r="IA11" s="1101">
        <v>5165</v>
      </c>
      <c r="IB11" s="1101">
        <v>5113</v>
      </c>
      <c r="IC11" s="1101">
        <v>4679</v>
      </c>
      <c r="ID11" s="1101">
        <v>6730</v>
      </c>
      <c r="IE11" s="1101">
        <v>5947</v>
      </c>
      <c r="IF11" s="1101">
        <v>4832</v>
      </c>
      <c r="IG11" s="1101">
        <v>6661</v>
      </c>
      <c r="IH11" s="1101">
        <v>3465</v>
      </c>
      <c r="II11" s="1101">
        <v>4515</v>
      </c>
      <c r="IJ11" s="1101">
        <v>1701</v>
      </c>
      <c r="IK11" s="1101">
        <v>4487</v>
      </c>
      <c r="IL11" s="1101">
        <v>4931</v>
      </c>
      <c r="IM11" s="1101">
        <v>4291</v>
      </c>
      <c r="IN11" s="1101">
        <v>5180</v>
      </c>
      <c r="IO11" s="1101">
        <v>5586</v>
      </c>
      <c r="IP11" s="1101">
        <v>4376</v>
      </c>
      <c r="IQ11" s="1101">
        <v>5306</v>
      </c>
      <c r="IR11" s="1101">
        <v>6396</v>
      </c>
      <c r="IS11" s="1101">
        <v>5332</v>
      </c>
      <c r="IT11" s="1101">
        <v>5706</v>
      </c>
      <c r="IU11" s="1101">
        <v>7889</v>
      </c>
      <c r="IV11" s="1101">
        <v>6802</v>
      </c>
      <c r="IW11" s="1101">
        <v>7930</v>
      </c>
      <c r="IX11" s="1101">
        <v>5712</v>
      </c>
      <c r="IY11" s="1101">
        <v>6175</v>
      </c>
      <c r="IZ11" s="1101">
        <v>5998</v>
      </c>
      <c r="JA11" s="1101">
        <v>4007</v>
      </c>
      <c r="JB11" s="1101">
        <v>5361</v>
      </c>
      <c r="JC11" s="1101">
        <v>8051</v>
      </c>
      <c r="JD11" s="1101">
        <v>6762</v>
      </c>
      <c r="JE11" s="1101">
        <v>8536</v>
      </c>
      <c r="JF11" s="1101">
        <v>7135</v>
      </c>
      <c r="JG11" s="1101">
        <v>8111</v>
      </c>
      <c r="JH11" s="1101">
        <v>8130</v>
      </c>
      <c r="JI11" s="1101">
        <v>6217</v>
      </c>
      <c r="JJ11" s="1101">
        <v>6906</v>
      </c>
      <c r="JK11" s="1101">
        <v>6929</v>
      </c>
      <c r="JL11" s="1101">
        <v>5985</v>
      </c>
      <c r="JM11" s="1101">
        <v>2224</v>
      </c>
      <c r="JN11" s="1101">
        <v>4273</v>
      </c>
      <c r="JO11" s="1101">
        <v>5388</v>
      </c>
      <c r="JP11" s="1101">
        <v>8380</v>
      </c>
      <c r="JQ11" s="1101">
        <v>7230</v>
      </c>
      <c r="JR11" s="1101">
        <v>7600</v>
      </c>
      <c r="JS11" s="1102">
        <v>8222</v>
      </c>
      <c r="JT11" s="1101">
        <v>7959</v>
      </c>
      <c r="JU11" s="1101">
        <v>6569</v>
      </c>
      <c r="JV11" s="1101">
        <v>3847</v>
      </c>
      <c r="JW11" s="1101">
        <v>7385</v>
      </c>
      <c r="JX11" s="1101">
        <v>5907</v>
      </c>
      <c r="JY11" s="1101">
        <v>5978</v>
      </c>
      <c r="JZ11" s="1101">
        <v>6017</v>
      </c>
      <c r="KA11" s="1101">
        <v>7525</v>
      </c>
      <c r="KB11" s="1101">
        <v>7123</v>
      </c>
      <c r="KC11" s="1101">
        <v>7747</v>
      </c>
      <c r="KD11" s="1101">
        <v>6891</v>
      </c>
      <c r="KE11" s="1102">
        <v>8170</v>
      </c>
      <c r="KF11" s="1102">
        <v>8800</v>
      </c>
      <c r="KG11" s="1101">
        <v>7709</v>
      </c>
      <c r="KH11" s="1102">
        <v>8095</v>
      </c>
      <c r="KI11" s="1101">
        <v>5903</v>
      </c>
      <c r="KJ11" s="1101">
        <v>7071</v>
      </c>
      <c r="KK11" s="1102">
        <v>8112</v>
      </c>
      <c r="KL11" s="1102">
        <v>8944</v>
      </c>
      <c r="KM11" s="1101">
        <v>7896</v>
      </c>
      <c r="KN11" s="1101">
        <v>7658</v>
      </c>
      <c r="KO11" s="1102">
        <v>8323</v>
      </c>
      <c r="KP11" s="1102">
        <v>8590</v>
      </c>
      <c r="KQ11" s="1102">
        <v>8548</v>
      </c>
      <c r="KR11" s="1103">
        <v>9718</v>
      </c>
      <c r="KS11" s="1102">
        <v>8945</v>
      </c>
      <c r="KT11" s="1101">
        <v>7422</v>
      </c>
      <c r="KU11" s="1101">
        <v>7076</v>
      </c>
      <c r="KV11" s="1104">
        <v>3587</v>
      </c>
      <c r="KW11" s="1104">
        <v>5915</v>
      </c>
      <c r="KX11" s="1104">
        <v>4288</v>
      </c>
      <c r="KY11" s="1104">
        <v>3848</v>
      </c>
      <c r="KZ11" s="1104">
        <v>3471</v>
      </c>
      <c r="LA11" s="1104">
        <v>5298</v>
      </c>
      <c r="LB11" s="1104">
        <v>4315</v>
      </c>
      <c r="LC11" s="1101">
        <v>7342</v>
      </c>
      <c r="LD11" s="1101">
        <v>7401</v>
      </c>
      <c r="LE11" s="1103">
        <v>8667</v>
      </c>
      <c r="LF11" s="1101">
        <v>7370</v>
      </c>
      <c r="LG11" s="1104">
        <v>5148</v>
      </c>
      <c r="LH11" s="1101">
        <v>7966</v>
      </c>
      <c r="LI11" s="1103">
        <v>8106</v>
      </c>
      <c r="LJ11" s="1104">
        <v>4860</v>
      </c>
      <c r="LK11" s="1101">
        <v>7767</v>
      </c>
      <c r="LL11" s="1104">
        <v>5394</v>
      </c>
      <c r="LM11" s="1105">
        <v>1706</v>
      </c>
      <c r="LN11" s="1106">
        <v>9498</v>
      </c>
      <c r="LO11" s="1104">
        <v>5094</v>
      </c>
      <c r="LP11" s="1101">
        <v>6150</v>
      </c>
      <c r="LQ11" s="1101">
        <v>6697</v>
      </c>
      <c r="LR11" s="1104">
        <v>5152</v>
      </c>
      <c r="LS11" s="1101">
        <v>6239</v>
      </c>
      <c r="LT11" s="1104">
        <v>5603</v>
      </c>
      <c r="LU11" s="1104">
        <v>5019</v>
      </c>
      <c r="LV11" s="1104">
        <v>5726</v>
      </c>
      <c r="LW11" s="1104">
        <v>5890</v>
      </c>
      <c r="LX11" s="1101">
        <v>6444</v>
      </c>
      <c r="LY11" s="1101">
        <v>6956</v>
      </c>
      <c r="LZ11" s="1101">
        <v>7913</v>
      </c>
      <c r="MA11" s="1101">
        <v>5281</v>
      </c>
      <c r="MB11" s="1103">
        <v>8058</v>
      </c>
      <c r="MC11" s="1101">
        <v>7543</v>
      </c>
      <c r="MD11" s="1103">
        <v>8170</v>
      </c>
      <c r="ME11" s="1103">
        <v>8153</v>
      </c>
      <c r="MF11" s="1101">
        <v>7433</v>
      </c>
      <c r="MG11" s="1101">
        <v>6877</v>
      </c>
      <c r="MH11" s="1107">
        <v>4880</v>
      </c>
      <c r="MI11" s="1107">
        <v>7397</v>
      </c>
      <c r="MJ11" s="1104">
        <f>3074+1515</f>
        <v>4589</v>
      </c>
      <c r="MK11" s="1104">
        <f>7065+858</f>
        <v>7923</v>
      </c>
      <c r="ML11" s="1103">
        <v>8100</v>
      </c>
      <c r="MM11" s="1101">
        <v>7171</v>
      </c>
      <c r="MN11" s="1101">
        <v>7201</v>
      </c>
      <c r="MO11" s="1103">
        <v>8597</v>
      </c>
      <c r="MP11" s="1101">
        <v>5880</v>
      </c>
      <c r="MQ11" s="1101">
        <v>5674</v>
      </c>
      <c r="MR11" s="1102">
        <v>9002</v>
      </c>
      <c r="MS11" s="1101">
        <v>7749</v>
      </c>
      <c r="MT11" s="1101">
        <v>7937</v>
      </c>
      <c r="MU11" s="1101">
        <v>7704</v>
      </c>
      <c r="MV11" s="1103">
        <v>8468</v>
      </c>
      <c r="MW11" s="1101">
        <v>7656</v>
      </c>
      <c r="MX11" s="1101">
        <v>6473</v>
      </c>
      <c r="MY11" s="1101">
        <v>5790</v>
      </c>
      <c r="MZ11" s="1103">
        <v>8492</v>
      </c>
      <c r="NA11" s="1101">
        <v>7112</v>
      </c>
      <c r="NB11" s="1101">
        <v>6802</v>
      </c>
      <c r="NC11" s="1108">
        <v>7502</v>
      </c>
      <c r="ND11" s="1109">
        <v>8126</v>
      </c>
      <c r="NE11" s="1108">
        <v>6565</v>
      </c>
      <c r="NF11" s="1108">
        <v>7775</v>
      </c>
      <c r="NG11" s="1108">
        <v>6433</v>
      </c>
      <c r="NH11" s="1108">
        <v>7025</v>
      </c>
      <c r="NI11" s="1108">
        <v>7122</v>
      </c>
      <c r="NJ11" s="1108">
        <v>4570</v>
      </c>
      <c r="NK11" s="1108">
        <v>6527</v>
      </c>
      <c r="NL11" s="1108">
        <v>7911</v>
      </c>
      <c r="NM11" s="1108">
        <v>7154</v>
      </c>
      <c r="NN11" s="1108">
        <v>6717</v>
      </c>
      <c r="NO11" s="1108">
        <v>6629</v>
      </c>
      <c r="NP11" s="1108">
        <v>6812</v>
      </c>
      <c r="NQ11" s="1054">
        <v>6780</v>
      </c>
      <c r="NR11" s="1108">
        <v>5846</v>
      </c>
      <c r="NS11" s="1108">
        <v>4718</v>
      </c>
      <c r="NT11" s="1108">
        <v>6821</v>
      </c>
      <c r="NU11" s="1108">
        <v>7443</v>
      </c>
      <c r="NV11" s="1101">
        <v>7635</v>
      </c>
      <c r="NW11" s="1101">
        <v>6540</v>
      </c>
      <c r="NX11" s="1101">
        <v>7126</v>
      </c>
      <c r="NY11" s="1101">
        <v>6431</v>
      </c>
      <c r="NZ11" s="1101">
        <v>6411</v>
      </c>
      <c r="OA11" s="1101">
        <v>5601</v>
      </c>
      <c r="OB11" s="1101">
        <v>5998</v>
      </c>
      <c r="OC11" s="1101">
        <v>6869</v>
      </c>
      <c r="OD11" s="1101">
        <v>7523</v>
      </c>
      <c r="OE11" s="1101">
        <v>7745</v>
      </c>
      <c r="OF11" s="1103">
        <v>8402</v>
      </c>
      <c r="OG11" s="1101">
        <v>6813</v>
      </c>
      <c r="OH11" s="1101">
        <v>7355</v>
      </c>
      <c r="OI11" s="1101">
        <v>7300</v>
      </c>
      <c r="OJ11" s="1101">
        <v>6812</v>
      </c>
      <c r="OK11" s="1101">
        <v>6568</v>
      </c>
      <c r="OL11" s="1101">
        <v>2660</v>
      </c>
      <c r="OM11" s="1101">
        <v>5859</v>
      </c>
      <c r="ON11" s="1101">
        <v>6884</v>
      </c>
      <c r="OO11" s="1101">
        <v>4914</v>
      </c>
      <c r="OP11" s="1101">
        <v>5236</v>
      </c>
      <c r="OQ11" s="1101">
        <v>5734</v>
      </c>
      <c r="OR11" s="1101">
        <v>5512</v>
      </c>
      <c r="OS11" s="1101">
        <v>5006</v>
      </c>
      <c r="OT11" s="1101">
        <v>6043</v>
      </c>
      <c r="OU11" s="1101">
        <v>4872</v>
      </c>
      <c r="OV11" s="1101">
        <v>5436</v>
      </c>
      <c r="OW11" s="1101">
        <v>6827</v>
      </c>
      <c r="OX11" s="1101">
        <v>6483</v>
      </c>
      <c r="OY11" s="1101">
        <v>6462</v>
      </c>
      <c r="OZ11" s="1101">
        <v>7332</v>
      </c>
      <c r="PA11" s="1101">
        <v>6701</v>
      </c>
      <c r="PB11" s="1101">
        <v>6252</v>
      </c>
      <c r="PC11" s="1101">
        <v>7000</v>
      </c>
      <c r="PD11" s="1101">
        <v>6877</v>
      </c>
      <c r="PE11" s="1101">
        <v>6485</v>
      </c>
      <c r="PF11" s="1101">
        <v>7707</v>
      </c>
      <c r="PG11" s="1101">
        <v>7011</v>
      </c>
      <c r="PH11" s="1101">
        <v>7268</v>
      </c>
      <c r="PI11" s="1101">
        <v>7572</v>
      </c>
      <c r="PJ11" s="1101">
        <v>6294</v>
      </c>
      <c r="PK11" s="1101">
        <v>5923</v>
      </c>
      <c r="PL11" s="1101">
        <v>6346</v>
      </c>
      <c r="PM11" s="1101">
        <v>7668</v>
      </c>
      <c r="PN11" s="1101">
        <v>7027</v>
      </c>
      <c r="PO11" s="1101">
        <v>7277</v>
      </c>
      <c r="PP11" s="1101">
        <v>6695</v>
      </c>
      <c r="PQ11" s="1101">
        <v>7943</v>
      </c>
      <c r="PR11" s="1101">
        <v>7499</v>
      </c>
      <c r="PS11" s="1101">
        <v>7827</v>
      </c>
      <c r="PT11" s="1101">
        <v>7888</v>
      </c>
      <c r="PU11" s="1101">
        <v>7520</v>
      </c>
      <c r="PV11" s="1101">
        <v>7931</v>
      </c>
      <c r="PW11" s="1101">
        <v>7893</v>
      </c>
      <c r="PX11" s="1110">
        <v>7961</v>
      </c>
      <c r="PY11" s="1101">
        <v>7799</v>
      </c>
      <c r="PZ11" s="1103">
        <v>8173</v>
      </c>
      <c r="QA11" s="1103">
        <v>8404</v>
      </c>
      <c r="QB11" s="1057">
        <v>8168</v>
      </c>
      <c r="QC11" s="1055">
        <v>7345</v>
      </c>
      <c r="QD11" s="1055">
        <f>7145</f>
        <v>7145</v>
      </c>
      <c r="QE11" s="1055">
        <v>7461</v>
      </c>
      <c r="QF11" s="1055">
        <v>6334</v>
      </c>
      <c r="QG11" s="1055">
        <v>7619</v>
      </c>
      <c r="QH11" s="1055">
        <v>7093</v>
      </c>
      <c r="QI11" s="1055">
        <v>5499</v>
      </c>
      <c r="QJ11" s="1055">
        <v>7108</v>
      </c>
      <c r="QK11" s="1055">
        <v>6435</v>
      </c>
      <c r="QL11" s="1055">
        <v>7818</v>
      </c>
      <c r="QM11" s="1056">
        <v>8190</v>
      </c>
      <c r="QN11" s="1056">
        <v>6939</v>
      </c>
      <c r="QO11" s="1054">
        <v>6584</v>
      </c>
      <c r="QP11" s="1055">
        <v>7916</v>
      </c>
      <c r="QQ11" s="1055">
        <v>7051</v>
      </c>
      <c r="QR11" s="1055">
        <v>7098</v>
      </c>
      <c r="QS11" s="1073">
        <v>7034</v>
      </c>
      <c r="QT11" s="1056">
        <v>6538</v>
      </c>
      <c r="QU11" s="1073">
        <v>5956</v>
      </c>
      <c r="QV11" s="1056">
        <v>5585</v>
      </c>
      <c r="QW11" s="1073">
        <v>6947</v>
      </c>
      <c r="QX11" s="1073">
        <v>6816</v>
      </c>
      <c r="QY11" s="1073">
        <v>6325</v>
      </c>
      <c r="QZ11" s="1073">
        <v>4894</v>
      </c>
      <c r="RA11" s="1073">
        <v>5932</v>
      </c>
      <c r="RB11" s="1073">
        <v>7439</v>
      </c>
      <c r="RC11" s="1073">
        <v>6854</v>
      </c>
      <c r="RD11" s="1073">
        <v>7226</v>
      </c>
      <c r="RE11" s="1073">
        <v>5813</v>
      </c>
      <c r="RF11" s="1073">
        <v>8171</v>
      </c>
      <c r="RG11" s="1073">
        <v>7133</v>
      </c>
      <c r="RH11" s="1073">
        <v>7236</v>
      </c>
      <c r="RI11" s="1073">
        <v>5420</v>
      </c>
      <c r="RJ11" s="1073">
        <v>5901</v>
      </c>
      <c r="RK11" s="1074">
        <v>4899</v>
      </c>
      <c r="RL11" s="193">
        <v>9254</v>
      </c>
      <c r="RM11" s="187">
        <v>6816</v>
      </c>
      <c r="RN11" s="187">
        <v>7559</v>
      </c>
      <c r="RO11" s="187">
        <v>6344</v>
      </c>
      <c r="RP11" s="191">
        <v>4007</v>
      </c>
      <c r="RQ11" s="187">
        <v>4854</v>
      </c>
      <c r="RR11" s="187">
        <v>7221</v>
      </c>
      <c r="RS11" s="187">
        <v>7742</v>
      </c>
      <c r="RT11" s="198">
        <v>8347</v>
      </c>
      <c r="RU11" s="187">
        <v>7646</v>
      </c>
      <c r="RV11" s="187">
        <v>7271</v>
      </c>
      <c r="RW11" s="187">
        <v>7846</v>
      </c>
      <c r="RX11" s="187">
        <v>7785</v>
      </c>
      <c r="RY11" s="187">
        <v>6796</v>
      </c>
      <c r="RZ11" s="1041">
        <v>6298</v>
      </c>
      <c r="SA11" s="1041">
        <v>7227</v>
      </c>
      <c r="SB11" s="1041">
        <v>7017</v>
      </c>
      <c r="SC11" s="1041">
        <v>7329</v>
      </c>
      <c r="SD11" s="1041">
        <v>6728</v>
      </c>
      <c r="SE11" s="1041">
        <v>7697</v>
      </c>
      <c r="SF11" s="1042">
        <v>8493</v>
      </c>
      <c r="SG11" s="1043">
        <v>5732</v>
      </c>
      <c r="SH11" s="1042">
        <v>8167</v>
      </c>
      <c r="SI11" s="1041">
        <v>6662</v>
      </c>
      <c r="SJ11" s="1041">
        <v>7306</v>
      </c>
      <c r="SK11" s="1041">
        <v>7640</v>
      </c>
      <c r="SL11" s="1041">
        <v>7543</v>
      </c>
      <c r="SM11" s="1041">
        <v>6784</v>
      </c>
      <c r="SN11" s="1041">
        <v>7023</v>
      </c>
      <c r="SO11" s="1041">
        <v>7531</v>
      </c>
      <c r="SP11" s="1041">
        <v>6787</v>
      </c>
      <c r="SQ11" s="1041">
        <v>6034</v>
      </c>
      <c r="SR11" s="1041">
        <v>6241</v>
      </c>
      <c r="SS11" s="1041">
        <v>5753</v>
      </c>
      <c r="ST11" s="1041">
        <v>5304</v>
      </c>
      <c r="SU11" s="1041">
        <v>6743</v>
      </c>
      <c r="SV11" s="1041">
        <v>7500</v>
      </c>
      <c r="SW11" s="1041">
        <v>7419</v>
      </c>
      <c r="SX11" s="1042">
        <v>8069</v>
      </c>
      <c r="SY11" s="1041">
        <v>7091</v>
      </c>
      <c r="SZ11" s="1041">
        <v>7515</v>
      </c>
      <c r="TA11" s="1042">
        <v>8700</v>
      </c>
      <c r="TB11" s="1041">
        <v>7536</v>
      </c>
      <c r="TC11" s="1041">
        <v>6216</v>
      </c>
      <c r="TD11" s="1041">
        <v>7557</v>
      </c>
      <c r="TE11" s="1041">
        <v>7092</v>
      </c>
      <c r="TF11" s="1041">
        <v>7983</v>
      </c>
      <c r="TG11" s="1042">
        <v>8519</v>
      </c>
      <c r="TH11" s="1042">
        <v>8000</v>
      </c>
      <c r="TI11" s="1041">
        <v>6167</v>
      </c>
      <c r="TJ11" s="1042">
        <v>8178</v>
      </c>
      <c r="TK11" s="1041">
        <v>7361</v>
      </c>
      <c r="TL11" s="1041">
        <v>7795</v>
      </c>
      <c r="TM11" s="1041">
        <v>7157</v>
      </c>
      <c r="TN11" s="1041">
        <v>7760</v>
      </c>
      <c r="TO11" s="1042">
        <v>8632</v>
      </c>
      <c r="TP11" s="1041">
        <v>7790</v>
      </c>
      <c r="TQ11" s="1041">
        <v>5508</v>
      </c>
      <c r="TR11" s="1041">
        <v>7270</v>
      </c>
      <c r="TS11" s="1041">
        <v>5143</v>
      </c>
      <c r="TT11" s="1041">
        <v>4087</v>
      </c>
      <c r="TU11" s="1041">
        <v>3488</v>
      </c>
      <c r="TV11" s="1041">
        <v>3855</v>
      </c>
      <c r="TW11" s="1041">
        <v>6765</v>
      </c>
      <c r="TX11" s="1041">
        <v>7810</v>
      </c>
      <c r="TY11" s="1041">
        <v>7055</v>
      </c>
      <c r="TZ11" s="1041">
        <v>7800</v>
      </c>
      <c r="UA11" s="1041">
        <v>6920</v>
      </c>
      <c r="UB11" s="1042">
        <v>8212</v>
      </c>
      <c r="UC11" s="1041">
        <v>6368</v>
      </c>
      <c r="UD11" s="1041">
        <v>6527</v>
      </c>
      <c r="UE11" s="1041">
        <v>6198</v>
      </c>
      <c r="UF11" s="1041">
        <v>6244</v>
      </c>
      <c r="UG11" s="1041">
        <v>5448</v>
      </c>
      <c r="UH11" s="1041">
        <v>4346</v>
      </c>
      <c r="UI11" s="1041">
        <v>3683</v>
      </c>
      <c r="UJ11" s="1041">
        <v>4607</v>
      </c>
      <c r="UK11" s="1041">
        <v>2937</v>
      </c>
      <c r="UL11" s="1041">
        <v>6472</v>
      </c>
      <c r="UM11" s="1041">
        <v>6845</v>
      </c>
      <c r="UN11" s="1041">
        <v>7245</v>
      </c>
      <c r="UO11" s="1041">
        <v>6882</v>
      </c>
      <c r="UP11" s="1041">
        <v>7160</v>
      </c>
      <c r="UQ11" s="1041">
        <v>5906</v>
      </c>
      <c r="UR11" s="1041">
        <v>6728</v>
      </c>
      <c r="US11" s="1041">
        <v>6482</v>
      </c>
      <c r="UT11" s="1041">
        <v>7046</v>
      </c>
      <c r="UU11" s="1041">
        <v>2340</v>
      </c>
      <c r="UV11" s="1041">
        <v>0</v>
      </c>
      <c r="UW11" s="1041">
        <v>0</v>
      </c>
      <c r="UX11" s="1041">
        <v>2962</v>
      </c>
      <c r="UY11" s="1041">
        <v>3073</v>
      </c>
      <c r="UZ11" s="1041">
        <v>6825</v>
      </c>
      <c r="VA11" s="1041">
        <v>7263</v>
      </c>
      <c r="VB11" s="1041">
        <v>8284</v>
      </c>
      <c r="VC11" s="1041">
        <v>9160</v>
      </c>
      <c r="VD11" s="1041">
        <v>8113</v>
      </c>
      <c r="VE11" s="1041">
        <v>6358</v>
      </c>
      <c r="VF11" s="1041">
        <v>6620</v>
      </c>
      <c r="VG11" s="1041">
        <v>6082</v>
      </c>
      <c r="VH11" s="1041">
        <v>7323</v>
      </c>
      <c r="VI11" s="1044">
        <v>8633</v>
      </c>
      <c r="VJ11" s="360">
        <v>7661</v>
      </c>
      <c r="VK11" s="360">
        <v>5857</v>
      </c>
      <c r="VL11" s="395">
        <v>7994</v>
      </c>
      <c r="VM11" s="360">
        <v>7575</v>
      </c>
      <c r="VN11" s="360">
        <v>6532</v>
      </c>
      <c r="VO11" s="360">
        <v>5493</v>
      </c>
      <c r="VP11" s="360">
        <v>6239</v>
      </c>
      <c r="VQ11" s="360">
        <v>6427</v>
      </c>
      <c r="VR11" s="360">
        <v>6824</v>
      </c>
      <c r="VS11" s="395">
        <v>8453</v>
      </c>
      <c r="VT11" s="360">
        <v>7325</v>
      </c>
      <c r="VU11" s="395">
        <v>8455</v>
      </c>
      <c r="VV11" s="395">
        <v>8297</v>
      </c>
      <c r="VW11" s="360">
        <v>4667</v>
      </c>
      <c r="VX11" s="360">
        <v>6752</v>
      </c>
      <c r="VY11" s="360">
        <v>6363</v>
      </c>
      <c r="VZ11" s="360">
        <v>6363</v>
      </c>
      <c r="WA11" s="395">
        <v>8636</v>
      </c>
      <c r="WB11" s="360">
        <v>6378</v>
      </c>
      <c r="WC11" s="360">
        <v>7384</v>
      </c>
      <c r="WD11" s="395">
        <v>8058</v>
      </c>
      <c r="WE11" s="395">
        <v>8516</v>
      </c>
      <c r="WF11" s="365">
        <v>7811</v>
      </c>
      <c r="WG11" s="365">
        <v>7817</v>
      </c>
      <c r="WH11" s="365">
        <v>7070</v>
      </c>
      <c r="WI11" s="365">
        <v>6817</v>
      </c>
      <c r="WJ11" s="365">
        <v>6467</v>
      </c>
      <c r="WK11" s="365">
        <v>5720</v>
      </c>
      <c r="WL11" s="365">
        <v>7167</v>
      </c>
      <c r="WM11" s="409">
        <v>9010</v>
      </c>
      <c r="WN11" s="406">
        <v>2496</v>
      </c>
      <c r="WO11" s="406">
        <v>2369</v>
      </c>
      <c r="WP11" s="406">
        <v>6830</v>
      </c>
      <c r="WQ11" s="407">
        <v>6145</v>
      </c>
      <c r="WR11" s="408">
        <v>9947</v>
      </c>
      <c r="WS11" s="408">
        <v>9033</v>
      </c>
      <c r="WT11" s="408">
        <v>9467</v>
      </c>
      <c r="WU11" s="408">
        <v>9119</v>
      </c>
      <c r="WV11" s="408">
        <v>9154</v>
      </c>
      <c r="WW11" s="418">
        <v>8373</v>
      </c>
      <c r="WX11" s="418">
        <v>8377</v>
      </c>
      <c r="WY11" s="418">
        <v>8118</v>
      </c>
      <c r="WZ11" s="418">
        <v>8027</v>
      </c>
      <c r="XA11" s="407">
        <v>6107</v>
      </c>
      <c r="XB11" s="418">
        <v>8158</v>
      </c>
      <c r="XC11" s="434">
        <v>8545</v>
      </c>
      <c r="XD11" s="434">
        <v>8878</v>
      </c>
      <c r="XE11" s="434">
        <v>8563</v>
      </c>
      <c r="XF11" s="437">
        <v>7721</v>
      </c>
      <c r="XG11" s="437">
        <v>7710</v>
      </c>
      <c r="XH11" s="434">
        <v>8806</v>
      </c>
      <c r="XI11" s="437">
        <v>7972</v>
      </c>
      <c r="XJ11" s="437">
        <v>7580</v>
      </c>
      <c r="XK11" s="437">
        <v>5007</v>
      </c>
      <c r="XL11" s="434">
        <v>8699</v>
      </c>
      <c r="XM11" s="434">
        <v>8032</v>
      </c>
      <c r="XN11" s="434">
        <v>8161</v>
      </c>
      <c r="XO11" s="434">
        <v>8959</v>
      </c>
      <c r="XP11" s="456">
        <v>9300</v>
      </c>
      <c r="XQ11" s="456">
        <v>9339</v>
      </c>
      <c r="XR11" s="437">
        <v>7186</v>
      </c>
      <c r="XS11" s="461">
        <v>5497</v>
      </c>
      <c r="XT11" s="437">
        <v>7702</v>
      </c>
      <c r="XU11" s="437">
        <v>6869</v>
      </c>
      <c r="XV11" s="461">
        <v>4427</v>
      </c>
      <c r="XW11" s="437">
        <v>6370</v>
      </c>
      <c r="XX11" s="461">
        <v>1946</v>
      </c>
      <c r="XY11" s="437">
        <v>6552</v>
      </c>
      <c r="XZ11" s="456">
        <v>10118</v>
      </c>
      <c r="YA11" s="456">
        <v>9724</v>
      </c>
      <c r="YB11" s="456">
        <v>9926</v>
      </c>
      <c r="YC11" s="434">
        <v>8212</v>
      </c>
      <c r="YD11" s="437">
        <v>7551</v>
      </c>
      <c r="YE11" s="437">
        <v>4972</v>
      </c>
      <c r="YF11" s="437">
        <v>4477</v>
      </c>
      <c r="YG11" s="437">
        <v>5970</v>
      </c>
      <c r="YH11" s="437">
        <v>2539</v>
      </c>
      <c r="YI11" s="437">
        <v>3145</v>
      </c>
      <c r="YJ11" s="437">
        <v>1988</v>
      </c>
      <c r="YK11" s="437">
        <v>1176</v>
      </c>
      <c r="YL11" s="437">
        <v>1501</v>
      </c>
      <c r="YM11" s="437">
        <v>1422</v>
      </c>
      <c r="YN11" s="437">
        <v>1717</v>
      </c>
      <c r="YO11" s="437">
        <v>22</v>
      </c>
      <c r="YP11" s="437">
        <v>0</v>
      </c>
      <c r="YQ11" s="437">
        <v>0</v>
      </c>
      <c r="YR11" s="437">
        <v>0</v>
      </c>
      <c r="YS11" s="437">
        <v>0</v>
      </c>
      <c r="YT11" s="437">
        <v>10</v>
      </c>
      <c r="YU11" s="437">
        <v>10</v>
      </c>
      <c r="YV11" s="437">
        <v>0</v>
      </c>
      <c r="YW11" s="437">
        <v>0</v>
      </c>
      <c r="YX11" s="437">
        <v>0</v>
      </c>
      <c r="YY11" s="437">
        <v>0</v>
      </c>
      <c r="YZ11" s="437">
        <v>0</v>
      </c>
      <c r="ZA11" s="437">
        <v>0</v>
      </c>
      <c r="ZB11" s="437">
        <v>0</v>
      </c>
      <c r="ZC11" s="437">
        <v>0</v>
      </c>
      <c r="ZD11" s="437">
        <v>10</v>
      </c>
      <c r="ZE11" s="437">
        <v>6</v>
      </c>
      <c r="ZF11" s="437">
        <v>4263</v>
      </c>
      <c r="ZG11" s="437">
        <v>6566</v>
      </c>
      <c r="ZH11" s="437">
        <v>5386</v>
      </c>
      <c r="ZI11" s="437">
        <v>7106</v>
      </c>
      <c r="ZJ11" s="437">
        <v>5743</v>
      </c>
      <c r="ZK11" s="437">
        <v>5786</v>
      </c>
      <c r="ZL11" s="437">
        <v>6196</v>
      </c>
      <c r="ZM11" s="437">
        <v>5120</v>
      </c>
      <c r="ZN11" s="437">
        <v>5034</v>
      </c>
      <c r="ZO11" s="437">
        <v>4021</v>
      </c>
      <c r="ZP11" s="437">
        <v>4647</v>
      </c>
      <c r="ZQ11" s="437">
        <v>4293</v>
      </c>
      <c r="ZR11" s="437">
        <v>5267</v>
      </c>
      <c r="ZS11" s="437">
        <v>6278</v>
      </c>
      <c r="ZT11" s="437">
        <v>6584</v>
      </c>
      <c r="ZU11" s="437">
        <v>7471</v>
      </c>
      <c r="ZV11" s="437">
        <v>6601</v>
      </c>
      <c r="ZW11" s="437">
        <v>6878</v>
      </c>
      <c r="ZX11" s="437">
        <v>6972</v>
      </c>
      <c r="ZY11" s="437">
        <v>6385</v>
      </c>
      <c r="ZZ11" s="437">
        <v>6090</v>
      </c>
      <c r="AAA11" s="437">
        <v>4814</v>
      </c>
      <c r="AAB11" s="437">
        <v>6558</v>
      </c>
      <c r="AAC11" s="437">
        <v>6347</v>
      </c>
      <c r="AAD11" s="437">
        <v>5402</v>
      </c>
      <c r="AAE11" s="437">
        <v>6476</v>
      </c>
      <c r="AAF11" s="437">
        <v>6580</v>
      </c>
      <c r="AAG11" s="437">
        <v>6264</v>
      </c>
      <c r="AAH11" s="437">
        <v>4525</v>
      </c>
      <c r="AAI11" s="437">
        <v>6008</v>
      </c>
      <c r="AAJ11" s="437">
        <v>4823</v>
      </c>
      <c r="AAK11" s="437">
        <v>5831</v>
      </c>
      <c r="AAL11" s="437">
        <v>4807</v>
      </c>
      <c r="AAM11" s="437">
        <v>6305</v>
      </c>
      <c r="AAN11" s="437">
        <v>4803</v>
      </c>
      <c r="AAO11" s="437">
        <v>4091</v>
      </c>
      <c r="AAP11" s="437">
        <v>5314</v>
      </c>
      <c r="AAQ11" s="437">
        <v>5255</v>
      </c>
      <c r="AAR11" s="437">
        <v>2350</v>
      </c>
      <c r="AAS11" s="437">
        <v>3695</v>
      </c>
      <c r="AAT11" s="437">
        <v>4606</v>
      </c>
      <c r="AAU11" s="437">
        <v>4353</v>
      </c>
      <c r="AAV11" s="437">
        <v>6235</v>
      </c>
      <c r="AAW11" s="437">
        <v>4177</v>
      </c>
      <c r="AAX11" s="437">
        <v>3524</v>
      </c>
      <c r="AAY11" s="437">
        <v>4467</v>
      </c>
      <c r="AAZ11" s="437">
        <v>4568</v>
      </c>
      <c r="ABA11" s="437">
        <v>5614</v>
      </c>
      <c r="ABB11" s="437">
        <v>6073</v>
      </c>
      <c r="ABC11" s="437">
        <v>6363</v>
      </c>
      <c r="ABD11" s="434">
        <v>8104</v>
      </c>
      <c r="ABE11" s="437">
        <v>7862</v>
      </c>
      <c r="ABF11" s="437">
        <v>6495</v>
      </c>
      <c r="ABG11" s="437">
        <v>7601</v>
      </c>
      <c r="ABH11" s="437">
        <v>7956</v>
      </c>
      <c r="ABI11" s="456">
        <v>9094</v>
      </c>
      <c r="ABJ11" s="434">
        <v>8844</v>
      </c>
      <c r="ABK11" s="701">
        <v>7947</v>
      </c>
      <c r="ABL11" s="700">
        <v>6355</v>
      </c>
      <c r="ABM11" s="437">
        <v>6939</v>
      </c>
      <c r="ABN11" s="437">
        <v>7529</v>
      </c>
      <c r="ABO11" s="434">
        <v>8460</v>
      </c>
      <c r="ABP11" s="434">
        <v>8452</v>
      </c>
      <c r="ABQ11" s="434">
        <v>8307</v>
      </c>
      <c r="ABR11" s="456">
        <v>9016</v>
      </c>
      <c r="ABS11" s="698">
        <v>8400</v>
      </c>
      <c r="ABT11" s="700">
        <v>7777</v>
      </c>
      <c r="ABU11" s="434">
        <v>8390</v>
      </c>
      <c r="ABV11" s="434">
        <v>8272</v>
      </c>
      <c r="ABW11" s="437">
        <v>6555</v>
      </c>
      <c r="ABX11" s="437">
        <v>4939</v>
      </c>
      <c r="ABY11" s="437">
        <v>5121</v>
      </c>
      <c r="ABZ11" s="437">
        <v>6576</v>
      </c>
      <c r="ACA11" s="456">
        <v>9475</v>
      </c>
      <c r="ACB11" s="456">
        <v>9073</v>
      </c>
      <c r="ACC11" s="690">
        <v>9467</v>
      </c>
      <c r="ACD11" s="697">
        <v>8565</v>
      </c>
      <c r="ACE11" s="698">
        <v>8237</v>
      </c>
      <c r="ACF11" s="698">
        <v>8059</v>
      </c>
      <c r="ACG11" s="707">
        <v>6739</v>
      </c>
      <c r="ACH11" s="698">
        <v>8814</v>
      </c>
      <c r="ACI11" s="701">
        <v>7924</v>
      </c>
      <c r="ACJ11" s="731">
        <v>8338</v>
      </c>
      <c r="ACK11" s="716">
        <v>7848</v>
      </c>
      <c r="ACL11" s="731">
        <v>8601</v>
      </c>
      <c r="ACM11" s="716">
        <v>7556</v>
      </c>
      <c r="ACN11" s="716">
        <v>7039</v>
      </c>
      <c r="ACO11" s="731">
        <v>8623</v>
      </c>
      <c r="ACP11" s="716">
        <v>7689</v>
      </c>
      <c r="ACQ11" s="731">
        <v>8730</v>
      </c>
      <c r="ACR11" s="716">
        <v>6716</v>
      </c>
      <c r="ACS11" s="716">
        <v>7816</v>
      </c>
      <c r="ACT11" s="716">
        <v>6430</v>
      </c>
      <c r="ACU11" s="731">
        <v>8529</v>
      </c>
      <c r="ACV11" s="731">
        <v>8382</v>
      </c>
      <c r="ACW11" s="731">
        <v>8866</v>
      </c>
      <c r="ACX11" s="731">
        <v>8513</v>
      </c>
      <c r="ACY11" s="716">
        <v>7840</v>
      </c>
      <c r="ACZ11" s="716">
        <v>5759</v>
      </c>
      <c r="ADA11" s="716">
        <v>7020</v>
      </c>
      <c r="ADB11" s="716">
        <v>7815</v>
      </c>
      <c r="ADC11" s="716">
        <v>7360</v>
      </c>
      <c r="ADD11" s="731">
        <v>8274</v>
      </c>
      <c r="ADE11" s="716">
        <v>7889</v>
      </c>
      <c r="ADF11" s="716">
        <v>7712</v>
      </c>
      <c r="ADG11" s="716">
        <v>7971</v>
      </c>
      <c r="ADH11" s="731">
        <v>8116</v>
      </c>
      <c r="ADI11" s="731">
        <v>8109</v>
      </c>
      <c r="ADJ11" s="731">
        <v>8718</v>
      </c>
      <c r="ADK11" s="716">
        <v>7509</v>
      </c>
      <c r="ADL11" s="731">
        <v>8159</v>
      </c>
      <c r="ADM11" s="716">
        <v>6064</v>
      </c>
      <c r="ADN11" s="716">
        <v>7405</v>
      </c>
      <c r="ADO11" s="716">
        <v>6567</v>
      </c>
      <c r="ADP11" s="716">
        <v>6479</v>
      </c>
      <c r="ADQ11" s="716">
        <v>5557</v>
      </c>
      <c r="ADR11" s="716">
        <v>7015</v>
      </c>
      <c r="ADS11" s="716">
        <v>7400</v>
      </c>
      <c r="ADT11" s="790">
        <v>9105</v>
      </c>
      <c r="ADU11" s="790">
        <v>9052</v>
      </c>
      <c r="ADV11" s="794">
        <v>8169</v>
      </c>
      <c r="ADW11" s="794">
        <v>8056</v>
      </c>
      <c r="ADX11" s="794">
        <v>8439</v>
      </c>
      <c r="ADY11" s="716">
        <v>7879</v>
      </c>
      <c r="ADZ11" s="794">
        <v>8442</v>
      </c>
      <c r="AEA11" s="794">
        <v>8396</v>
      </c>
      <c r="AEB11" s="794">
        <v>8183</v>
      </c>
      <c r="AEC11" s="716">
        <v>7607</v>
      </c>
      <c r="AED11" s="716">
        <v>7784</v>
      </c>
      <c r="AEE11" s="716">
        <v>7134</v>
      </c>
      <c r="AEF11" s="716">
        <v>7100</v>
      </c>
      <c r="AEG11" s="716">
        <v>7055</v>
      </c>
      <c r="AEH11" s="716">
        <v>7409</v>
      </c>
      <c r="AEI11" s="716">
        <v>7190</v>
      </c>
      <c r="AEJ11" s="716">
        <v>7810</v>
      </c>
      <c r="AEK11" s="794">
        <v>8079</v>
      </c>
      <c r="AEL11" s="716">
        <v>6913</v>
      </c>
      <c r="AEM11" s="716">
        <v>6685</v>
      </c>
      <c r="AEN11" s="716">
        <v>6640</v>
      </c>
      <c r="AEO11" s="794">
        <v>8101</v>
      </c>
      <c r="AEP11" s="716">
        <v>7922</v>
      </c>
      <c r="AEQ11" s="716">
        <v>7645</v>
      </c>
      <c r="AER11" s="716">
        <v>7166</v>
      </c>
      <c r="AES11" s="716">
        <v>6894</v>
      </c>
      <c r="AET11" s="716">
        <v>7646</v>
      </c>
      <c r="AEU11" s="716">
        <v>6574</v>
      </c>
      <c r="AEV11" s="716">
        <v>5131</v>
      </c>
      <c r="AEW11" s="716">
        <v>5599</v>
      </c>
      <c r="AEX11" s="716">
        <v>6249</v>
      </c>
      <c r="AEY11" s="716">
        <v>7921</v>
      </c>
      <c r="AEZ11" s="716">
        <v>6241</v>
      </c>
      <c r="AFA11" s="716">
        <v>5958</v>
      </c>
      <c r="AFB11" s="716">
        <v>7943</v>
      </c>
      <c r="AFC11" s="794">
        <v>8362</v>
      </c>
      <c r="AFD11" s="716">
        <v>7582</v>
      </c>
      <c r="AFE11" s="716">
        <v>6612</v>
      </c>
      <c r="AFF11" s="716">
        <v>7136</v>
      </c>
      <c r="AFG11" s="716">
        <v>7960</v>
      </c>
      <c r="AFH11" s="716">
        <v>6911</v>
      </c>
      <c r="AFI11" s="716">
        <v>7858</v>
      </c>
      <c r="AFJ11" s="716">
        <v>7660</v>
      </c>
      <c r="AFK11" s="794">
        <v>8352</v>
      </c>
      <c r="AFL11" s="716">
        <v>7108</v>
      </c>
      <c r="AFM11" s="716">
        <v>7092</v>
      </c>
      <c r="AFN11" s="716">
        <v>7028</v>
      </c>
      <c r="AFO11" s="716">
        <v>6982</v>
      </c>
      <c r="AFP11" s="716">
        <v>5649</v>
      </c>
      <c r="AFQ11" s="716">
        <v>5779</v>
      </c>
      <c r="AFR11" s="716">
        <v>4389</v>
      </c>
      <c r="AFS11" s="716">
        <v>6883</v>
      </c>
      <c r="AFT11" s="716">
        <v>6857</v>
      </c>
      <c r="AFU11" s="716">
        <v>7606</v>
      </c>
      <c r="AFV11" s="716">
        <v>7482</v>
      </c>
      <c r="AFW11" s="716">
        <v>7845</v>
      </c>
      <c r="AFX11" s="700">
        <v>7300</v>
      </c>
      <c r="AFY11" s="700">
        <v>5657</v>
      </c>
      <c r="AFZ11" s="697">
        <v>8230</v>
      </c>
      <c r="AGA11" s="700">
        <v>7965</v>
      </c>
      <c r="AGB11" s="700">
        <v>7923</v>
      </c>
      <c r="AGC11" s="700">
        <v>7433</v>
      </c>
      <c r="AGD11" s="697">
        <v>8092</v>
      </c>
      <c r="AGE11" s="1024">
        <v>7980</v>
      </c>
      <c r="AGF11" s="716">
        <v>6934</v>
      </c>
      <c r="AGG11" s="716">
        <v>7607</v>
      </c>
      <c r="AGH11" s="716">
        <v>7026</v>
      </c>
      <c r="AGI11" s="731">
        <v>8128</v>
      </c>
      <c r="AGJ11" s="716">
        <v>6767</v>
      </c>
      <c r="AGK11" s="716">
        <v>6178</v>
      </c>
      <c r="AGL11" s="716">
        <v>7000</v>
      </c>
      <c r="AGM11" s="716">
        <v>7113</v>
      </c>
      <c r="AGN11" s="954">
        <v>9033</v>
      </c>
      <c r="AGO11" s="731">
        <v>8335</v>
      </c>
      <c r="AGP11" s="731">
        <v>8367</v>
      </c>
      <c r="AGQ11" s="731">
        <v>8648</v>
      </c>
      <c r="AGR11" s="716">
        <v>7934</v>
      </c>
      <c r="AGS11" s="716">
        <v>7104</v>
      </c>
      <c r="AGT11" s="716">
        <v>7672</v>
      </c>
      <c r="AGU11" s="716">
        <v>7409</v>
      </c>
      <c r="AGV11" s="716">
        <v>7721</v>
      </c>
      <c r="AGW11" s="716">
        <v>7085</v>
      </c>
      <c r="AGX11" s="731">
        <v>8087</v>
      </c>
      <c r="AGY11" s="716">
        <v>7349</v>
      </c>
      <c r="AGZ11" s="731">
        <v>8375</v>
      </c>
      <c r="AHA11" s="716">
        <v>7721</v>
      </c>
      <c r="AHB11" s="716">
        <v>7046</v>
      </c>
      <c r="AHC11" s="716">
        <v>6820</v>
      </c>
      <c r="AHD11" s="731">
        <v>8281</v>
      </c>
      <c r="AHE11" s="716">
        <v>6888</v>
      </c>
      <c r="AHF11" s="731">
        <v>8563</v>
      </c>
      <c r="AHG11" s="731">
        <v>8238</v>
      </c>
      <c r="AHH11" s="716">
        <v>7877</v>
      </c>
      <c r="AHI11" s="731">
        <v>8793</v>
      </c>
      <c r="AHJ11" s="731">
        <v>8435</v>
      </c>
      <c r="AHK11" s="731">
        <v>8748</v>
      </c>
      <c r="AHL11" s="731">
        <v>8003</v>
      </c>
      <c r="AHM11" s="716">
        <v>7933</v>
      </c>
      <c r="AHN11" s="970">
        <v>7182</v>
      </c>
      <c r="AHO11" s="716">
        <v>7527</v>
      </c>
      <c r="AHP11" s="954">
        <v>10102</v>
      </c>
      <c r="AHQ11" s="954">
        <v>9157</v>
      </c>
      <c r="AHR11" s="954">
        <v>9452</v>
      </c>
      <c r="AHS11" s="731">
        <v>8394</v>
      </c>
      <c r="AHT11" s="716">
        <v>7628</v>
      </c>
      <c r="AHU11" s="954">
        <v>9064</v>
      </c>
      <c r="AHV11" s="954">
        <v>9867</v>
      </c>
      <c r="AHW11" s="954">
        <v>9579</v>
      </c>
      <c r="AHX11" s="731">
        <v>8591</v>
      </c>
      <c r="AHY11" s="970">
        <v>4054</v>
      </c>
      <c r="AHZ11" s="954">
        <v>9926</v>
      </c>
      <c r="AIA11" s="731">
        <v>8278</v>
      </c>
      <c r="AIB11" s="970">
        <v>4559</v>
      </c>
      <c r="AIC11" s="954">
        <v>9255</v>
      </c>
      <c r="AID11" s="954">
        <v>10019</v>
      </c>
      <c r="AIE11" s="731">
        <v>8666</v>
      </c>
      <c r="AIF11" s="954">
        <v>9189</v>
      </c>
      <c r="AIG11" s="954">
        <v>9520</v>
      </c>
      <c r="AIH11" s="731">
        <v>8545</v>
      </c>
      <c r="AII11" s="716">
        <v>7736</v>
      </c>
      <c r="AIJ11" s="716">
        <v>7819</v>
      </c>
      <c r="AIK11" s="954">
        <v>9160</v>
      </c>
      <c r="AIL11" s="970">
        <v>6755</v>
      </c>
      <c r="AIM11" s="731">
        <v>8826</v>
      </c>
      <c r="AIN11" s="716">
        <v>7483</v>
      </c>
      <c r="AIO11" s="954">
        <v>9642</v>
      </c>
      <c r="AIP11" s="731">
        <v>8036</v>
      </c>
      <c r="AIQ11" s="731">
        <v>8899</v>
      </c>
      <c r="AIR11" s="731">
        <v>8093</v>
      </c>
      <c r="AIS11" s="716">
        <v>7420</v>
      </c>
      <c r="AIT11" s="731">
        <v>8957</v>
      </c>
      <c r="AIU11" s="970">
        <v>7176</v>
      </c>
      <c r="AIV11" s="731">
        <v>8846</v>
      </c>
      <c r="AIW11" s="954">
        <v>9317</v>
      </c>
      <c r="AIX11" s="970">
        <v>7266</v>
      </c>
      <c r="AIY11" s="731">
        <v>8883</v>
      </c>
      <c r="AIZ11" s="731">
        <v>8851</v>
      </c>
      <c r="AJA11" s="716">
        <v>7562</v>
      </c>
      <c r="AJB11" s="731">
        <v>8493</v>
      </c>
      <c r="AJC11" s="731">
        <v>8789</v>
      </c>
      <c r="AJD11" s="731">
        <v>8634</v>
      </c>
      <c r="AJE11" s="716">
        <v>7842</v>
      </c>
      <c r="AJF11" s="716">
        <v>6873</v>
      </c>
      <c r="AJG11" s="716">
        <v>6793</v>
      </c>
      <c r="AJH11" s="731">
        <v>8651</v>
      </c>
      <c r="AJI11" s="731">
        <v>8843</v>
      </c>
      <c r="AJJ11" s="731">
        <v>8131</v>
      </c>
      <c r="AJK11" s="716">
        <v>7787</v>
      </c>
      <c r="AJL11" s="716">
        <v>7923</v>
      </c>
      <c r="AJM11" s="954">
        <v>9178</v>
      </c>
      <c r="AJN11" s="716">
        <v>6779</v>
      </c>
      <c r="AJO11" s="716">
        <v>6645</v>
      </c>
      <c r="AJP11" s="716">
        <v>7167</v>
      </c>
      <c r="AJQ11" s="716">
        <v>5362</v>
      </c>
      <c r="AJR11" s="731">
        <v>8346</v>
      </c>
      <c r="AJS11" s="716">
        <v>4195</v>
      </c>
      <c r="AJT11" s="716">
        <v>6894</v>
      </c>
      <c r="AJU11" s="716">
        <v>5381</v>
      </c>
      <c r="AJV11" s="716">
        <v>6020</v>
      </c>
      <c r="AJW11" s="716">
        <v>5205</v>
      </c>
      <c r="AJX11" s="716">
        <v>5994</v>
      </c>
      <c r="AJY11" s="716">
        <v>4601</v>
      </c>
      <c r="AJZ11" s="731">
        <v>8958</v>
      </c>
      <c r="AKA11" s="954">
        <v>9020</v>
      </c>
      <c r="AKB11" s="716">
        <v>6956</v>
      </c>
      <c r="AKC11" s="731">
        <v>8804</v>
      </c>
      <c r="AKD11" s="731">
        <v>8550</v>
      </c>
      <c r="AKE11" s="954">
        <v>9244</v>
      </c>
      <c r="AKF11" s="716">
        <v>7895</v>
      </c>
      <c r="AKG11" s="954">
        <v>9964</v>
      </c>
      <c r="AKH11" s="731">
        <v>8508</v>
      </c>
      <c r="AKI11" s="954">
        <v>9341</v>
      </c>
      <c r="AKJ11" s="954">
        <v>9430</v>
      </c>
      <c r="AKK11" s="954">
        <v>9805</v>
      </c>
      <c r="AKL11" s="954">
        <v>9272</v>
      </c>
      <c r="AKM11" s="954">
        <v>8930</v>
      </c>
      <c r="AKN11" s="954">
        <v>9546</v>
      </c>
      <c r="AKO11" s="954">
        <v>8832</v>
      </c>
      <c r="AKP11" s="954">
        <v>9544</v>
      </c>
      <c r="AKQ11" s="954">
        <v>10025</v>
      </c>
      <c r="AKR11" s="731">
        <v>8989</v>
      </c>
      <c r="AKS11" s="954">
        <v>10658</v>
      </c>
      <c r="AKT11" s="731">
        <v>8761</v>
      </c>
      <c r="AKU11" s="954">
        <v>10137</v>
      </c>
      <c r="AKV11" s="954">
        <v>10867</v>
      </c>
      <c r="AKW11" s="731">
        <v>8212</v>
      </c>
      <c r="AKX11" s="731">
        <v>8468</v>
      </c>
      <c r="AKY11" s="731">
        <v>8175</v>
      </c>
      <c r="AKZ11" s="731">
        <v>8585</v>
      </c>
      <c r="ALA11" s="954">
        <v>9552</v>
      </c>
      <c r="ALB11" s="954">
        <v>9105</v>
      </c>
      <c r="ALC11" s="731">
        <v>8627</v>
      </c>
      <c r="ALD11" s="1004">
        <v>7802</v>
      </c>
      <c r="ALE11" s="1004">
        <v>7491</v>
      </c>
      <c r="ALF11" s="731">
        <v>8265</v>
      </c>
      <c r="ALG11" s="731">
        <v>8345</v>
      </c>
      <c r="ALH11" s="954">
        <v>9629</v>
      </c>
      <c r="ALI11" s="731">
        <v>8965</v>
      </c>
      <c r="ALJ11" s="731">
        <v>8700</v>
      </c>
      <c r="ALK11" s="731">
        <v>8199</v>
      </c>
      <c r="ALL11" s="731">
        <v>8419</v>
      </c>
      <c r="ALM11" s="716">
        <v>7782</v>
      </c>
      <c r="ALN11" s="716">
        <v>7135</v>
      </c>
      <c r="ALO11" s="954">
        <v>9036</v>
      </c>
      <c r="ALP11" s="1004">
        <v>7736</v>
      </c>
      <c r="ALQ11" s="954">
        <v>10015</v>
      </c>
      <c r="ALR11" s="954">
        <v>9114</v>
      </c>
      <c r="ALS11" s="1004">
        <v>7964</v>
      </c>
      <c r="ALT11" s="731">
        <v>8427</v>
      </c>
      <c r="ALU11" s="731">
        <v>8180</v>
      </c>
      <c r="ALV11" s="731">
        <v>8813</v>
      </c>
      <c r="ALW11" s="731">
        <v>8457</v>
      </c>
      <c r="ALX11" s="954">
        <v>9244</v>
      </c>
      <c r="ALY11" s="954">
        <v>9940</v>
      </c>
      <c r="ALZ11" s="731">
        <v>8375</v>
      </c>
      <c r="AMA11" s="731">
        <v>8529</v>
      </c>
      <c r="AMB11" s="731">
        <v>8006</v>
      </c>
      <c r="AMC11" s="1004">
        <v>7430</v>
      </c>
      <c r="AMD11" s="731">
        <v>8470</v>
      </c>
      <c r="AME11" s="1004">
        <v>7243</v>
      </c>
      <c r="AMF11" s="731">
        <v>8032</v>
      </c>
      <c r="AMG11" s="1004">
        <v>7543</v>
      </c>
      <c r="AMH11" s="1004">
        <v>3118</v>
      </c>
      <c r="AMI11" s="731">
        <v>8959</v>
      </c>
      <c r="AMJ11" s="954">
        <v>10891</v>
      </c>
      <c r="AMK11" s="954">
        <v>10067</v>
      </c>
      <c r="AML11" s="954">
        <v>10274</v>
      </c>
      <c r="AMM11" s="954">
        <v>10064</v>
      </c>
      <c r="AMN11" s="954">
        <v>9756</v>
      </c>
      <c r="AMO11" s="954">
        <v>9459</v>
      </c>
      <c r="AMP11" s="954">
        <v>11675</v>
      </c>
      <c r="AMQ11" s="731">
        <v>8957</v>
      </c>
      <c r="AMR11" s="731">
        <v>8537</v>
      </c>
      <c r="AMS11" s="716">
        <v>5110</v>
      </c>
      <c r="AMT11" s="731">
        <v>8868</v>
      </c>
      <c r="AMU11" s="716">
        <v>7493</v>
      </c>
      <c r="AMV11" s="954">
        <v>9230</v>
      </c>
      <c r="AMW11" s="731">
        <v>8529</v>
      </c>
      <c r="AMX11" s="954">
        <v>9791</v>
      </c>
      <c r="AMY11" s="954">
        <v>10444</v>
      </c>
      <c r="AMZ11" s="954">
        <v>10517</v>
      </c>
      <c r="ANA11" s="954">
        <v>10874</v>
      </c>
      <c r="ANB11" s="954">
        <v>10630</v>
      </c>
      <c r="ANC11" s="954">
        <v>9851</v>
      </c>
      <c r="AND11" s="954">
        <v>9615</v>
      </c>
      <c r="ANE11" s="954">
        <v>11271</v>
      </c>
      <c r="ANF11" s="716">
        <v>7060</v>
      </c>
      <c r="ANG11" s="731">
        <v>8363</v>
      </c>
      <c r="ANH11" s="716">
        <v>7534</v>
      </c>
      <c r="ANI11" s="954">
        <v>9209</v>
      </c>
      <c r="ANJ11" s="716">
        <v>7357</v>
      </c>
      <c r="ANK11" s="970">
        <v>6253</v>
      </c>
      <c r="ANL11" s="970">
        <v>5258</v>
      </c>
      <c r="ANM11" s="716">
        <v>7852</v>
      </c>
      <c r="ANN11" s="716">
        <v>5988</v>
      </c>
      <c r="ANO11" s="716">
        <v>6417</v>
      </c>
      <c r="ANP11" s="716">
        <v>6310</v>
      </c>
      <c r="ANQ11" s="716">
        <v>6771</v>
      </c>
      <c r="ANR11" s="716">
        <v>7007</v>
      </c>
      <c r="ANS11" s="731">
        <v>8004</v>
      </c>
      <c r="ANT11" s="954">
        <v>9808</v>
      </c>
      <c r="ANU11" s="1005">
        <v>11718</v>
      </c>
      <c r="ANV11" s="716">
        <v>7550</v>
      </c>
      <c r="ANW11" s="954">
        <v>10545</v>
      </c>
      <c r="ANX11" s="731">
        <v>8301</v>
      </c>
      <c r="ANY11" s="954">
        <v>9049</v>
      </c>
      <c r="ANZ11" s="731">
        <v>8635</v>
      </c>
      <c r="AOA11" s="731">
        <v>8853</v>
      </c>
      <c r="AOB11" s="731">
        <v>10082</v>
      </c>
      <c r="AOC11" s="731">
        <v>8496</v>
      </c>
      <c r="AOD11" s="716">
        <v>7980</v>
      </c>
      <c r="AOE11" s="731">
        <v>8262</v>
      </c>
      <c r="AOF11" s="731">
        <v>8262</v>
      </c>
      <c r="AOG11" s="716">
        <v>7777</v>
      </c>
      <c r="AOH11" s="731">
        <v>8562</v>
      </c>
      <c r="AOI11" s="716">
        <v>7354</v>
      </c>
      <c r="AOJ11" s="731">
        <v>8169</v>
      </c>
      <c r="AOK11" s="731">
        <v>8480</v>
      </c>
      <c r="AOL11" s="954">
        <v>9979</v>
      </c>
      <c r="AOM11" s="954">
        <v>10547</v>
      </c>
      <c r="AON11" s="1005">
        <v>11886</v>
      </c>
      <c r="AOO11" s="954">
        <v>10104</v>
      </c>
      <c r="AOP11" s="954">
        <v>10540</v>
      </c>
      <c r="AOQ11" s="1005">
        <v>10909</v>
      </c>
      <c r="AOR11" s="954">
        <v>9258</v>
      </c>
      <c r="AOS11" s="954">
        <v>10061</v>
      </c>
      <c r="AOT11" s="954">
        <v>9331</v>
      </c>
      <c r="AOU11" s="954">
        <v>9798</v>
      </c>
      <c r="AOV11" s="954">
        <v>9747</v>
      </c>
      <c r="AOW11" s="954">
        <v>10823</v>
      </c>
      <c r="AOX11" s="954">
        <v>9079</v>
      </c>
      <c r="AOY11" s="731">
        <v>7995</v>
      </c>
      <c r="AOZ11" s="731">
        <v>8675</v>
      </c>
      <c r="APA11" s="954">
        <v>10417</v>
      </c>
      <c r="APB11" s="954">
        <v>9015</v>
      </c>
      <c r="APC11" s="954">
        <v>9671</v>
      </c>
      <c r="APD11" s="1004">
        <v>6578</v>
      </c>
      <c r="APE11" s="731">
        <v>7860</v>
      </c>
      <c r="APF11" s="731">
        <v>8876</v>
      </c>
      <c r="APG11" s="954">
        <v>10265</v>
      </c>
      <c r="APH11" s="954">
        <v>9125</v>
      </c>
      <c r="API11" s="954">
        <v>9188</v>
      </c>
      <c r="APJ11" s="954">
        <v>9246</v>
      </c>
      <c r="APK11" s="954">
        <v>9450</v>
      </c>
      <c r="APL11" s="731">
        <v>7955</v>
      </c>
      <c r="APM11" s="954">
        <v>9554</v>
      </c>
      <c r="APN11" s="954">
        <v>9089</v>
      </c>
      <c r="APO11" s="954">
        <v>10325</v>
      </c>
      <c r="APP11" s="954">
        <v>9786</v>
      </c>
      <c r="APQ11" s="954">
        <v>9239</v>
      </c>
      <c r="APR11" s="954">
        <v>9983</v>
      </c>
      <c r="APS11" s="954">
        <v>9171</v>
      </c>
      <c r="APT11" s="954">
        <v>9826</v>
      </c>
      <c r="APU11" s="731">
        <v>8477</v>
      </c>
      <c r="APV11" s="954">
        <v>9300</v>
      </c>
      <c r="APW11" s="954">
        <v>9286</v>
      </c>
      <c r="APX11" s="731">
        <v>7898</v>
      </c>
      <c r="APY11" s="954">
        <v>9304</v>
      </c>
      <c r="APZ11" s="731">
        <v>7240</v>
      </c>
      <c r="AQA11" s="954">
        <v>9143</v>
      </c>
      <c r="AQB11" s="731">
        <v>8190</v>
      </c>
      <c r="AQC11" s="731">
        <v>8056</v>
      </c>
      <c r="AQD11" s="731">
        <v>7679</v>
      </c>
      <c r="AQE11" s="731">
        <v>8848</v>
      </c>
      <c r="AQF11" s="731">
        <v>8325</v>
      </c>
      <c r="AQG11" s="731">
        <v>8957</v>
      </c>
      <c r="AQH11" s="731">
        <v>8841</v>
      </c>
      <c r="AQI11" s="731">
        <v>7387</v>
      </c>
      <c r="AQJ11" s="731">
        <v>7949</v>
      </c>
      <c r="AQK11" s="731">
        <v>8099</v>
      </c>
      <c r="AQL11" s="731">
        <v>8187</v>
      </c>
      <c r="AQM11" s="731">
        <v>8513</v>
      </c>
      <c r="AQN11" s="731">
        <v>7432</v>
      </c>
      <c r="AQO11" s="954">
        <v>9440</v>
      </c>
      <c r="AQP11" s="731">
        <v>7012</v>
      </c>
      <c r="AQQ11" s="731">
        <v>8739</v>
      </c>
      <c r="AQR11" s="731">
        <v>8680</v>
      </c>
      <c r="AQS11" s="731">
        <v>7915</v>
      </c>
      <c r="AQT11" s="954">
        <v>9790</v>
      </c>
      <c r="AQU11" s="731">
        <v>8381</v>
      </c>
      <c r="AQV11" s="731">
        <v>6725</v>
      </c>
      <c r="AQW11" s="954">
        <v>9048</v>
      </c>
      <c r="AQX11" s="731">
        <v>7379</v>
      </c>
      <c r="AQY11" s="731">
        <v>6600</v>
      </c>
      <c r="AQZ11" s="731">
        <v>8911</v>
      </c>
      <c r="ARA11" s="731">
        <v>8088</v>
      </c>
      <c r="ARB11" s="731">
        <v>8636</v>
      </c>
      <c r="ARC11" s="731">
        <v>8313</v>
      </c>
      <c r="ARD11" s="731">
        <v>7888</v>
      </c>
      <c r="ARE11" s="731">
        <v>7264</v>
      </c>
      <c r="ARF11" s="731">
        <v>8197</v>
      </c>
      <c r="ARG11" s="731">
        <v>8197</v>
      </c>
      <c r="ARH11" s="731">
        <v>8856</v>
      </c>
      <c r="ARI11" s="731">
        <v>7501</v>
      </c>
      <c r="ARJ11" s="731">
        <v>8501</v>
      </c>
      <c r="ARK11" s="731">
        <v>7641</v>
      </c>
      <c r="ARL11" s="731">
        <v>7777</v>
      </c>
      <c r="ARM11" s="731">
        <v>7821</v>
      </c>
      <c r="ARN11" s="731">
        <v>8897</v>
      </c>
      <c r="ARO11" s="731">
        <v>8444</v>
      </c>
      <c r="ARP11" s="731">
        <v>7761</v>
      </c>
      <c r="ARQ11" s="731">
        <v>7892</v>
      </c>
      <c r="ARR11" s="731">
        <v>8842</v>
      </c>
      <c r="ARS11" s="731">
        <v>7540</v>
      </c>
      <c r="ART11" s="731">
        <v>6607</v>
      </c>
      <c r="ARU11" s="731">
        <v>7788</v>
      </c>
      <c r="ARV11" s="731">
        <v>8629</v>
      </c>
      <c r="ARW11" s="731">
        <v>7124</v>
      </c>
      <c r="ARX11" s="731">
        <v>7273</v>
      </c>
      <c r="ARY11" s="731">
        <v>8274</v>
      </c>
      <c r="ARZ11" s="731">
        <v>6709</v>
      </c>
      <c r="ASA11" s="731">
        <v>8412</v>
      </c>
      <c r="ASB11" s="731">
        <v>8973</v>
      </c>
      <c r="ASC11" s="731">
        <v>8467</v>
      </c>
      <c r="ASD11" s="731">
        <v>7296</v>
      </c>
      <c r="ASE11" s="954">
        <v>10138</v>
      </c>
      <c r="ASF11" s="731">
        <v>8232</v>
      </c>
      <c r="ASG11" s="954">
        <v>9606</v>
      </c>
      <c r="ASH11" s="731">
        <v>7785</v>
      </c>
      <c r="ASI11" s="731">
        <v>9296</v>
      </c>
      <c r="ASJ11" s="731">
        <v>7638</v>
      </c>
      <c r="ASK11" s="731">
        <v>7813</v>
      </c>
      <c r="ASL11" s="731">
        <v>8291</v>
      </c>
      <c r="ASM11" s="731">
        <v>7091</v>
      </c>
      <c r="ASN11" s="731">
        <v>8005</v>
      </c>
      <c r="ASO11" s="731">
        <v>9448</v>
      </c>
      <c r="ASP11" s="731">
        <v>7511</v>
      </c>
      <c r="ASQ11" s="731">
        <v>8495</v>
      </c>
      <c r="ASR11" s="731">
        <v>8064</v>
      </c>
      <c r="ASS11" s="731">
        <v>8981</v>
      </c>
      <c r="AST11" s="731">
        <v>8604</v>
      </c>
      <c r="ASU11" s="731">
        <v>7292</v>
      </c>
      <c r="ASV11" s="731">
        <v>8404</v>
      </c>
      <c r="ASW11" s="731">
        <v>5449</v>
      </c>
      <c r="ASX11" s="731">
        <v>6383</v>
      </c>
      <c r="ASY11" s="731">
        <v>7371</v>
      </c>
      <c r="ASZ11" s="731">
        <v>6915</v>
      </c>
      <c r="ATA11" s="731">
        <v>8653</v>
      </c>
      <c r="ATB11" s="954">
        <v>9790</v>
      </c>
      <c r="ATC11" s="954">
        <v>9890</v>
      </c>
      <c r="ATD11" s="954">
        <v>9564</v>
      </c>
      <c r="ATE11" s="731">
        <v>8836</v>
      </c>
      <c r="ATF11" s="731">
        <v>7511</v>
      </c>
      <c r="ATG11" s="731">
        <v>8194</v>
      </c>
      <c r="ATH11" s="731">
        <v>7503</v>
      </c>
      <c r="ATI11" s="731">
        <v>7715</v>
      </c>
      <c r="ATJ11" s="731">
        <v>8625</v>
      </c>
      <c r="ATK11" s="731">
        <v>8715</v>
      </c>
      <c r="ATL11" s="731">
        <v>8875</v>
      </c>
      <c r="ATM11" s="731">
        <v>9400</v>
      </c>
      <c r="ATN11" s="731">
        <v>8200</v>
      </c>
      <c r="ATO11" s="731">
        <v>4984</v>
      </c>
      <c r="ATP11" s="731">
        <v>7829</v>
      </c>
      <c r="ATQ11" s="731">
        <v>7719</v>
      </c>
      <c r="ATR11" s="731">
        <v>6446</v>
      </c>
      <c r="ATS11" s="731">
        <v>7927</v>
      </c>
      <c r="ATT11" s="731">
        <v>8251</v>
      </c>
      <c r="ATU11" s="731">
        <v>7932</v>
      </c>
      <c r="ATV11" s="731">
        <v>8536</v>
      </c>
      <c r="ATW11" s="731">
        <v>7737</v>
      </c>
      <c r="ATX11" s="731">
        <v>7448</v>
      </c>
      <c r="ATY11" s="731">
        <v>8707</v>
      </c>
      <c r="ATZ11" s="731">
        <v>7610</v>
      </c>
      <c r="AUA11" s="731">
        <v>8148</v>
      </c>
      <c r="AUB11" s="731">
        <v>6650</v>
      </c>
      <c r="AUC11" s="731">
        <v>8523</v>
      </c>
      <c r="AUD11" s="731">
        <v>8269</v>
      </c>
      <c r="AUE11" s="731">
        <v>7556</v>
      </c>
      <c r="AUF11" s="731">
        <v>8157</v>
      </c>
      <c r="AUG11" s="731">
        <v>7570</v>
      </c>
      <c r="AUH11" s="731">
        <v>7512</v>
      </c>
      <c r="AUI11" s="731">
        <v>6495</v>
      </c>
      <c r="AUJ11" s="731">
        <v>6844</v>
      </c>
      <c r="AUK11" s="731">
        <v>8963</v>
      </c>
      <c r="AUL11" s="731">
        <v>7743</v>
      </c>
      <c r="AUM11" s="731">
        <v>9272</v>
      </c>
      <c r="AUN11" s="731">
        <v>5812</v>
      </c>
      <c r="AUO11" s="731">
        <v>8912</v>
      </c>
      <c r="AUP11" s="731">
        <v>9327</v>
      </c>
      <c r="AUQ11" s="731">
        <v>8322</v>
      </c>
      <c r="AUR11" s="731">
        <v>7825</v>
      </c>
      <c r="AUS11" s="731">
        <v>8345</v>
      </c>
      <c r="AUT11" s="731">
        <v>7465</v>
      </c>
      <c r="AUU11" s="731">
        <v>6282</v>
      </c>
      <c r="AUV11" s="731">
        <v>7226</v>
      </c>
      <c r="AUW11" s="954">
        <v>9041</v>
      </c>
      <c r="AUX11" s="731">
        <v>8490</v>
      </c>
      <c r="AUY11" s="731">
        <v>6253</v>
      </c>
      <c r="AUZ11" s="731">
        <v>8617</v>
      </c>
      <c r="AVA11" s="954">
        <v>9244</v>
      </c>
      <c r="AVB11" s="731">
        <v>8404</v>
      </c>
      <c r="AVC11" s="731">
        <v>8044</v>
      </c>
      <c r="AVD11" s="731">
        <v>6170</v>
      </c>
      <c r="AVE11" s="954">
        <v>9280</v>
      </c>
      <c r="AVF11" s="731">
        <v>3399</v>
      </c>
      <c r="AVG11" s="731">
        <v>7070</v>
      </c>
      <c r="AVH11" s="731">
        <v>8777</v>
      </c>
      <c r="AVI11" s="731">
        <v>7166</v>
      </c>
      <c r="AVJ11" s="731">
        <v>7273</v>
      </c>
      <c r="AVK11" s="731">
        <v>8361</v>
      </c>
      <c r="AVL11" s="731">
        <v>8031</v>
      </c>
      <c r="AVM11" s="731">
        <v>6522</v>
      </c>
      <c r="AVN11" s="731">
        <v>7994</v>
      </c>
      <c r="AVO11" s="731">
        <v>8718</v>
      </c>
      <c r="AVP11" s="731">
        <v>10132</v>
      </c>
      <c r="AVQ11" s="731">
        <v>6467</v>
      </c>
      <c r="AVR11" s="731">
        <v>7028</v>
      </c>
      <c r="AVS11" s="731">
        <v>5446</v>
      </c>
      <c r="AVT11" s="731">
        <v>4505</v>
      </c>
      <c r="AVU11" s="731">
        <v>6764</v>
      </c>
      <c r="AVV11" s="731">
        <v>4786</v>
      </c>
      <c r="AVW11" s="731">
        <v>6230</v>
      </c>
      <c r="AVX11" s="731">
        <v>6992</v>
      </c>
      <c r="AVY11" s="731">
        <v>8711</v>
      </c>
      <c r="AVZ11" s="731">
        <v>8206</v>
      </c>
      <c r="AWA11" s="731">
        <v>6996</v>
      </c>
      <c r="AWB11" s="731">
        <v>9029</v>
      </c>
      <c r="AWC11" s="731">
        <v>7258</v>
      </c>
      <c r="AWD11" s="731">
        <v>9781</v>
      </c>
      <c r="AWE11" s="731">
        <v>7313</v>
      </c>
      <c r="AWF11" s="731">
        <v>9045</v>
      </c>
      <c r="AWG11" s="731">
        <v>7538</v>
      </c>
      <c r="AWH11" s="731">
        <v>6795</v>
      </c>
      <c r="AWI11" s="731">
        <v>4471</v>
      </c>
      <c r="AWJ11" s="731">
        <v>8641</v>
      </c>
      <c r="AWK11" s="731">
        <v>6675</v>
      </c>
      <c r="AWL11" s="731">
        <v>6245</v>
      </c>
      <c r="AWM11" s="731">
        <v>6326</v>
      </c>
      <c r="AWN11" s="731">
        <v>5557</v>
      </c>
      <c r="AWO11" s="731">
        <v>5431</v>
      </c>
      <c r="AWP11" s="731">
        <v>6075</v>
      </c>
      <c r="AWQ11" s="731">
        <v>5505</v>
      </c>
      <c r="AWR11" s="731">
        <v>5595</v>
      </c>
      <c r="AWS11" s="731">
        <v>6122</v>
      </c>
      <c r="AWT11" s="731">
        <v>4620</v>
      </c>
      <c r="AWU11" s="731">
        <v>4221</v>
      </c>
      <c r="AWV11" s="731">
        <v>7748</v>
      </c>
      <c r="AWW11" s="731">
        <v>6828</v>
      </c>
      <c r="AWX11" s="731">
        <v>6322</v>
      </c>
      <c r="AWY11" s="731">
        <v>6524</v>
      </c>
      <c r="AWZ11" s="731">
        <v>6446</v>
      </c>
      <c r="AXA11" s="731">
        <v>6267</v>
      </c>
      <c r="AXB11" s="731">
        <v>7479</v>
      </c>
      <c r="AXC11" s="731">
        <v>7555</v>
      </c>
      <c r="AXD11" s="731">
        <v>7420</v>
      </c>
      <c r="AXE11" s="731">
        <v>7955</v>
      </c>
      <c r="AXF11" s="731">
        <v>7885</v>
      </c>
      <c r="AXG11" s="731">
        <v>6079</v>
      </c>
      <c r="AXH11" s="731">
        <v>7268</v>
      </c>
      <c r="AXI11" s="731">
        <v>7822</v>
      </c>
      <c r="AXJ11" s="731">
        <v>7462</v>
      </c>
      <c r="AXK11" s="716">
        <v>6984</v>
      </c>
      <c r="AXL11" s="716">
        <v>6610</v>
      </c>
      <c r="AXM11" s="731">
        <v>7298</v>
      </c>
      <c r="AXN11" s="731">
        <v>8836</v>
      </c>
      <c r="AXO11" s="731">
        <v>7034</v>
      </c>
      <c r="AXP11" s="731">
        <v>7438</v>
      </c>
      <c r="AXQ11" s="731">
        <v>7770</v>
      </c>
      <c r="AXR11" s="731">
        <v>8224</v>
      </c>
      <c r="AXS11" s="731">
        <v>9150</v>
      </c>
      <c r="AXT11" s="731">
        <v>9260</v>
      </c>
      <c r="AXU11" s="731">
        <v>8655</v>
      </c>
      <c r="AXV11" s="731">
        <v>8427</v>
      </c>
      <c r="AXW11" s="731">
        <v>8774</v>
      </c>
      <c r="AXX11" s="731">
        <v>8704</v>
      </c>
      <c r="AXY11" s="731">
        <v>7444</v>
      </c>
      <c r="AXZ11" s="731">
        <v>8328</v>
      </c>
      <c r="AYA11" s="731">
        <v>9170</v>
      </c>
      <c r="AYB11" s="731">
        <v>8920</v>
      </c>
      <c r="AYC11" s="731">
        <v>9882</v>
      </c>
      <c r="AYD11" s="731">
        <v>8084</v>
      </c>
      <c r="AYE11" s="731">
        <v>7390</v>
      </c>
      <c r="AYF11" s="731">
        <v>9092</v>
      </c>
      <c r="AYG11" s="731">
        <v>7351</v>
      </c>
      <c r="AYH11" s="731">
        <v>9137</v>
      </c>
      <c r="AYI11" s="731">
        <v>8556</v>
      </c>
      <c r="AYJ11" s="731">
        <v>9376</v>
      </c>
      <c r="AYK11" s="731">
        <v>8194</v>
      </c>
      <c r="AYL11" s="731">
        <v>9018</v>
      </c>
      <c r="AYM11" s="731">
        <v>7995</v>
      </c>
      <c r="AYN11" s="731">
        <v>7505</v>
      </c>
      <c r="AYO11" s="731">
        <v>7840</v>
      </c>
      <c r="AYP11" s="731">
        <v>5876</v>
      </c>
      <c r="AYQ11" s="731">
        <v>4875</v>
      </c>
      <c r="AYR11" s="731">
        <v>5901</v>
      </c>
      <c r="AYS11" s="731">
        <v>5300</v>
      </c>
      <c r="AYT11" s="731">
        <v>7640</v>
      </c>
      <c r="AYU11" s="731">
        <v>7740</v>
      </c>
      <c r="AYV11" s="731">
        <v>8140</v>
      </c>
      <c r="AYW11" s="731">
        <v>6505</v>
      </c>
      <c r="AYX11" s="731">
        <v>6811</v>
      </c>
      <c r="AYY11" s="731">
        <v>8714</v>
      </c>
      <c r="AYZ11" s="731">
        <v>9248</v>
      </c>
      <c r="AZA11" s="731">
        <v>8798</v>
      </c>
      <c r="AZB11" s="731">
        <v>6678</v>
      </c>
      <c r="AZC11" s="731">
        <v>9238</v>
      </c>
      <c r="AZD11" s="731">
        <v>8498</v>
      </c>
      <c r="AZE11" s="731">
        <v>9150</v>
      </c>
      <c r="AZF11" s="731">
        <v>7322</v>
      </c>
      <c r="AZG11" s="731">
        <v>8083</v>
      </c>
      <c r="AZH11" s="731">
        <v>6588</v>
      </c>
      <c r="AZI11" s="731">
        <v>7466</v>
      </c>
      <c r="AZJ11" s="731">
        <v>5470</v>
      </c>
      <c r="AZK11" s="731">
        <v>7540</v>
      </c>
      <c r="AZL11" s="731">
        <v>5278</v>
      </c>
      <c r="AZM11" s="731">
        <v>6944</v>
      </c>
      <c r="AZN11" s="731">
        <v>8544</v>
      </c>
      <c r="AZO11" s="731">
        <v>8400</v>
      </c>
      <c r="AZP11" s="731">
        <v>7302</v>
      </c>
      <c r="AZQ11" s="731">
        <v>8310</v>
      </c>
      <c r="AZR11" s="731">
        <v>8774</v>
      </c>
      <c r="AZS11" s="731">
        <v>9052</v>
      </c>
      <c r="AZT11" s="731">
        <v>8388</v>
      </c>
      <c r="AZU11" s="731">
        <v>9838</v>
      </c>
      <c r="AZV11" s="1022">
        <v>4700</v>
      </c>
      <c r="AZW11" s="954">
        <v>10650</v>
      </c>
      <c r="AZX11" s="731">
        <v>8360</v>
      </c>
      <c r="AZY11" s="731">
        <v>8788</v>
      </c>
      <c r="AZZ11" s="731">
        <v>8732</v>
      </c>
      <c r="BAA11" s="954">
        <v>9700</v>
      </c>
      <c r="BAB11" s="731">
        <v>7778</v>
      </c>
      <c r="BAC11" s="731">
        <v>8772</v>
      </c>
      <c r="BAD11" s="954">
        <v>9220</v>
      </c>
      <c r="BAE11" s="954">
        <v>10542</v>
      </c>
      <c r="BAF11" s="1022">
        <v>6272</v>
      </c>
      <c r="BAG11" s="1022">
        <v>7945</v>
      </c>
      <c r="BAH11" s="1005">
        <v>11606</v>
      </c>
      <c r="BAI11" s="1022">
        <v>9054</v>
      </c>
      <c r="BAJ11" s="1022">
        <v>10230</v>
      </c>
      <c r="BAK11" s="1022">
        <v>7798</v>
      </c>
      <c r="BAL11" s="1022">
        <v>6710</v>
      </c>
      <c r="BAM11" s="1022">
        <v>8518</v>
      </c>
      <c r="BAN11" s="1022">
        <v>6566</v>
      </c>
      <c r="BAO11" s="1022">
        <v>8584</v>
      </c>
      <c r="BAP11" s="1022">
        <v>8950</v>
      </c>
      <c r="BAQ11" s="954">
        <v>10336</v>
      </c>
      <c r="BAR11" s="1022">
        <v>7178</v>
      </c>
      <c r="BAS11" s="1022">
        <v>5992</v>
      </c>
      <c r="BAT11" s="1022">
        <v>7856</v>
      </c>
      <c r="BAU11" s="1022">
        <v>9880</v>
      </c>
      <c r="BAV11" s="1022">
        <v>7976</v>
      </c>
      <c r="BAW11" s="1022">
        <v>8760</v>
      </c>
      <c r="BAX11" s="1022">
        <v>8710</v>
      </c>
      <c r="BAY11" s="731">
        <v>6086</v>
      </c>
      <c r="BAZ11" s="731">
        <v>3246</v>
      </c>
      <c r="BBA11" s="731">
        <v>6712</v>
      </c>
      <c r="BBB11" s="731">
        <v>6482</v>
      </c>
      <c r="BBC11" s="731">
        <v>5562</v>
      </c>
      <c r="BBD11" s="731">
        <v>7284</v>
      </c>
      <c r="BBE11" s="731">
        <v>5568</v>
      </c>
      <c r="BBF11" s="731">
        <v>5050</v>
      </c>
      <c r="BBG11" s="731">
        <v>7336</v>
      </c>
      <c r="BBH11" s="731">
        <v>4058</v>
      </c>
      <c r="BBI11" s="731">
        <v>7836</v>
      </c>
      <c r="BBJ11" s="731">
        <v>9961</v>
      </c>
      <c r="BBK11" s="731">
        <v>6535</v>
      </c>
      <c r="BBL11" s="731">
        <v>7786</v>
      </c>
      <c r="BBM11" s="731">
        <v>7870</v>
      </c>
      <c r="BBN11" s="1023">
        <v>10418</v>
      </c>
      <c r="BBO11" s="731">
        <v>8866</v>
      </c>
      <c r="BBP11" s="731">
        <v>8308</v>
      </c>
      <c r="BBQ11" s="731">
        <v>7498</v>
      </c>
      <c r="BBR11" s="731">
        <v>5970</v>
      </c>
      <c r="BBS11" s="731">
        <v>9328</v>
      </c>
      <c r="BBT11" s="1023">
        <v>11676</v>
      </c>
      <c r="BBU11" s="1023">
        <v>12012</v>
      </c>
      <c r="BBV11" s="1023">
        <v>10666</v>
      </c>
      <c r="BBW11" s="731">
        <v>5760</v>
      </c>
      <c r="BBX11" s="731">
        <v>9714</v>
      </c>
      <c r="BBY11" s="1023">
        <v>11000</v>
      </c>
      <c r="BBZ11" s="1023">
        <v>11160</v>
      </c>
      <c r="BCA11" s="731">
        <v>9136</v>
      </c>
      <c r="BCB11" s="1023">
        <v>10054</v>
      </c>
      <c r="BCC11" s="731">
        <v>9977</v>
      </c>
      <c r="BCD11" s="1023">
        <v>10815</v>
      </c>
      <c r="BCE11" s="731">
        <v>6916</v>
      </c>
      <c r="BCF11" s="1023">
        <v>10924</v>
      </c>
      <c r="BCG11" s="731">
        <v>6336</v>
      </c>
      <c r="BCH11" s="731">
        <v>10506</v>
      </c>
      <c r="BCI11" s="731">
        <v>5060</v>
      </c>
      <c r="BCJ11" s="731">
        <v>66</v>
      </c>
      <c r="BCK11" s="731">
        <v>11478</v>
      </c>
      <c r="BCL11" s="731">
        <v>9790</v>
      </c>
      <c r="BCM11" s="731">
        <v>9560</v>
      </c>
      <c r="BCN11" s="731">
        <v>9558</v>
      </c>
      <c r="BCO11" s="731">
        <v>9012</v>
      </c>
      <c r="BCP11" s="731">
        <v>11082</v>
      </c>
      <c r="BCQ11" s="731">
        <v>8908</v>
      </c>
      <c r="BCR11" s="716">
        <v>6434</v>
      </c>
      <c r="BCS11" s="716">
        <v>6450</v>
      </c>
      <c r="BCT11" s="716">
        <v>5276</v>
      </c>
      <c r="BCU11" s="716">
        <v>4456</v>
      </c>
      <c r="BCV11" s="731">
        <v>9034</v>
      </c>
      <c r="BCW11" s="716">
        <v>6946</v>
      </c>
      <c r="BCX11" s="731">
        <v>9222</v>
      </c>
      <c r="BCY11" s="716">
        <v>7420</v>
      </c>
      <c r="BCZ11" s="716">
        <v>7420</v>
      </c>
      <c r="BDA11" s="731">
        <v>8236</v>
      </c>
      <c r="BDB11" s="731">
        <v>10472</v>
      </c>
      <c r="BDC11" s="731">
        <v>6610</v>
      </c>
      <c r="BDD11" s="731">
        <v>9016</v>
      </c>
      <c r="BDE11" s="731">
        <v>9728</v>
      </c>
      <c r="BDF11" s="716">
        <v>5280</v>
      </c>
      <c r="BDG11" s="731">
        <v>10112</v>
      </c>
      <c r="BDH11" s="731">
        <v>8530</v>
      </c>
      <c r="BDI11" s="716">
        <v>6906</v>
      </c>
      <c r="BDJ11" s="731">
        <v>9462</v>
      </c>
      <c r="BDK11" s="731">
        <v>10130</v>
      </c>
      <c r="BDL11" s="731">
        <v>10012</v>
      </c>
      <c r="BDM11" s="716">
        <v>7312</v>
      </c>
      <c r="BDN11" s="731">
        <v>9500</v>
      </c>
      <c r="BDO11" s="716">
        <v>7856</v>
      </c>
      <c r="BDP11" s="716">
        <v>5380</v>
      </c>
      <c r="BDQ11" s="716">
        <v>7112</v>
      </c>
      <c r="BDR11" s="716">
        <v>5452</v>
      </c>
      <c r="BDS11" s="716">
        <v>7390</v>
      </c>
      <c r="BDT11" s="716">
        <v>4480</v>
      </c>
      <c r="BDU11" s="731">
        <v>8336</v>
      </c>
      <c r="BDV11" s="716">
        <v>4244</v>
      </c>
      <c r="BDW11" s="731">
        <v>8418</v>
      </c>
      <c r="BDX11" s="716">
        <v>5190</v>
      </c>
      <c r="BDY11" s="716">
        <v>5940</v>
      </c>
      <c r="BDZ11" s="716">
        <v>5952</v>
      </c>
      <c r="BEA11" s="716">
        <v>6928</v>
      </c>
      <c r="BEB11" s="716">
        <v>6804</v>
      </c>
      <c r="BEC11" s="716">
        <v>7170</v>
      </c>
      <c r="BED11" s="731">
        <v>9544</v>
      </c>
      <c r="BEE11" s="731">
        <v>9082</v>
      </c>
      <c r="BEF11" s="716">
        <v>7546</v>
      </c>
      <c r="BEG11" s="731">
        <v>8932</v>
      </c>
      <c r="BEH11" s="716">
        <v>7152</v>
      </c>
      <c r="BEI11" s="716">
        <v>5867</v>
      </c>
      <c r="BEJ11" s="954">
        <v>10234</v>
      </c>
      <c r="BEK11" s="731">
        <v>8712</v>
      </c>
      <c r="BEL11" s="731">
        <v>8544</v>
      </c>
      <c r="BEM11" s="731">
        <v>9504</v>
      </c>
      <c r="BEN11" s="731">
        <v>9618</v>
      </c>
      <c r="BEO11" s="731">
        <v>9458</v>
      </c>
      <c r="BEP11" s="731">
        <v>9580</v>
      </c>
      <c r="BEQ11" s="731">
        <v>8545</v>
      </c>
      <c r="BER11" s="731">
        <v>7650</v>
      </c>
      <c r="BES11" s="1152">
        <v>3828</v>
      </c>
      <c r="BET11" s="731">
        <v>12180</v>
      </c>
      <c r="BEU11" s="731">
        <v>9346</v>
      </c>
      <c r="BEV11" s="731">
        <v>7972</v>
      </c>
      <c r="BEW11" s="731">
        <v>8636</v>
      </c>
      <c r="BEX11" s="731">
        <v>8307</v>
      </c>
      <c r="BEY11" s="731">
        <v>9627</v>
      </c>
      <c r="BEZ11" s="731">
        <v>9100</v>
      </c>
      <c r="BFA11" s="731">
        <v>5008</v>
      </c>
      <c r="BFB11" s="731">
        <v>8982</v>
      </c>
      <c r="BFC11" s="731">
        <v>9666</v>
      </c>
      <c r="BFD11" s="731">
        <v>7932</v>
      </c>
      <c r="BFE11" s="731">
        <v>8139</v>
      </c>
      <c r="BFF11" s="731">
        <v>8925</v>
      </c>
      <c r="BFG11" s="731">
        <v>8755</v>
      </c>
      <c r="BFH11" s="731">
        <v>8266</v>
      </c>
      <c r="BFI11" s="716">
        <v>7440</v>
      </c>
      <c r="BFJ11" s="716">
        <v>9445</v>
      </c>
      <c r="BFK11" s="716">
        <v>6338</v>
      </c>
      <c r="BFL11" s="716">
        <v>6501</v>
      </c>
      <c r="BFM11" s="731">
        <v>9378</v>
      </c>
      <c r="BFN11" s="731">
        <v>9220</v>
      </c>
      <c r="BFO11" s="716">
        <v>7899</v>
      </c>
      <c r="BFP11" s="716">
        <v>7050</v>
      </c>
      <c r="BFQ11" s="716">
        <v>7342</v>
      </c>
      <c r="BFR11" s="731">
        <v>8224</v>
      </c>
      <c r="BFS11" s="1152">
        <v>4289</v>
      </c>
      <c r="BFT11" s="716">
        <v>6878</v>
      </c>
      <c r="BFU11" s="716">
        <v>6577</v>
      </c>
      <c r="BFV11" s="716">
        <v>5675</v>
      </c>
      <c r="BFW11" s="716">
        <v>5757</v>
      </c>
      <c r="BFX11" s="716">
        <v>5051</v>
      </c>
      <c r="BFY11" s="716">
        <v>6083</v>
      </c>
      <c r="BFZ11" s="716">
        <v>5380</v>
      </c>
      <c r="BGA11" s="731">
        <v>8432</v>
      </c>
      <c r="BGB11" s="716">
        <v>7281</v>
      </c>
      <c r="BGC11" s="716">
        <v>6351</v>
      </c>
      <c r="BGD11" s="716">
        <v>5883</v>
      </c>
      <c r="BGE11" s="716">
        <v>6403</v>
      </c>
      <c r="BGF11" s="731">
        <v>9807</v>
      </c>
      <c r="BGG11" s="731">
        <v>10733</v>
      </c>
      <c r="BGH11" s="731">
        <v>9830</v>
      </c>
      <c r="BGI11" s="731">
        <v>9910</v>
      </c>
      <c r="BGJ11" s="731">
        <v>10345</v>
      </c>
      <c r="BGK11" s="716">
        <v>5990</v>
      </c>
      <c r="BGL11" s="731">
        <v>8788</v>
      </c>
      <c r="BGM11" s="1154"/>
      <c r="BGN11" s="1154"/>
      <c r="BGO11" s="1154"/>
      <c r="BGP11" s="1154"/>
      <c r="BGQ11" s="1154"/>
      <c r="BGR11" s="1154"/>
      <c r="BGS11" s="1154"/>
      <c r="BGT11" s="1154"/>
      <c r="BGU11" s="1154"/>
      <c r="BGV11" s="1154"/>
      <c r="BGW11" s="1154"/>
      <c r="BGX11" s="1154"/>
      <c r="BGY11" s="1154"/>
      <c r="BGZ11" s="1154"/>
      <c r="BHA11" s="1154"/>
      <c r="BHB11" s="1154"/>
      <c r="BHC11" s="1154"/>
      <c r="BHD11" s="1154"/>
      <c r="BHE11" s="1154"/>
      <c r="BHF11" s="1154"/>
      <c r="BHG11" s="1154"/>
      <c r="BHH11" s="1154"/>
      <c r="BHI11" s="1154"/>
      <c r="BHJ11" s="1154"/>
      <c r="BHK11" s="1154"/>
      <c r="BHL11" s="1154"/>
      <c r="BHM11" s="1154"/>
      <c r="BHN11" s="1154"/>
      <c r="BHO11" s="1154"/>
      <c r="BHP11" s="1154"/>
      <c r="BHQ11" s="1154"/>
      <c r="BHR11" s="1154"/>
      <c r="BHS11" s="1154"/>
      <c r="BHT11" s="1154"/>
      <c r="BHU11" s="1154"/>
    </row>
    <row r="12" spans="1:1615" s="171" customFormat="1" ht="21" hidden="1" customHeight="1" x14ac:dyDescent="0.25">
      <c r="A12" s="170"/>
      <c r="B12" s="170"/>
      <c r="C12" s="170"/>
      <c r="D12" s="170"/>
      <c r="E12" s="1146"/>
      <c r="F12" s="1146"/>
      <c r="G12" s="1146"/>
      <c r="H12" s="1139"/>
      <c r="I12" s="1111"/>
      <c r="J12" s="1111"/>
      <c r="K12" s="1111"/>
      <c r="L12" s="1111"/>
      <c r="M12" s="1111"/>
      <c r="N12" s="1111"/>
      <c r="O12" s="1075">
        <f t="shared" ref="O12:BZ12" si="369">O11-$O$2</f>
        <v>1594.6807999999999</v>
      </c>
      <c r="P12" s="1075">
        <f t="shared" si="369"/>
        <v>1594.6807999999999</v>
      </c>
      <c r="Q12" s="1075">
        <f t="shared" si="369"/>
        <v>1594.6807999999999</v>
      </c>
      <c r="R12" s="1075">
        <f t="shared" si="369"/>
        <v>1594.6807999999999</v>
      </c>
      <c r="S12" s="1075">
        <f t="shared" si="369"/>
        <v>1594.6807999999999</v>
      </c>
      <c r="T12" s="1075">
        <f t="shared" si="369"/>
        <v>1594.6807999999999</v>
      </c>
      <c r="U12" s="1075">
        <f t="shared" si="369"/>
        <v>1594.6807999999999</v>
      </c>
      <c r="V12" s="1075">
        <f t="shared" si="369"/>
        <v>1594.6807999999999</v>
      </c>
      <c r="W12" s="1075">
        <f t="shared" si="369"/>
        <v>1594.6807999999999</v>
      </c>
      <c r="X12" s="1075">
        <f t="shared" si="369"/>
        <v>1594.6807999999999</v>
      </c>
      <c r="Y12" s="1075">
        <f t="shared" si="369"/>
        <v>1594.6807999999999</v>
      </c>
      <c r="Z12" s="1075">
        <f t="shared" si="369"/>
        <v>1594.6807999999999</v>
      </c>
      <c r="AA12" s="1075">
        <f t="shared" si="369"/>
        <v>1594.6807999999999</v>
      </c>
      <c r="AB12" s="1075">
        <f t="shared" si="369"/>
        <v>1594.6807999999999</v>
      </c>
      <c r="AC12" s="1075">
        <f t="shared" si="369"/>
        <v>1594.6807999999999</v>
      </c>
      <c r="AD12" s="1075">
        <f t="shared" si="369"/>
        <v>1594.6807999999999</v>
      </c>
      <c r="AE12" s="1075">
        <f t="shared" si="369"/>
        <v>1594.6807999999999</v>
      </c>
      <c r="AF12" s="1075">
        <f t="shared" si="369"/>
        <v>1594.6807999999999</v>
      </c>
      <c r="AG12" s="1075">
        <f t="shared" si="369"/>
        <v>1594.6807999999999</v>
      </c>
      <c r="AH12" s="1075">
        <f t="shared" si="369"/>
        <v>1594.6807999999999</v>
      </c>
      <c r="AI12" s="1075">
        <f t="shared" si="369"/>
        <v>1594.6807999999999</v>
      </c>
      <c r="AJ12" s="1075">
        <f t="shared" si="369"/>
        <v>1594.6807999999999</v>
      </c>
      <c r="AK12" s="1075">
        <f t="shared" si="369"/>
        <v>1594.6807999999999</v>
      </c>
      <c r="AL12" s="1075">
        <f t="shared" si="369"/>
        <v>1594.6807999999999</v>
      </c>
      <c r="AM12" s="1075">
        <f t="shared" si="369"/>
        <v>1594.6807999999999</v>
      </c>
      <c r="AN12" s="1075">
        <f t="shared" si="369"/>
        <v>1594.6807999999999</v>
      </c>
      <c r="AO12" s="1075">
        <f t="shared" si="369"/>
        <v>1594.6807999999999</v>
      </c>
      <c r="AP12" s="1075">
        <f t="shared" si="369"/>
        <v>1594.6807999999999</v>
      </c>
      <c r="AQ12" s="1075">
        <f t="shared" si="369"/>
        <v>1594.6807999999999</v>
      </c>
      <c r="AR12" s="1075">
        <f t="shared" si="369"/>
        <v>1594.6807999999999</v>
      </c>
      <c r="AS12" s="1075">
        <f t="shared" si="369"/>
        <v>1594.6807999999999</v>
      </c>
      <c r="AT12" s="1075">
        <f t="shared" si="369"/>
        <v>1594.6807999999999</v>
      </c>
      <c r="AU12" s="1075">
        <f t="shared" si="369"/>
        <v>1594.6807999999999</v>
      </c>
      <c r="AV12" s="1075">
        <f t="shared" si="369"/>
        <v>1594.6807999999999</v>
      </c>
      <c r="AW12" s="1075">
        <f t="shared" si="369"/>
        <v>1594.6807999999999</v>
      </c>
      <c r="AX12" s="1075">
        <f t="shared" si="369"/>
        <v>2022.5708</v>
      </c>
      <c r="AY12" s="1075">
        <f t="shared" si="369"/>
        <v>1613.5708</v>
      </c>
      <c r="AZ12" s="1075">
        <f t="shared" si="369"/>
        <v>1943.5708</v>
      </c>
      <c r="BA12" s="1075">
        <f t="shared" si="369"/>
        <v>1141.5708</v>
      </c>
      <c r="BB12" s="1075">
        <f t="shared" si="369"/>
        <v>2274.5708</v>
      </c>
      <c r="BC12" s="1075">
        <f t="shared" si="369"/>
        <v>2592.5708</v>
      </c>
      <c r="BD12" s="1075">
        <f t="shared" si="369"/>
        <v>1207.5708</v>
      </c>
      <c r="BE12" s="1075">
        <f t="shared" si="369"/>
        <v>1095.5708</v>
      </c>
      <c r="BF12" s="1075">
        <f t="shared" si="369"/>
        <v>1892.5708</v>
      </c>
      <c r="BG12" s="1075">
        <f t="shared" si="369"/>
        <v>1440.5708</v>
      </c>
      <c r="BH12" s="1075">
        <f t="shared" si="369"/>
        <v>1858.5708</v>
      </c>
      <c r="BI12" s="1075">
        <f t="shared" si="369"/>
        <v>2033.5708</v>
      </c>
      <c r="BJ12" s="1075">
        <f t="shared" si="369"/>
        <v>2514.5708</v>
      </c>
      <c r="BK12" s="1075">
        <f t="shared" si="369"/>
        <v>1773.5708</v>
      </c>
      <c r="BL12" s="1075">
        <f t="shared" si="369"/>
        <v>3885.5708</v>
      </c>
      <c r="BM12" s="1075">
        <f t="shared" si="369"/>
        <v>2265.5708</v>
      </c>
      <c r="BN12" s="1075">
        <f t="shared" si="369"/>
        <v>1599.5708</v>
      </c>
      <c r="BO12" s="1075">
        <f t="shared" si="369"/>
        <v>2152.5708</v>
      </c>
      <c r="BP12" s="1075">
        <f t="shared" si="369"/>
        <v>3737.5708</v>
      </c>
      <c r="BQ12" s="1075">
        <f t="shared" si="369"/>
        <v>3563.5708</v>
      </c>
      <c r="BR12" s="1075">
        <f t="shared" si="369"/>
        <v>2941.5708</v>
      </c>
      <c r="BS12" s="1075">
        <f t="shared" si="369"/>
        <v>2623.5708</v>
      </c>
      <c r="BT12" s="1075">
        <f t="shared" si="369"/>
        <v>2725.5708</v>
      </c>
      <c r="BU12" s="1075">
        <f t="shared" si="369"/>
        <v>2569.5708</v>
      </c>
      <c r="BV12" s="1075">
        <f t="shared" si="369"/>
        <v>1968.5708</v>
      </c>
      <c r="BW12" s="1075">
        <f t="shared" si="369"/>
        <v>2858.5708</v>
      </c>
      <c r="BX12" s="1075">
        <f t="shared" si="369"/>
        <v>2412.5708</v>
      </c>
      <c r="BY12" s="1075">
        <f t="shared" si="369"/>
        <v>3116.5708</v>
      </c>
      <c r="BZ12" s="1075">
        <f t="shared" si="369"/>
        <v>2819.5708</v>
      </c>
      <c r="CA12" s="1075">
        <f t="shared" ref="CA12:EL12" si="370">CA11-$O$2</f>
        <v>2379.5708</v>
      </c>
      <c r="CB12" s="1075">
        <f t="shared" si="370"/>
        <v>3659.5708</v>
      </c>
      <c r="CC12" s="1075">
        <f t="shared" si="370"/>
        <v>2409.5708</v>
      </c>
      <c r="CD12" s="1075">
        <f t="shared" si="370"/>
        <v>3109.5708</v>
      </c>
      <c r="CE12" s="1075">
        <f t="shared" si="370"/>
        <v>2119.5708</v>
      </c>
      <c r="CF12" s="1075">
        <f t="shared" si="370"/>
        <v>2859.5708</v>
      </c>
      <c r="CG12" s="1075">
        <f t="shared" si="370"/>
        <v>2819.5708</v>
      </c>
      <c r="CH12" s="1075">
        <f t="shared" si="370"/>
        <v>2509.5708</v>
      </c>
      <c r="CI12" s="1075">
        <f t="shared" si="370"/>
        <v>2079.5708</v>
      </c>
      <c r="CJ12" s="1075">
        <f t="shared" si="370"/>
        <v>2609.5708</v>
      </c>
      <c r="CK12" s="1075">
        <f t="shared" si="370"/>
        <v>3259.5708</v>
      </c>
      <c r="CL12" s="1075">
        <f t="shared" si="370"/>
        <v>1699.5708</v>
      </c>
      <c r="CM12" s="1075">
        <f t="shared" si="370"/>
        <v>3119.5708</v>
      </c>
      <c r="CN12" s="1075">
        <f t="shared" si="370"/>
        <v>1119.5708</v>
      </c>
      <c r="CO12" s="1075">
        <f t="shared" si="370"/>
        <v>-90.429199999999994</v>
      </c>
      <c r="CP12" s="1075">
        <f t="shared" si="370"/>
        <v>2515.5708</v>
      </c>
      <c r="CQ12" s="1075">
        <f t="shared" si="370"/>
        <v>489.57080000000002</v>
      </c>
      <c r="CR12" s="1075">
        <f t="shared" si="370"/>
        <v>819.57079999999996</v>
      </c>
      <c r="CS12" s="1075">
        <f t="shared" si="370"/>
        <v>2499.5708</v>
      </c>
      <c r="CT12" s="1075">
        <f t="shared" si="370"/>
        <v>979.57079999999996</v>
      </c>
      <c r="CU12" s="1075">
        <f t="shared" si="370"/>
        <v>2729.5708</v>
      </c>
      <c r="CV12" s="1075">
        <f t="shared" si="370"/>
        <v>2289.5708</v>
      </c>
      <c r="CW12" s="1075">
        <f t="shared" si="370"/>
        <v>3929.5708</v>
      </c>
      <c r="CX12" s="1075">
        <f t="shared" si="370"/>
        <v>4789.5708000000004</v>
      </c>
      <c r="CY12" s="1075">
        <f t="shared" si="370"/>
        <v>3069.5708</v>
      </c>
      <c r="CZ12" s="1075">
        <f t="shared" si="370"/>
        <v>3719.5708</v>
      </c>
      <c r="DA12" s="1075">
        <f t="shared" si="370"/>
        <v>3029.5708</v>
      </c>
      <c r="DB12" s="1075">
        <f t="shared" si="370"/>
        <v>3569.5708</v>
      </c>
      <c r="DC12" s="1075">
        <f t="shared" si="370"/>
        <v>3479.5708</v>
      </c>
      <c r="DD12" s="1075">
        <f t="shared" si="370"/>
        <v>2879.5708</v>
      </c>
      <c r="DE12" s="1075">
        <f t="shared" si="370"/>
        <v>3259.5708</v>
      </c>
      <c r="DF12" s="1075">
        <f t="shared" si="370"/>
        <v>1969.5708</v>
      </c>
      <c r="DG12" s="1075">
        <f t="shared" si="370"/>
        <v>2719.5708</v>
      </c>
      <c r="DH12" s="1075">
        <f t="shared" si="370"/>
        <v>2589.5708</v>
      </c>
      <c r="DI12" s="1075">
        <f t="shared" si="370"/>
        <v>2939.5708</v>
      </c>
      <c r="DJ12" s="1075">
        <f t="shared" si="370"/>
        <v>2579.5708</v>
      </c>
      <c r="DK12" s="1075">
        <f t="shared" si="370"/>
        <v>1849.5708</v>
      </c>
      <c r="DL12" s="1075">
        <f t="shared" si="370"/>
        <v>3729.5708</v>
      </c>
      <c r="DM12" s="1075">
        <f t="shared" si="370"/>
        <v>2129.5708</v>
      </c>
      <c r="DN12" s="1075">
        <f t="shared" si="370"/>
        <v>1409.5708</v>
      </c>
      <c r="DO12" s="1075">
        <f t="shared" si="370"/>
        <v>1769.5708</v>
      </c>
      <c r="DP12" s="1075">
        <f t="shared" si="370"/>
        <v>2959.5708</v>
      </c>
      <c r="DQ12" s="1075">
        <f t="shared" si="370"/>
        <v>3739.5708</v>
      </c>
      <c r="DR12" s="1075">
        <f t="shared" si="370"/>
        <v>1569.5708</v>
      </c>
      <c r="DS12" s="1075">
        <f t="shared" si="370"/>
        <v>3009.5708</v>
      </c>
      <c r="DT12" s="1075">
        <f t="shared" si="370"/>
        <v>4269.5708000000004</v>
      </c>
      <c r="DU12" s="1075">
        <f t="shared" si="370"/>
        <v>1389.5708</v>
      </c>
      <c r="DV12" s="1075">
        <f t="shared" si="370"/>
        <v>1912.5708</v>
      </c>
      <c r="DW12" s="1075">
        <f t="shared" si="370"/>
        <v>4336.5708000000004</v>
      </c>
      <c r="DX12" s="1075">
        <f t="shared" si="370"/>
        <v>6054.5708000000004</v>
      </c>
      <c r="DY12" s="1075">
        <f t="shared" si="370"/>
        <v>5000.5708000000004</v>
      </c>
      <c r="DZ12" s="1075">
        <f t="shared" si="370"/>
        <v>5461.5708000000004</v>
      </c>
      <c r="EA12" s="1075">
        <f t="shared" si="370"/>
        <v>6921.5708000000004</v>
      </c>
      <c r="EB12" s="1075">
        <f t="shared" si="370"/>
        <v>6919.5708000000004</v>
      </c>
      <c r="EC12" s="1075">
        <f t="shared" si="370"/>
        <v>2989.5708</v>
      </c>
      <c r="ED12" s="1075">
        <f t="shared" si="370"/>
        <v>7944.5708000000004</v>
      </c>
      <c r="EE12" s="1075">
        <f t="shared" si="370"/>
        <v>9521.5707999999995</v>
      </c>
      <c r="EF12" s="1075">
        <f t="shared" si="370"/>
        <v>4497.5708000000004</v>
      </c>
      <c r="EG12" s="1075">
        <f t="shared" si="370"/>
        <v>8702.5707999999995</v>
      </c>
      <c r="EH12" s="1075">
        <f t="shared" si="370"/>
        <v>9042.5707999999995</v>
      </c>
      <c r="EI12" s="1075">
        <f t="shared" si="370"/>
        <v>6818.5708000000004</v>
      </c>
      <c r="EJ12" s="1075">
        <f t="shared" si="370"/>
        <v>8042.5708000000004</v>
      </c>
      <c r="EK12" s="1075">
        <f t="shared" si="370"/>
        <v>7459.5708000000004</v>
      </c>
      <c r="EL12" s="1075">
        <f t="shared" si="370"/>
        <v>8230.5707999999995</v>
      </c>
      <c r="EM12" s="1075">
        <f t="shared" ref="EM12:GX12" si="371">EM11-$O$2</f>
        <v>7477.5708000000004</v>
      </c>
      <c r="EN12" s="1075">
        <f t="shared" si="371"/>
        <v>5552.5708000000004</v>
      </c>
      <c r="EO12" s="1075">
        <f t="shared" si="371"/>
        <v>7660.5708000000004</v>
      </c>
      <c r="EP12" s="1075">
        <f t="shared" si="371"/>
        <v>9008.5707999999995</v>
      </c>
      <c r="EQ12" s="1075">
        <f t="shared" si="371"/>
        <v>6551.5708000000004</v>
      </c>
      <c r="ER12" s="1075">
        <f t="shared" si="371"/>
        <v>6157.5708000000004</v>
      </c>
      <c r="ES12" s="1075">
        <f t="shared" si="371"/>
        <v>5706.5708000000004</v>
      </c>
      <c r="ET12" s="1075">
        <f t="shared" si="371"/>
        <v>4809.5708000000004</v>
      </c>
      <c r="EU12" s="1075">
        <f t="shared" si="371"/>
        <v>7177.5708000000004</v>
      </c>
      <c r="EV12" s="1075">
        <f t="shared" si="371"/>
        <v>5965.5708000000004</v>
      </c>
      <c r="EW12" s="1075">
        <f t="shared" si="371"/>
        <v>6316.5708000000004</v>
      </c>
      <c r="EX12" s="1075">
        <f t="shared" si="371"/>
        <v>4127.5708000000004</v>
      </c>
      <c r="EY12" s="1075">
        <f t="shared" si="371"/>
        <v>8849.5707999999995</v>
      </c>
      <c r="EZ12" s="1075">
        <f t="shared" si="371"/>
        <v>5271.5708000000004</v>
      </c>
      <c r="FA12" s="1075">
        <f t="shared" si="371"/>
        <v>7821.5708000000004</v>
      </c>
      <c r="FB12" s="1075">
        <f t="shared" si="371"/>
        <v>5695.5708000000004</v>
      </c>
      <c r="FC12" s="1075">
        <f t="shared" si="371"/>
        <v>5657.5708000000004</v>
      </c>
      <c r="FD12" s="1075">
        <f t="shared" si="371"/>
        <v>5508.5708000000004</v>
      </c>
      <c r="FE12" s="1075">
        <f t="shared" si="371"/>
        <v>9241.5707999999995</v>
      </c>
      <c r="FF12" s="1075">
        <f t="shared" si="371"/>
        <v>7946.5708000000004</v>
      </c>
      <c r="FG12" s="1075">
        <f t="shared" si="371"/>
        <v>6807.5708000000004</v>
      </c>
      <c r="FH12" s="1075">
        <f t="shared" si="371"/>
        <v>7112.5708000000004</v>
      </c>
      <c r="FI12" s="1075">
        <f t="shared" si="371"/>
        <v>4862.5708000000004</v>
      </c>
      <c r="FJ12" s="1075">
        <f t="shared" si="371"/>
        <v>4163.5708000000004</v>
      </c>
      <c r="FK12" s="1075">
        <f t="shared" si="371"/>
        <v>7479.5708000000004</v>
      </c>
      <c r="FL12" s="1075">
        <f t="shared" si="371"/>
        <v>8375.5707999999995</v>
      </c>
      <c r="FM12" s="1075">
        <f t="shared" si="371"/>
        <v>7593.5708000000004</v>
      </c>
      <c r="FN12" s="1075">
        <f t="shared" si="371"/>
        <v>5744.5708000000004</v>
      </c>
      <c r="FO12" s="1075">
        <f t="shared" si="371"/>
        <v>4695.5708000000004</v>
      </c>
      <c r="FP12" s="1075">
        <f t="shared" si="371"/>
        <v>3968.5708</v>
      </c>
      <c r="FQ12" s="1075">
        <f t="shared" si="371"/>
        <v>2006.5708</v>
      </c>
      <c r="FR12" s="1075">
        <f t="shared" si="371"/>
        <v>6096.5708000000004</v>
      </c>
      <c r="FS12" s="1075">
        <f t="shared" si="371"/>
        <v>4763.5708000000004</v>
      </c>
      <c r="FT12" s="1075">
        <f t="shared" si="371"/>
        <v>5290.5708000000004</v>
      </c>
      <c r="FU12" s="1075">
        <f t="shared" si="371"/>
        <v>4181.5708000000004</v>
      </c>
      <c r="FV12" s="1075">
        <f t="shared" si="371"/>
        <v>4083.5708</v>
      </c>
      <c r="FW12" s="1075">
        <f t="shared" si="371"/>
        <v>5180.5708000000004</v>
      </c>
      <c r="FX12" s="1075">
        <f t="shared" si="371"/>
        <v>4715.5708000000004</v>
      </c>
      <c r="FY12" s="1075">
        <f t="shared" si="371"/>
        <v>3783.5708</v>
      </c>
      <c r="FZ12" s="1075">
        <f t="shared" si="371"/>
        <v>2933.5708</v>
      </c>
      <c r="GA12" s="1075">
        <f t="shared" si="371"/>
        <v>4657.5708000000004</v>
      </c>
      <c r="GB12" s="1075">
        <f t="shared" si="371"/>
        <v>4201.5708000000004</v>
      </c>
      <c r="GC12" s="1075">
        <f t="shared" si="371"/>
        <v>6753.5708000000004</v>
      </c>
      <c r="GD12" s="1075">
        <f t="shared" si="371"/>
        <v>5935.5708000000004</v>
      </c>
      <c r="GE12" s="1075">
        <f t="shared" si="371"/>
        <v>5839.5708000000004</v>
      </c>
      <c r="GF12" s="1075">
        <f t="shared" si="371"/>
        <v>7375.5708000000004</v>
      </c>
      <c r="GG12" s="1075">
        <f t="shared" si="371"/>
        <v>4145.5708000000004</v>
      </c>
      <c r="GH12" s="1075">
        <f t="shared" si="371"/>
        <v>3126.5708</v>
      </c>
      <c r="GI12" s="1075">
        <f t="shared" si="371"/>
        <v>4876.5708000000004</v>
      </c>
      <c r="GJ12" s="1075">
        <f t="shared" si="371"/>
        <v>6882.5708000000004</v>
      </c>
      <c r="GK12" s="1075">
        <f t="shared" si="371"/>
        <v>8878.5707999999995</v>
      </c>
      <c r="GL12" s="1075">
        <f t="shared" si="371"/>
        <v>8517.5707999999995</v>
      </c>
      <c r="GM12" s="1075">
        <f t="shared" si="371"/>
        <v>3443.5708</v>
      </c>
      <c r="GN12" s="1075">
        <f t="shared" si="371"/>
        <v>8784.5707999999995</v>
      </c>
      <c r="GO12" s="1075">
        <f t="shared" si="371"/>
        <v>6516.5708000000004</v>
      </c>
      <c r="GP12" s="1075">
        <f t="shared" si="371"/>
        <v>6359.5708000000004</v>
      </c>
      <c r="GQ12" s="1075">
        <f t="shared" si="371"/>
        <v>5379.5708000000004</v>
      </c>
      <c r="GR12" s="1075">
        <f t="shared" si="371"/>
        <v>6505.5708000000004</v>
      </c>
      <c r="GS12" s="1075">
        <f t="shared" si="371"/>
        <v>4899.5708000000004</v>
      </c>
      <c r="GT12" s="1075">
        <f t="shared" si="371"/>
        <v>6928.5708000000004</v>
      </c>
      <c r="GU12" s="1075">
        <f t="shared" si="371"/>
        <v>6898.5708000000004</v>
      </c>
      <c r="GV12" s="1075">
        <f t="shared" si="371"/>
        <v>4672.5708000000004</v>
      </c>
      <c r="GW12" s="1075">
        <f t="shared" si="371"/>
        <v>4493.5708000000004</v>
      </c>
      <c r="GX12" s="1075">
        <f t="shared" si="371"/>
        <v>4601.5708000000004</v>
      </c>
      <c r="GY12" s="1075">
        <f t="shared" ref="GY12:JJ12" si="372">GY11-$O$2</f>
        <v>3650.5708</v>
      </c>
      <c r="GZ12" s="1075">
        <f t="shared" si="372"/>
        <v>6338.5708000000004</v>
      </c>
      <c r="HA12" s="1075">
        <f t="shared" si="372"/>
        <v>4942.5708000000004</v>
      </c>
      <c r="HB12" s="1075">
        <f t="shared" si="372"/>
        <v>3472.5708</v>
      </c>
      <c r="HC12" s="1075">
        <f t="shared" si="372"/>
        <v>4856.5708000000004</v>
      </c>
      <c r="HD12" s="1075">
        <f t="shared" si="372"/>
        <v>4331.5708000000004</v>
      </c>
      <c r="HE12" s="1075">
        <f t="shared" si="372"/>
        <v>7999.5708000000004</v>
      </c>
      <c r="HF12" s="1075">
        <f t="shared" si="372"/>
        <v>6344.5708000000004</v>
      </c>
      <c r="HG12" s="1075">
        <f t="shared" si="372"/>
        <v>7081.5708000000004</v>
      </c>
      <c r="HH12" s="1075">
        <f t="shared" si="372"/>
        <v>5549.5708000000004</v>
      </c>
      <c r="HI12" s="1075">
        <f t="shared" si="372"/>
        <v>5872.5708000000004</v>
      </c>
      <c r="HJ12" s="1075">
        <f t="shared" si="372"/>
        <v>3150.5708</v>
      </c>
      <c r="HK12" s="1075">
        <f t="shared" si="372"/>
        <v>5924.5708000000004</v>
      </c>
      <c r="HL12" s="1075">
        <f t="shared" si="372"/>
        <v>4279.5708000000004</v>
      </c>
      <c r="HM12" s="1075">
        <f t="shared" si="372"/>
        <v>5324.5708000000004</v>
      </c>
      <c r="HN12" s="1075">
        <f t="shared" si="372"/>
        <v>4740.5708000000004</v>
      </c>
      <c r="HO12" s="1075">
        <f t="shared" si="372"/>
        <v>4613.5708000000004</v>
      </c>
      <c r="HP12" s="1075">
        <f t="shared" si="372"/>
        <v>5107.5708000000004</v>
      </c>
      <c r="HQ12" s="1075">
        <f t="shared" si="372"/>
        <v>4939.5708000000004</v>
      </c>
      <c r="HR12" s="1075">
        <f t="shared" si="372"/>
        <v>5539.5708000000004</v>
      </c>
      <c r="HS12" s="1075">
        <f t="shared" si="372"/>
        <v>5816.5708000000004</v>
      </c>
      <c r="HT12" s="1075">
        <f t="shared" si="372"/>
        <v>6227.5708000000004</v>
      </c>
      <c r="HU12" s="1075">
        <f t="shared" si="372"/>
        <v>5799.5708000000004</v>
      </c>
      <c r="HV12" s="1075">
        <f t="shared" si="372"/>
        <v>5774.5708000000004</v>
      </c>
      <c r="HW12" s="1075">
        <f t="shared" si="372"/>
        <v>3430.5708</v>
      </c>
      <c r="HX12" s="1075">
        <f t="shared" si="372"/>
        <v>5581.5708000000004</v>
      </c>
      <c r="HY12" s="1075">
        <f t="shared" si="372"/>
        <v>4976.5708000000004</v>
      </c>
      <c r="HZ12" s="1075">
        <f t="shared" si="372"/>
        <v>4936.5708000000004</v>
      </c>
      <c r="IA12" s="1075">
        <f t="shared" si="372"/>
        <v>5074.5708000000004</v>
      </c>
      <c r="IB12" s="1075">
        <f t="shared" si="372"/>
        <v>5022.5708000000004</v>
      </c>
      <c r="IC12" s="1075">
        <f t="shared" si="372"/>
        <v>4588.5708000000004</v>
      </c>
      <c r="ID12" s="1075">
        <f t="shared" si="372"/>
        <v>6639.5708000000004</v>
      </c>
      <c r="IE12" s="1075">
        <f t="shared" si="372"/>
        <v>5856.5708000000004</v>
      </c>
      <c r="IF12" s="1075">
        <f t="shared" si="372"/>
        <v>4741.5708000000004</v>
      </c>
      <c r="IG12" s="1075">
        <f t="shared" si="372"/>
        <v>6570.5708000000004</v>
      </c>
      <c r="IH12" s="1075">
        <f t="shared" si="372"/>
        <v>3374.5708</v>
      </c>
      <c r="II12" s="1075">
        <f t="shared" si="372"/>
        <v>4424.5708000000004</v>
      </c>
      <c r="IJ12" s="1075">
        <f t="shared" si="372"/>
        <v>1610.5708</v>
      </c>
      <c r="IK12" s="1075">
        <f t="shared" si="372"/>
        <v>4396.5708000000004</v>
      </c>
      <c r="IL12" s="1075">
        <f t="shared" si="372"/>
        <v>4840.5708000000004</v>
      </c>
      <c r="IM12" s="1075">
        <f t="shared" si="372"/>
        <v>4200.5708000000004</v>
      </c>
      <c r="IN12" s="1075">
        <f t="shared" si="372"/>
        <v>5089.5708000000004</v>
      </c>
      <c r="IO12" s="1075">
        <f t="shared" si="372"/>
        <v>5495.5708000000004</v>
      </c>
      <c r="IP12" s="1075">
        <f t="shared" si="372"/>
        <v>4285.5708000000004</v>
      </c>
      <c r="IQ12" s="1075">
        <f t="shared" si="372"/>
        <v>5215.5708000000004</v>
      </c>
      <c r="IR12" s="1075">
        <f t="shared" si="372"/>
        <v>6305.5708000000004</v>
      </c>
      <c r="IS12" s="1075">
        <f t="shared" si="372"/>
        <v>5241.5708000000004</v>
      </c>
      <c r="IT12" s="1075">
        <f t="shared" si="372"/>
        <v>5615.5708000000004</v>
      </c>
      <c r="IU12" s="1075">
        <f t="shared" si="372"/>
        <v>7798.5708000000004</v>
      </c>
      <c r="IV12" s="1075">
        <f t="shared" si="372"/>
        <v>6711.5708000000004</v>
      </c>
      <c r="IW12" s="1075">
        <f t="shared" si="372"/>
        <v>7839.5708000000004</v>
      </c>
      <c r="IX12" s="1075">
        <f t="shared" si="372"/>
        <v>5621.5708000000004</v>
      </c>
      <c r="IY12" s="1075">
        <f t="shared" si="372"/>
        <v>6084.5708000000004</v>
      </c>
      <c r="IZ12" s="1075">
        <f t="shared" si="372"/>
        <v>5907.5708000000004</v>
      </c>
      <c r="JA12" s="1075">
        <f t="shared" si="372"/>
        <v>3916.5708</v>
      </c>
      <c r="JB12" s="1075">
        <f t="shared" si="372"/>
        <v>5270.5708000000004</v>
      </c>
      <c r="JC12" s="1075">
        <f t="shared" si="372"/>
        <v>7960.5708000000004</v>
      </c>
      <c r="JD12" s="1075">
        <f t="shared" si="372"/>
        <v>6671.5708000000004</v>
      </c>
      <c r="JE12" s="1075">
        <f t="shared" si="372"/>
        <v>8445.5707999999995</v>
      </c>
      <c r="JF12" s="1075">
        <f t="shared" si="372"/>
        <v>7044.5708000000004</v>
      </c>
      <c r="JG12" s="1075">
        <f t="shared" si="372"/>
        <v>8020.5708000000004</v>
      </c>
      <c r="JH12" s="1075">
        <f t="shared" si="372"/>
        <v>8039.5708000000004</v>
      </c>
      <c r="JI12" s="1075">
        <f t="shared" si="372"/>
        <v>6126.5708000000004</v>
      </c>
      <c r="JJ12" s="1075">
        <f t="shared" si="372"/>
        <v>6815.5708000000004</v>
      </c>
      <c r="JK12" s="1075">
        <f t="shared" ref="JK12:LV12" si="373">JK11-$O$2</f>
        <v>6838.5708000000004</v>
      </c>
      <c r="JL12" s="1075">
        <f t="shared" si="373"/>
        <v>5894.5708000000004</v>
      </c>
      <c r="JM12" s="1075">
        <f t="shared" si="373"/>
        <v>2133.5708</v>
      </c>
      <c r="JN12" s="1075">
        <f t="shared" si="373"/>
        <v>4182.5708000000004</v>
      </c>
      <c r="JO12" s="1075">
        <f t="shared" si="373"/>
        <v>5297.5708000000004</v>
      </c>
      <c r="JP12" s="1075">
        <f t="shared" si="373"/>
        <v>8289.5707999999995</v>
      </c>
      <c r="JQ12" s="1075">
        <f t="shared" si="373"/>
        <v>7139.5708000000004</v>
      </c>
      <c r="JR12" s="1075">
        <f t="shared" si="373"/>
        <v>7509.5708000000004</v>
      </c>
      <c r="JS12" s="1075">
        <f t="shared" si="373"/>
        <v>8131.5708000000004</v>
      </c>
      <c r="JT12" s="1075">
        <f t="shared" si="373"/>
        <v>7868.5708000000004</v>
      </c>
      <c r="JU12" s="1075">
        <f t="shared" si="373"/>
        <v>6478.5708000000004</v>
      </c>
      <c r="JV12" s="1075">
        <f t="shared" si="373"/>
        <v>3756.5708</v>
      </c>
      <c r="JW12" s="1075">
        <f t="shared" si="373"/>
        <v>7294.5708000000004</v>
      </c>
      <c r="JX12" s="1075">
        <f t="shared" si="373"/>
        <v>5816.5708000000004</v>
      </c>
      <c r="JY12" s="1075">
        <f t="shared" si="373"/>
        <v>5887.5708000000004</v>
      </c>
      <c r="JZ12" s="1075">
        <f t="shared" si="373"/>
        <v>5926.5708000000004</v>
      </c>
      <c r="KA12" s="1075">
        <f t="shared" si="373"/>
        <v>7434.5708000000004</v>
      </c>
      <c r="KB12" s="1075">
        <f t="shared" si="373"/>
        <v>7032.5708000000004</v>
      </c>
      <c r="KC12" s="1075">
        <f t="shared" si="373"/>
        <v>7656.5708000000004</v>
      </c>
      <c r="KD12" s="1075">
        <f t="shared" si="373"/>
        <v>6800.5708000000004</v>
      </c>
      <c r="KE12" s="1075">
        <f t="shared" si="373"/>
        <v>8079.5708000000004</v>
      </c>
      <c r="KF12" s="1075">
        <f t="shared" si="373"/>
        <v>8709.5707999999995</v>
      </c>
      <c r="KG12" s="1075">
        <f t="shared" si="373"/>
        <v>7618.5708000000004</v>
      </c>
      <c r="KH12" s="1075">
        <f t="shared" si="373"/>
        <v>8004.5708000000004</v>
      </c>
      <c r="KI12" s="1075">
        <f t="shared" si="373"/>
        <v>5812.5708000000004</v>
      </c>
      <c r="KJ12" s="1075">
        <f t="shared" si="373"/>
        <v>6980.5708000000004</v>
      </c>
      <c r="KK12" s="1075">
        <f t="shared" si="373"/>
        <v>8021.5708000000004</v>
      </c>
      <c r="KL12" s="1075">
        <f t="shared" si="373"/>
        <v>8853.5707999999995</v>
      </c>
      <c r="KM12" s="1075">
        <f t="shared" si="373"/>
        <v>7805.5708000000004</v>
      </c>
      <c r="KN12" s="1075">
        <f t="shared" si="373"/>
        <v>7567.5708000000004</v>
      </c>
      <c r="KO12" s="1075">
        <f t="shared" si="373"/>
        <v>8232.5707999999995</v>
      </c>
      <c r="KP12" s="1075">
        <f t="shared" si="373"/>
        <v>8499.5707999999995</v>
      </c>
      <c r="KQ12" s="1075">
        <f t="shared" si="373"/>
        <v>8457.5707999999995</v>
      </c>
      <c r="KR12" s="1075">
        <f t="shared" si="373"/>
        <v>9627.5707999999995</v>
      </c>
      <c r="KS12" s="1075">
        <f t="shared" si="373"/>
        <v>8854.5707999999995</v>
      </c>
      <c r="KT12" s="1075">
        <f t="shared" si="373"/>
        <v>7331.5708000000004</v>
      </c>
      <c r="KU12" s="1075">
        <f t="shared" si="373"/>
        <v>6985.5708000000004</v>
      </c>
      <c r="KV12" s="1075">
        <f t="shared" si="373"/>
        <v>3496.5708</v>
      </c>
      <c r="KW12" s="1075">
        <f t="shared" si="373"/>
        <v>5824.5708000000004</v>
      </c>
      <c r="KX12" s="1075">
        <f t="shared" si="373"/>
        <v>4197.5708000000004</v>
      </c>
      <c r="KY12" s="1075">
        <f t="shared" si="373"/>
        <v>3757.5708</v>
      </c>
      <c r="KZ12" s="1075">
        <f t="shared" si="373"/>
        <v>3380.5708</v>
      </c>
      <c r="LA12" s="1075">
        <f t="shared" si="373"/>
        <v>5207.5708000000004</v>
      </c>
      <c r="LB12" s="1075">
        <f t="shared" si="373"/>
        <v>4224.5708000000004</v>
      </c>
      <c r="LC12" s="1075">
        <f t="shared" si="373"/>
        <v>7251.5708000000004</v>
      </c>
      <c r="LD12" s="1075">
        <f t="shared" si="373"/>
        <v>7310.5708000000004</v>
      </c>
      <c r="LE12" s="1075">
        <f t="shared" si="373"/>
        <v>8576.5707999999995</v>
      </c>
      <c r="LF12" s="1075">
        <f t="shared" si="373"/>
        <v>7279.5708000000004</v>
      </c>
      <c r="LG12" s="1075">
        <f t="shared" si="373"/>
        <v>5057.5708000000004</v>
      </c>
      <c r="LH12" s="1075">
        <f t="shared" si="373"/>
        <v>7875.5708000000004</v>
      </c>
      <c r="LI12" s="1075">
        <f t="shared" si="373"/>
        <v>8015.5708000000004</v>
      </c>
      <c r="LJ12" s="1075">
        <f t="shared" si="373"/>
        <v>4769.5708000000004</v>
      </c>
      <c r="LK12" s="1075">
        <f t="shared" si="373"/>
        <v>7676.5708000000004</v>
      </c>
      <c r="LL12" s="1075">
        <f t="shared" si="373"/>
        <v>5303.5708000000004</v>
      </c>
      <c r="LM12" s="1075">
        <f t="shared" si="373"/>
        <v>1615.5708</v>
      </c>
      <c r="LN12" s="1075">
        <f t="shared" si="373"/>
        <v>9407.5707999999995</v>
      </c>
      <c r="LO12" s="1075">
        <f t="shared" si="373"/>
        <v>5003.5708000000004</v>
      </c>
      <c r="LP12" s="1075">
        <f t="shared" si="373"/>
        <v>6059.5708000000004</v>
      </c>
      <c r="LQ12" s="1075">
        <f t="shared" si="373"/>
        <v>6606.5708000000004</v>
      </c>
      <c r="LR12" s="1075">
        <f t="shared" si="373"/>
        <v>5061.5708000000004</v>
      </c>
      <c r="LS12" s="1075">
        <f t="shared" si="373"/>
        <v>6148.5708000000004</v>
      </c>
      <c r="LT12" s="1075">
        <f t="shared" si="373"/>
        <v>5512.5708000000004</v>
      </c>
      <c r="LU12" s="1075">
        <f t="shared" si="373"/>
        <v>4928.5708000000004</v>
      </c>
      <c r="LV12" s="1075">
        <f t="shared" si="373"/>
        <v>5635.5708000000004</v>
      </c>
      <c r="LW12" s="1075">
        <f t="shared" ref="LW12:MA12" si="374">LW11-$O$2</f>
        <v>5799.5708000000004</v>
      </c>
      <c r="LX12" s="1075">
        <f t="shared" si="374"/>
        <v>6353.5708000000004</v>
      </c>
      <c r="LY12" s="1075">
        <f t="shared" si="374"/>
        <v>6865.5708000000004</v>
      </c>
      <c r="LZ12" s="1075">
        <f t="shared" si="374"/>
        <v>7822.5708000000004</v>
      </c>
      <c r="MA12" s="1075">
        <f t="shared" si="374"/>
        <v>5190.5708000000004</v>
      </c>
      <c r="MB12" s="1075">
        <f t="shared" ref="MB12:NF12" si="375">MB11-$MB$2</f>
        <v>8001.77</v>
      </c>
      <c r="MC12" s="1075">
        <f t="shared" si="375"/>
        <v>7486.77</v>
      </c>
      <c r="MD12" s="1075">
        <f t="shared" si="375"/>
        <v>8113.77</v>
      </c>
      <c r="ME12" s="1075">
        <f t="shared" si="375"/>
        <v>8096.77</v>
      </c>
      <c r="MF12" s="1075">
        <f t="shared" si="375"/>
        <v>7376.77</v>
      </c>
      <c r="MG12" s="1075">
        <f t="shared" si="375"/>
        <v>6820.77</v>
      </c>
      <c r="MH12" s="1075">
        <f t="shared" si="375"/>
        <v>4823.7700000000004</v>
      </c>
      <c r="MI12" s="1075">
        <f t="shared" si="375"/>
        <v>7340.77</v>
      </c>
      <c r="MJ12" s="1075">
        <f t="shared" si="375"/>
        <v>4532.7700000000004</v>
      </c>
      <c r="MK12" s="1075">
        <f t="shared" si="375"/>
        <v>7866.77</v>
      </c>
      <c r="ML12" s="1075">
        <f t="shared" si="375"/>
        <v>8043.77</v>
      </c>
      <c r="MM12" s="1075">
        <f t="shared" si="375"/>
        <v>7114.77</v>
      </c>
      <c r="MN12" s="1075">
        <f t="shared" si="375"/>
        <v>7144.77</v>
      </c>
      <c r="MO12" s="1075">
        <f t="shared" si="375"/>
        <v>8540.77</v>
      </c>
      <c r="MP12" s="1075">
        <f t="shared" si="375"/>
        <v>5823.77</v>
      </c>
      <c r="MQ12" s="1075">
        <f t="shared" si="375"/>
        <v>5617.77</v>
      </c>
      <c r="MR12" s="1075">
        <f t="shared" si="375"/>
        <v>8945.77</v>
      </c>
      <c r="MS12" s="1075">
        <f t="shared" si="375"/>
        <v>7692.77</v>
      </c>
      <c r="MT12" s="1075">
        <f t="shared" si="375"/>
        <v>7880.77</v>
      </c>
      <c r="MU12" s="1075">
        <f t="shared" si="375"/>
        <v>7647.77</v>
      </c>
      <c r="MV12" s="1075">
        <f t="shared" si="375"/>
        <v>8411.77</v>
      </c>
      <c r="MW12" s="1075">
        <f t="shared" si="375"/>
        <v>7599.77</v>
      </c>
      <c r="MX12" s="1075">
        <f t="shared" si="375"/>
        <v>6416.77</v>
      </c>
      <c r="MY12" s="1075">
        <f t="shared" si="375"/>
        <v>5733.77</v>
      </c>
      <c r="MZ12" s="1075">
        <f t="shared" si="375"/>
        <v>8435.77</v>
      </c>
      <c r="NA12" s="1075">
        <f t="shared" si="375"/>
        <v>7055.77</v>
      </c>
      <c r="NB12" s="1075">
        <f t="shared" si="375"/>
        <v>6745.77</v>
      </c>
      <c r="NC12" s="1075">
        <f t="shared" si="375"/>
        <v>7445.77</v>
      </c>
      <c r="ND12" s="1075">
        <f t="shared" si="375"/>
        <v>8069.77</v>
      </c>
      <c r="NE12" s="1075">
        <f t="shared" si="375"/>
        <v>6508.77</v>
      </c>
      <c r="NF12" s="1075">
        <f t="shared" si="375"/>
        <v>7718.77</v>
      </c>
      <c r="NG12" s="1075">
        <f t="shared" ref="NG12:OI12" si="376">NG11-$NG$2</f>
        <v>6380.9840000000004</v>
      </c>
      <c r="NH12" s="1075">
        <f t="shared" si="376"/>
        <v>6972.9840000000004</v>
      </c>
      <c r="NI12" s="1075">
        <f t="shared" si="376"/>
        <v>7069.9840000000004</v>
      </c>
      <c r="NJ12" s="1075">
        <f t="shared" si="376"/>
        <v>4517.9840000000004</v>
      </c>
      <c r="NK12" s="1075">
        <f t="shared" si="376"/>
        <v>6474.9840000000004</v>
      </c>
      <c r="NL12" s="1075">
        <f t="shared" si="376"/>
        <v>7858.9840000000004</v>
      </c>
      <c r="NM12" s="1075">
        <f t="shared" si="376"/>
        <v>7101.9840000000004</v>
      </c>
      <c r="NN12" s="1075">
        <f t="shared" si="376"/>
        <v>6664.9840000000004</v>
      </c>
      <c r="NO12" s="1075">
        <f t="shared" si="376"/>
        <v>6576.9840000000004</v>
      </c>
      <c r="NP12" s="1075">
        <f t="shared" si="376"/>
        <v>6759.9840000000004</v>
      </c>
      <c r="NQ12" s="1075">
        <f t="shared" si="376"/>
        <v>6727.9840000000004</v>
      </c>
      <c r="NR12" s="1075">
        <f t="shared" si="376"/>
        <v>5793.9840000000004</v>
      </c>
      <c r="NS12" s="1075">
        <f t="shared" si="376"/>
        <v>4665.9840000000004</v>
      </c>
      <c r="NT12" s="1075">
        <f t="shared" si="376"/>
        <v>6768.9840000000004</v>
      </c>
      <c r="NU12" s="1075">
        <f t="shared" si="376"/>
        <v>7390.9840000000004</v>
      </c>
      <c r="NV12" s="1075">
        <f t="shared" si="376"/>
        <v>7582.9840000000004</v>
      </c>
      <c r="NW12" s="1075">
        <f t="shared" si="376"/>
        <v>6487.9840000000004</v>
      </c>
      <c r="NX12" s="1075">
        <f t="shared" si="376"/>
        <v>7073.9840000000004</v>
      </c>
      <c r="NY12" s="1075">
        <f t="shared" si="376"/>
        <v>6378.9840000000004</v>
      </c>
      <c r="NZ12" s="1075">
        <f t="shared" si="376"/>
        <v>6358.9840000000004</v>
      </c>
      <c r="OA12" s="1075">
        <f t="shared" si="376"/>
        <v>5548.9840000000004</v>
      </c>
      <c r="OB12" s="1075">
        <f t="shared" si="376"/>
        <v>5945.9840000000004</v>
      </c>
      <c r="OC12" s="1075">
        <f t="shared" si="376"/>
        <v>6816.9840000000004</v>
      </c>
      <c r="OD12" s="1075">
        <f t="shared" si="376"/>
        <v>7470.9840000000004</v>
      </c>
      <c r="OE12" s="1075">
        <f t="shared" si="376"/>
        <v>7692.9840000000004</v>
      </c>
      <c r="OF12" s="1075">
        <f t="shared" si="376"/>
        <v>8349.9840000000004</v>
      </c>
      <c r="OG12" s="1075">
        <f t="shared" si="376"/>
        <v>6760.9840000000004</v>
      </c>
      <c r="OH12" s="1075">
        <f t="shared" si="376"/>
        <v>7302.9840000000004</v>
      </c>
      <c r="OI12" s="1075">
        <f t="shared" si="376"/>
        <v>7247.9840000000004</v>
      </c>
      <c r="OJ12" s="1075">
        <f t="shared" ref="OJ12:PN12" si="377">OJ11-$OJ$1</f>
        <v>6812</v>
      </c>
      <c r="OK12" s="1075">
        <f t="shared" si="377"/>
        <v>6568</v>
      </c>
      <c r="OL12" s="1075">
        <f t="shared" si="377"/>
        <v>2660</v>
      </c>
      <c r="OM12" s="1075">
        <f t="shared" si="377"/>
        <v>5859</v>
      </c>
      <c r="ON12" s="1075">
        <f t="shared" si="377"/>
        <v>6884</v>
      </c>
      <c r="OO12" s="1075">
        <f t="shared" si="377"/>
        <v>4914</v>
      </c>
      <c r="OP12" s="1075">
        <f t="shared" si="377"/>
        <v>5236</v>
      </c>
      <c r="OQ12" s="1075">
        <f t="shared" si="377"/>
        <v>5734</v>
      </c>
      <c r="OR12" s="1075">
        <f t="shared" si="377"/>
        <v>5512</v>
      </c>
      <c r="OS12" s="1075">
        <f t="shared" si="377"/>
        <v>5006</v>
      </c>
      <c r="OT12" s="1075">
        <f t="shared" si="377"/>
        <v>6043</v>
      </c>
      <c r="OU12" s="1075">
        <f t="shared" si="377"/>
        <v>4872</v>
      </c>
      <c r="OV12" s="1075">
        <f t="shared" si="377"/>
        <v>5436</v>
      </c>
      <c r="OW12" s="1075">
        <f t="shared" si="377"/>
        <v>6827</v>
      </c>
      <c r="OX12" s="1075">
        <f t="shared" si="377"/>
        <v>6483</v>
      </c>
      <c r="OY12" s="1075">
        <f t="shared" si="377"/>
        <v>6462</v>
      </c>
      <c r="OZ12" s="1075">
        <f t="shared" si="377"/>
        <v>7332</v>
      </c>
      <c r="PA12" s="1075">
        <f t="shared" si="377"/>
        <v>6701</v>
      </c>
      <c r="PB12" s="1075">
        <f t="shared" si="377"/>
        <v>6252</v>
      </c>
      <c r="PC12" s="1075">
        <f t="shared" si="377"/>
        <v>7000</v>
      </c>
      <c r="PD12" s="1075">
        <f t="shared" si="377"/>
        <v>6877</v>
      </c>
      <c r="PE12" s="1075">
        <f t="shared" si="377"/>
        <v>6485</v>
      </c>
      <c r="PF12" s="1075">
        <f t="shared" si="377"/>
        <v>7707</v>
      </c>
      <c r="PG12" s="1075">
        <f t="shared" si="377"/>
        <v>7011</v>
      </c>
      <c r="PH12" s="1075">
        <f t="shared" si="377"/>
        <v>7268</v>
      </c>
      <c r="PI12" s="1075">
        <f t="shared" si="377"/>
        <v>7572</v>
      </c>
      <c r="PJ12" s="1075">
        <f t="shared" si="377"/>
        <v>6294</v>
      </c>
      <c r="PK12" s="1075">
        <f t="shared" si="377"/>
        <v>5923</v>
      </c>
      <c r="PL12" s="1075">
        <f t="shared" si="377"/>
        <v>6346</v>
      </c>
      <c r="PM12" s="1075">
        <f t="shared" si="377"/>
        <v>7668</v>
      </c>
      <c r="PN12" s="1075">
        <f t="shared" si="377"/>
        <v>7027</v>
      </c>
      <c r="PO12" s="1075">
        <f t="shared" ref="PO12:QR12" si="378">PO11-$PO$1</f>
        <v>7277</v>
      </c>
      <c r="PP12" s="1075">
        <f t="shared" si="378"/>
        <v>6695</v>
      </c>
      <c r="PQ12" s="1075">
        <f t="shared" si="378"/>
        <v>7943</v>
      </c>
      <c r="PR12" s="1075">
        <f t="shared" si="378"/>
        <v>7499</v>
      </c>
      <c r="PS12" s="1075">
        <f t="shared" si="378"/>
        <v>7827</v>
      </c>
      <c r="PT12" s="1075">
        <f t="shared" si="378"/>
        <v>7888</v>
      </c>
      <c r="PU12" s="1075">
        <f t="shared" si="378"/>
        <v>7520</v>
      </c>
      <c r="PV12" s="1075">
        <f t="shared" si="378"/>
        <v>7931</v>
      </c>
      <c r="PW12" s="1075">
        <f t="shared" si="378"/>
        <v>7893</v>
      </c>
      <c r="PX12" s="1112">
        <f t="shared" si="378"/>
        <v>7961</v>
      </c>
      <c r="PY12" s="1075">
        <f t="shared" si="378"/>
        <v>7799</v>
      </c>
      <c r="PZ12" s="1075">
        <f t="shared" si="378"/>
        <v>8173</v>
      </c>
      <c r="QA12" s="1075">
        <f t="shared" si="378"/>
        <v>8404</v>
      </c>
      <c r="QB12" s="1075">
        <f t="shared" si="378"/>
        <v>8168</v>
      </c>
      <c r="QC12" s="1075">
        <f t="shared" si="378"/>
        <v>7345</v>
      </c>
      <c r="QD12" s="1075">
        <f t="shared" si="378"/>
        <v>7145</v>
      </c>
      <c r="QE12" s="1075">
        <f t="shared" si="378"/>
        <v>7461</v>
      </c>
      <c r="QF12" s="1075">
        <f t="shared" si="378"/>
        <v>6334</v>
      </c>
      <c r="QG12" s="1075">
        <f t="shared" si="378"/>
        <v>7619</v>
      </c>
      <c r="QH12" s="1075">
        <f t="shared" si="378"/>
        <v>7093</v>
      </c>
      <c r="QI12" s="1075">
        <f t="shared" si="378"/>
        <v>5499</v>
      </c>
      <c r="QJ12" s="1075">
        <f t="shared" si="378"/>
        <v>7108</v>
      </c>
      <c r="QK12" s="1075">
        <f t="shared" si="378"/>
        <v>6435</v>
      </c>
      <c r="QL12" s="1075">
        <f t="shared" si="378"/>
        <v>7818</v>
      </c>
      <c r="QM12" s="1075">
        <f t="shared" si="378"/>
        <v>8190</v>
      </c>
      <c r="QN12" s="1075">
        <f t="shared" si="378"/>
        <v>6939</v>
      </c>
      <c r="QO12" s="1075">
        <f t="shared" si="378"/>
        <v>6584</v>
      </c>
      <c r="QP12" s="1075">
        <f t="shared" si="378"/>
        <v>7916</v>
      </c>
      <c r="QQ12" s="1075">
        <f t="shared" si="378"/>
        <v>7051</v>
      </c>
      <c r="QR12" s="1075">
        <f t="shared" si="378"/>
        <v>7098</v>
      </c>
      <c r="QS12" s="1075">
        <f t="shared" ref="QS12:RJ12" si="379">QS11-$QS$2</f>
        <v>7034</v>
      </c>
      <c r="QT12" s="1075">
        <f t="shared" si="379"/>
        <v>6538</v>
      </c>
      <c r="QU12" s="1075">
        <f t="shared" si="379"/>
        <v>5956</v>
      </c>
      <c r="QV12" s="1075">
        <f t="shared" si="379"/>
        <v>5585</v>
      </c>
      <c r="QW12" s="1075">
        <f t="shared" si="379"/>
        <v>6947</v>
      </c>
      <c r="QX12" s="1075">
        <f t="shared" si="379"/>
        <v>6816</v>
      </c>
      <c r="QY12" s="1075">
        <f t="shared" si="379"/>
        <v>6325</v>
      </c>
      <c r="QZ12" s="1075">
        <f t="shared" si="379"/>
        <v>4894</v>
      </c>
      <c r="RA12" s="1075">
        <f t="shared" si="379"/>
        <v>5932</v>
      </c>
      <c r="RB12" s="1075">
        <f t="shared" si="379"/>
        <v>7439</v>
      </c>
      <c r="RC12" s="1075">
        <f t="shared" si="379"/>
        <v>6854</v>
      </c>
      <c r="RD12" s="1075">
        <f t="shared" si="379"/>
        <v>7226</v>
      </c>
      <c r="RE12" s="1075">
        <f t="shared" si="379"/>
        <v>5813</v>
      </c>
      <c r="RF12" s="1075">
        <f t="shared" si="379"/>
        <v>8171</v>
      </c>
      <c r="RG12" s="1075">
        <f t="shared" si="379"/>
        <v>7133</v>
      </c>
      <c r="RH12" s="1075">
        <f t="shared" si="379"/>
        <v>7236</v>
      </c>
      <c r="RI12" s="1075">
        <f t="shared" si="379"/>
        <v>5420</v>
      </c>
      <c r="RJ12" s="1075">
        <f t="shared" si="379"/>
        <v>5901</v>
      </c>
      <c r="RK12" s="1113"/>
      <c r="RL12" s="1113"/>
      <c r="RM12" s="1113"/>
      <c r="RN12" s="1113"/>
      <c r="RO12" s="1113"/>
      <c r="RP12" s="1113"/>
      <c r="RQ12" s="1113"/>
      <c r="RR12" s="1113"/>
      <c r="RS12" s="1113"/>
      <c r="RT12" s="1113"/>
      <c r="RU12" s="1113"/>
      <c r="RV12" s="1113"/>
      <c r="RW12" s="1113"/>
      <c r="RX12" s="1113"/>
      <c r="RY12" s="1113"/>
      <c r="RZ12" s="1113"/>
      <c r="SA12" s="1113"/>
      <c r="SB12" s="1113"/>
      <c r="SC12" s="1113"/>
      <c r="SD12" s="1113"/>
      <c r="SE12" s="1113"/>
      <c r="SF12" s="1113"/>
      <c r="SG12" s="1113"/>
      <c r="SH12" s="1113"/>
      <c r="SI12" s="1113"/>
      <c r="SJ12" s="1113"/>
      <c r="SK12" s="1113"/>
      <c r="SL12" s="1113"/>
      <c r="SM12" s="1113"/>
      <c r="SN12" s="1113"/>
      <c r="SO12" s="1113"/>
      <c r="SP12" s="1113"/>
      <c r="SQ12" s="1113"/>
      <c r="SR12" s="1113"/>
      <c r="SS12" s="1113"/>
      <c r="ST12" s="1113"/>
      <c r="SU12" s="1113"/>
      <c r="SV12" s="1113"/>
      <c r="SW12" s="1113"/>
      <c r="SX12" s="1113"/>
      <c r="SY12" s="1113"/>
      <c r="SZ12" s="1113"/>
      <c r="TA12" s="1113"/>
      <c r="TB12" s="1113"/>
      <c r="TC12" s="1113"/>
      <c r="TD12" s="1113"/>
      <c r="TE12" s="1113"/>
      <c r="TF12" s="1113"/>
      <c r="TG12" s="1113"/>
      <c r="TH12" s="1113"/>
      <c r="TI12" s="1113"/>
      <c r="TJ12" s="1113"/>
      <c r="TK12" s="1113"/>
      <c r="TL12" s="1113"/>
      <c r="TM12" s="1113"/>
      <c r="TN12" s="1113"/>
      <c r="TO12" s="1113"/>
      <c r="TP12" s="1113"/>
      <c r="TQ12" s="1113"/>
      <c r="TR12" s="1113"/>
      <c r="TS12" s="1113"/>
      <c r="TT12" s="1113"/>
      <c r="TU12" s="1113"/>
      <c r="TV12" s="1113"/>
      <c r="TW12" s="1113"/>
      <c r="TX12" s="1113"/>
      <c r="TY12" s="1113"/>
      <c r="TZ12" s="1113"/>
      <c r="UA12" s="1113"/>
      <c r="UB12" s="1113"/>
      <c r="UC12" s="1113"/>
      <c r="UD12" s="1113"/>
      <c r="UE12" s="1113"/>
      <c r="UF12" s="1113"/>
      <c r="UG12" s="1113"/>
      <c r="UH12" s="1113"/>
      <c r="UI12" s="1113"/>
      <c r="UJ12" s="1113"/>
      <c r="UK12" s="1113"/>
      <c r="UL12" s="1113"/>
      <c r="UM12" s="1113"/>
      <c r="UN12" s="1113"/>
      <c r="UO12" s="1113"/>
      <c r="UP12" s="1113"/>
      <c r="UQ12" s="1113"/>
      <c r="UR12" s="1113"/>
      <c r="US12" s="1113"/>
      <c r="UT12" s="1113"/>
      <c r="UU12" s="1113"/>
      <c r="UV12" s="1113"/>
      <c r="UW12" s="1113"/>
      <c r="UX12" s="1113"/>
      <c r="UY12" s="1113"/>
      <c r="UZ12" s="1113"/>
      <c r="VA12" s="1113"/>
      <c r="VB12" s="1113"/>
      <c r="VC12" s="1113"/>
      <c r="VD12" s="1113"/>
      <c r="VE12" s="1113"/>
      <c r="VF12" s="1113"/>
      <c r="VG12" s="1113"/>
      <c r="VH12" s="1113"/>
      <c r="VI12" s="1113"/>
      <c r="VJ12" s="1113"/>
      <c r="VK12" s="1114"/>
      <c r="VL12" s="1114"/>
      <c r="VM12" s="1114"/>
      <c r="VN12" s="1114"/>
      <c r="VO12" s="1114"/>
      <c r="VP12" s="1114"/>
      <c r="VQ12" s="1114"/>
      <c r="VR12" s="1114"/>
      <c r="VS12" s="1114"/>
      <c r="VT12" s="1114"/>
      <c r="VU12" s="1114"/>
      <c r="VV12" s="1114"/>
      <c r="VW12" s="1114"/>
      <c r="VX12" s="1114"/>
      <c r="VY12" s="1114"/>
      <c r="VZ12" s="1114"/>
      <c r="WA12" s="1114"/>
      <c r="WB12" s="1114"/>
      <c r="WC12" s="1114"/>
      <c r="WD12" s="1114"/>
      <c r="WE12" s="1114"/>
      <c r="WF12" s="1114"/>
      <c r="WG12" s="1114"/>
      <c r="WH12" s="1114"/>
      <c r="WI12" s="1114"/>
      <c r="WJ12" s="1114"/>
      <c r="WK12" s="1114"/>
      <c r="WL12" s="1114"/>
      <c r="WM12" s="1114"/>
      <c r="WN12" s="1114"/>
      <c r="WO12" s="1114"/>
      <c r="WP12" s="1114"/>
      <c r="WQ12" s="1114"/>
      <c r="WR12" s="1114"/>
      <c r="WS12" s="1114"/>
      <c r="WT12" s="1114"/>
      <c r="WU12" s="1114"/>
      <c r="WV12" s="1114"/>
      <c r="WW12" s="1114"/>
      <c r="WX12" s="1114"/>
      <c r="WY12" s="1114"/>
      <c r="WZ12" s="1114"/>
      <c r="XA12" s="1114"/>
      <c r="XB12" s="1114"/>
      <c r="XC12" s="1114"/>
      <c r="XD12" s="1114"/>
      <c r="XE12" s="1114"/>
      <c r="XF12" s="1114"/>
      <c r="XG12" s="1114"/>
      <c r="XH12" s="1114"/>
      <c r="XI12" s="1114"/>
      <c r="XJ12" s="1114"/>
      <c r="XK12" s="1114"/>
      <c r="XL12" s="1114"/>
      <c r="XM12" s="1114"/>
      <c r="XN12" s="1114"/>
      <c r="XO12" s="1114"/>
      <c r="XP12" s="1114"/>
      <c r="XQ12" s="1114"/>
      <c r="XR12" s="1114"/>
      <c r="XS12" s="1114"/>
      <c r="XT12" s="1114"/>
      <c r="XU12" s="1114"/>
      <c r="XV12" s="1114"/>
      <c r="XW12" s="1114"/>
      <c r="XX12" s="1114"/>
      <c r="XY12" s="1114"/>
      <c r="XZ12" s="1114"/>
      <c r="YA12" s="1114"/>
      <c r="YB12" s="1114"/>
      <c r="YC12" s="1114"/>
      <c r="YD12" s="1114"/>
      <c r="YE12" s="1114"/>
      <c r="YF12" s="1114"/>
      <c r="YG12" s="1114"/>
      <c r="YH12" s="1114"/>
      <c r="YI12" s="1114"/>
      <c r="YJ12" s="1114"/>
      <c r="YK12" s="1114"/>
      <c r="YL12" s="1114"/>
      <c r="YM12" s="1114"/>
      <c r="YN12" s="1114"/>
      <c r="YO12" s="1114"/>
      <c r="YP12" s="1114"/>
      <c r="YQ12" s="1114"/>
      <c r="YR12" s="1114"/>
      <c r="YS12" s="1114"/>
      <c r="YT12" s="1114"/>
      <c r="YU12" s="1114"/>
      <c r="YV12" s="1114"/>
      <c r="YW12" s="1114"/>
      <c r="YX12" s="1114"/>
      <c r="YY12" s="1114"/>
      <c r="YZ12" s="1114"/>
      <c r="ZA12" s="1114"/>
      <c r="ZB12" s="1114"/>
      <c r="ZC12" s="1114"/>
      <c r="ZD12" s="1114"/>
      <c r="ZE12" s="1114"/>
      <c r="ZF12" s="1114"/>
      <c r="ZG12" s="1114"/>
      <c r="ZH12" s="1114"/>
      <c r="ZI12" s="1114"/>
      <c r="ZJ12" s="1113"/>
      <c r="ZK12" s="1113"/>
      <c r="ZL12" s="1113"/>
      <c r="ZM12" s="1113"/>
      <c r="ZN12" s="1113"/>
      <c r="ZO12" s="1113"/>
      <c r="ZP12" s="1113"/>
      <c r="ZQ12" s="1113"/>
      <c r="ZR12" s="1113"/>
      <c r="ZS12" s="1113"/>
      <c r="ZT12" s="1113"/>
      <c r="ZU12" s="1113"/>
      <c r="ZV12" s="1113"/>
      <c r="ZW12" s="1113"/>
      <c r="ZX12" s="1113"/>
      <c r="ZY12" s="1113"/>
      <c r="ZZ12" s="1113"/>
      <c r="AAA12" s="1113"/>
      <c r="AAB12" s="1113"/>
      <c r="AAC12" s="1113"/>
      <c r="AAD12" s="1113"/>
      <c r="AAE12" s="1113"/>
      <c r="AAF12" s="1113"/>
      <c r="AAG12" s="1113"/>
      <c r="AAH12" s="1113"/>
      <c r="AAI12" s="1113"/>
      <c r="AAJ12" s="1113"/>
      <c r="AAK12" s="1113"/>
      <c r="AAL12" s="1113"/>
      <c r="AAM12" s="1113"/>
      <c r="AAN12" s="1113"/>
      <c r="AAO12" s="1113"/>
      <c r="AAP12" s="1113"/>
      <c r="AAQ12" s="1113"/>
      <c r="AAR12" s="1113"/>
      <c r="AAS12" s="1113"/>
      <c r="AAT12" s="1113"/>
      <c r="AAU12" s="1113"/>
      <c r="AAV12" s="1113"/>
      <c r="AAW12" s="1113"/>
      <c r="AAX12" s="1113"/>
      <c r="AAY12" s="1113"/>
      <c r="AAZ12" s="1113"/>
      <c r="ABA12" s="1113"/>
      <c r="ABB12" s="1113"/>
      <c r="ABC12" s="1113"/>
      <c r="ABD12" s="1113"/>
      <c r="ABE12" s="1113"/>
      <c r="ABF12" s="1113"/>
      <c r="ABG12" s="1113"/>
      <c r="ABH12" s="1113"/>
      <c r="ABI12" s="1113"/>
      <c r="ABJ12" s="1113"/>
      <c r="ABK12" s="1113"/>
      <c r="ABL12" s="1115"/>
      <c r="ABM12" s="1116"/>
      <c r="ABN12" s="1116"/>
      <c r="ABO12" s="1116"/>
      <c r="ABP12" s="1116"/>
      <c r="ABQ12" s="1116"/>
      <c r="ABR12" s="1116"/>
      <c r="ABS12" s="1117"/>
      <c r="ABT12" s="1115"/>
      <c r="ABU12" s="1116"/>
      <c r="ABV12" s="1116"/>
      <c r="ABW12" s="1116"/>
      <c r="ABX12" s="1116"/>
      <c r="ABY12" s="1116"/>
      <c r="ABZ12" s="1116"/>
      <c r="ACA12" s="1116"/>
      <c r="ACB12" s="1116"/>
      <c r="ACC12" s="1116"/>
      <c r="ACD12" s="1115"/>
      <c r="ACE12" s="1117"/>
      <c r="ACF12" s="1117"/>
      <c r="ACG12" s="1117"/>
      <c r="ACH12" s="1117"/>
      <c r="ACI12" s="1116"/>
      <c r="ACJ12" s="1085"/>
      <c r="ACK12" s="1085"/>
      <c r="ACL12" s="1085"/>
      <c r="ACM12" s="1085"/>
      <c r="ACN12" s="1085"/>
      <c r="ACO12" s="1085"/>
      <c r="ACP12" s="1085"/>
      <c r="ACQ12" s="1085"/>
      <c r="ACR12" s="1085"/>
      <c r="ACS12" s="1085"/>
      <c r="ACT12" s="1085"/>
      <c r="ACU12" s="1085"/>
      <c r="ACV12" s="1085"/>
      <c r="ACW12" s="1085"/>
      <c r="ACX12" s="1085"/>
      <c r="ACY12" s="1085"/>
      <c r="ACZ12" s="1085"/>
      <c r="ADA12" s="1085"/>
      <c r="ADB12" s="1085"/>
      <c r="ADC12" s="1085"/>
      <c r="ADD12" s="1085"/>
      <c r="ADE12" s="1085"/>
      <c r="ADF12" s="1085"/>
      <c r="ADG12" s="1085"/>
      <c r="ADH12" s="1085"/>
      <c r="ADI12" s="1085"/>
      <c r="ADJ12" s="1085"/>
      <c r="ADK12" s="1085"/>
      <c r="ADL12" s="1085"/>
      <c r="ADM12" s="1085"/>
      <c r="ADN12" s="1085"/>
      <c r="ADO12" s="1085"/>
      <c r="ADP12" s="1085"/>
      <c r="ADQ12" s="1085"/>
      <c r="ADR12" s="1085"/>
      <c r="ADS12" s="1085"/>
      <c r="ADT12" s="1085"/>
      <c r="ADU12" s="1085"/>
      <c r="ADV12" s="1085"/>
      <c r="ADW12" s="1085"/>
      <c r="ADX12" s="1085"/>
      <c r="ADY12" s="1113"/>
      <c r="ADZ12" s="1113"/>
      <c r="AEA12" s="1113"/>
      <c r="AEB12" s="1113"/>
      <c r="AEC12" s="1113"/>
      <c r="AED12" s="1113"/>
      <c r="AEE12" s="1113"/>
      <c r="AEF12" s="1113"/>
      <c r="AEG12" s="1113"/>
      <c r="AEH12" s="1113"/>
      <c r="AEI12" s="1113"/>
      <c r="AEJ12" s="1113"/>
      <c r="AEK12" s="1113"/>
      <c r="AEL12" s="1113"/>
      <c r="AEM12" s="1113"/>
      <c r="AEN12" s="1113"/>
      <c r="AEO12" s="1113"/>
      <c r="AEP12" s="1113"/>
      <c r="AEQ12" s="1113"/>
      <c r="AER12" s="1113"/>
      <c r="AES12" s="1113"/>
      <c r="AET12" s="1113"/>
      <c r="AEU12" s="1113"/>
      <c r="AEV12" s="1113"/>
      <c r="AEW12" s="1113"/>
      <c r="AEX12" s="1113"/>
      <c r="AEY12" s="1113"/>
      <c r="AEZ12" s="1113"/>
      <c r="AFA12" s="1113"/>
      <c r="AFB12" s="1113"/>
      <c r="AFC12" s="1113"/>
      <c r="AFD12" s="1113"/>
      <c r="AFE12" s="1113"/>
      <c r="AFF12" s="1113"/>
      <c r="AFG12" s="1113"/>
      <c r="AFH12" s="1113"/>
      <c r="AFI12" s="1113"/>
      <c r="AFJ12" s="1113"/>
      <c r="AFK12" s="1113"/>
      <c r="AFL12" s="1113"/>
      <c r="AFM12" s="1113"/>
      <c r="AFN12" s="1113"/>
      <c r="AFO12" s="1113"/>
      <c r="AFP12" s="1113"/>
      <c r="AFQ12" s="1113"/>
      <c r="AFR12" s="1113"/>
      <c r="AFS12" s="1116"/>
      <c r="AFT12" s="1116"/>
      <c r="AFU12" s="1116"/>
      <c r="AFV12" s="1116"/>
      <c r="AFW12" s="1116"/>
      <c r="AFX12" s="1118"/>
      <c r="AFY12" s="1118"/>
      <c r="AFZ12" s="1118"/>
      <c r="AGA12" s="1118"/>
      <c r="AGB12" s="1118"/>
      <c r="AGC12" s="1118"/>
      <c r="AGD12" s="1118"/>
      <c r="AGE12" s="1116"/>
      <c r="AGF12" s="1085"/>
      <c r="AGG12" s="1085"/>
      <c r="AGH12" s="1085"/>
      <c r="AGI12" s="1085"/>
      <c r="AGJ12" s="1085"/>
      <c r="AGK12" s="1085"/>
      <c r="AGL12" s="1085"/>
      <c r="AGM12" s="1085"/>
      <c r="AGN12" s="1085"/>
      <c r="AGO12" s="1085"/>
      <c r="AGP12" s="1085"/>
      <c r="AGQ12" s="1085"/>
      <c r="AGR12" s="1085"/>
      <c r="AGS12" s="1085"/>
      <c r="AGT12" s="1085"/>
      <c r="AGU12" s="1085"/>
      <c r="AGV12" s="1085"/>
      <c r="AGW12" s="1085"/>
      <c r="AGX12" s="1085"/>
      <c r="AGY12" s="1085"/>
      <c r="AGZ12" s="1085"/>
      <c r="AHA12" s="1085"/>
      <c r="AHB12" s="1085"/>
      <c r="AHC12" s="1085"/>
      <c r="AHD12" s="1085"/>
      <c r="AHE12" s="1085"/>
      <c r="AHF12" s="1085"/>
      <c r="AHG12" s="1085"/>
      <c r="AHH12" s="1085"/>
      <c r="AHI12" s="1085"/>
      <c r="AHJ12" s="1085"/>
      <c r="AHK12" s="1085"/>
      <c r="AHL12" s="1085"/>
      <c r="AHM12" s="1085"/>
      <c r="AHN12" s="1085"/>
      <c r="AHO12" s="1085"/>
      <c r="AHP12" s="1085"/>
      <c r="AHQ12" s="1085"/>
      <c r="AHR12" s="1085"/>
      <c r="AHS12" s="1085"/>
      <c r="AHT12" s="1085"/>
      <c r="AHU12" s="1085"/>
      <c r="AHV12" s="1085"/>
      <c r="AHW12" s="1085"/>
      <c r="AHX12" s="1085"/>
      <c r="AHY12" s="1085"/>
      <c r="AHZ12" s="1085"/>
      <c r="AIA12" s="1085"/>
      <c r="AIB12" s="1085"/>
      <c r="AIC12" s="1085"/>
      <c r="AID12" s="1085"/>
      <c r="AIE12" s="1085"/>
      <c r="AIF12" s="1085"/>
      <c r="AIG12" s="1085"/>
      <c r="AIH12" s="1085"/>
      <c r="AII12" s="1085"/>
      <c r="AIJ12" s="1085"/>
      <c r="AIK12" s="1085"/>
      <c r="AIL12" s="1085"/>
      <c r="AIM12" s="1085"/>
      <c r="AIN12" s="1085"/>
      <c r="AIO12" s="1085"/>
      <c r="AIP12" s="1085"/>
      <c r="AIQ12" s="1085"/>
      <c r="AIR12" s="1085"/>
      <c r="AIS12" s="1085"/>
      <c r="AIT12" s="1085"/>
      <c r="AIU12" s="1085"/>
      <c r="AIV12" s="1085"/>
      <c r="AIW12" s="1085"/>
      <c r="AIX12" s="1085"/>
      <c r="AIY12" s="1085"/>
      <c r="AIZ12" s="1085"/>
      <c r="AJA12" s="1085"/>
      <c r="AJB12" s="1085"/>
      <c r="AJC12" s="1085"/>
      <c r="AJD12" s="1085"/>
      <c r="AJE12" s="1085"/>
      <c r="AJF12" s="1085"/>
      <c r="AJG12" s="1085"/>
      <c r="AJH12" s="1085"/>
      <c r="AJI12" s="1085"/>
      <c r="AJJ12" s="1085"/>
      <c r="AJK12" s="1085"/>
      <c r="AJL12" s="1085"/>
      <c r="AJM12" s="1085"/>
      <c r="AJN12" s="1085"/>
      <c r="AJO12" s="1085"/>
      <c r="AJP12" s="1085"/>
      <c r="AJQ12" s="1085"/>
      <c r="AJR12" s="1085"/>
      <c r="AJS12" s="1085"/>
      <c r="AJT12" s="1085"/>
      <c r="AJU12" s="1085"/>
      <c r="AJV12" s="1085"/>
      <c r="AJW12" s="1085"/>
      <c r="AJX12" s="1085"/>
      <c r="AJY12" s="1085"/>
      <c r="AJZ12" s="1085"/>
      <c r="AKA12" s="1085"/>
      <c r="AKB12" s="1085"/>
      <c r="AKC12" s="1085"/>
      <c r="AKD12" s="1085"/>
      <c r="AKE12" s="1085"/>
      <c r="AKF12" s="1085"/>
      <c r="AKG12" s="1085"/>
      <c r="AKH12" s="1085"/>
      <c r="AKI12" s="1085"/>
      <c r="AKJ12" s="1085"/>
      <c r="AKK12" s="1085"/>
      <c r="AKL12" s="1085"/>
      <c r="AKM12" s="1085"/>
      <c r="AKN12" s="1085"/>
      <c r="AKO12" s="1085"/>
      <c r="AKP12" s="1085"/>
      <c r="AKQ12" s="1085"/>
      <c r="AKR12" s="1085"/>
      <c r="AKS12" s="1085"/>
      <c r="AKT12" s="1085"/>
      <c r="AKU12" s="1085"/>
      <c r="AKV12" s="1085"/>
      <c r="AKW12" s="1085"/>
      <c r="AKX12" s="1085"/>
      <c r="AKY12" s="1085"/>
      <c r="AKZ12" s="1085"/>
      <c r="ALA12" s="1085"/>
      <c r="ALB12" s="1085"/>
      <c r="ALC12" s="1085"/>
      <c r="ALD12" s="1085"/>
      <c r="ALE12" s="1085"/>
      <c r="ALF12" s="1085"/>
      <c r="ALG12" s="1085"/>
      <c r="ALH12" s="1085"/>
      <c r="ALI12" s="1085"/>
      <c r="ALJ12" s="1085"/>
      <c r="ALK12" s="1085"/>
      <c r="ALL12" s="1085"/>
      <c r="ALM12" s="1085"/>
      <c r="ALN12" s="1085"/>
      <c r="ALO12" s="1085"/>
      <c r="ALP12" s="1085"/>
      <c r="ALQ12" s="1085"/>
      <c r="ALR12" s="1085"/>
      <c r="ALS12" s="1085"/>
      <c r="ALT12" s="1085"/>
      <c r="ALU12" s="1085"/>
      <c r="ALV12" s="1085"/>
      <c r="ALW12" s="1085"/>
      <c r="ALX12" s="1085"/>
      <c r="ALY12" s="1085"/>
      <c r="ALZ12" s="1085"/>
      <c r="AMA12" s="1085"/>
      <c r="AMB12" s="1085"/>
      <c r="AMC12" s="1085"/>
      <c r="AMD12" s="1085"/>
      <c r="AME12" s="1085"/>
      <c r="AMF12" s="1085"/>
      <c r="AMG12" s="1085"/>
      <c r="AMH12" s="1085"/>
      <c r="AMI12" s="1085"/>
      <c r="AMJ12" s="1085"/>
      <c r="AMK12" s="1085"/>
      <c r="AML12" s="1085"/>
      <c r="AMM12" s="1085"/>
      <c r="AMN12" s="1085"/>
      <c r="AMO12" s="1085"/>
      <c r="AMP12" s="1085"/>
      <c r="AMQ12" s="1085"/>
      <c r="AMR12" s="1085"/>
      <c r="AMS12" s="1085"/>
      <c r="AMT12" s="1085"/>
      <c r="AMU12" s="1085"/>
      <c r="AMV12" s="1085"/>
      <c r="AMW12" s="1085"/>
      <c r="AMX12" s="1085"/>
      <c r="AMY12" s="1085"/>
      <c r="AMZ12" s="1085"/>
      <c r="ANA12" s="1085"/>
      <c r="ANB12" s="1085"/>
      <c r="ANC12" s="1085"/>
      <c r="AND12" s="1085"/>
      <c r="ANE12" s="1085"/>
      <c r="ANF12" s="1085"/>
      <c r="ANG12" s="1085"/>
      <c r="ANH12" s="1085"/>
      <c r="ANI12" s="1085"/>
      <c r="ANJ12" s="1085"/>
      <c r="ANK12" s="1085"/>
      <c r="ANL12" s="1085"/>
      <c r="ANM12" s="1085"/>
      <c r="ANN12" s="1085"/>
      <c r="ANO12" s="1085"/>
      <c r="ANP12" s="1085"/>
      <c r="ANQ12" s="1085"/>
      <c r="ANR12" s="1085"/>
      <c r="ANS12" s="1085"/>
      <c r="ANT12" s="1085"/>
      <c r="ANU12" s="1085"/>
      <c r="ANV12" s="1085"/>
      <c r="ANW12" s="1085"/>
      <c r="ANX12" s="1085"/>
      <c r="ANY12" s="1085"/>
      <c r="ANZ12" s="1085"/>
      <c r="AOA12" s="1085"/>
      <c r="AOB12" s="1085"/>
      <c r="AOC12" s="1085"/>
      <c r="AOD12" s="1085"/>
      <c r="AOE12" s="1085"/>
      <c r="AOF12" s="1085"/>
      <c r="AOG12" s="1085"/>
      <c r="AOH12" s="1085"/>
      <c r="AOI12" s="1085"/>
      <c r="AOJ12" s="1085"/>
      <c r="AOK12" s="1085"/>
      <c r="AOL12" s="1085"/>
      <c r="AOM12" s="1085"/>
      <c r="AON12" s="1085"/>
      <c r="AOO12" s="1085"/>
      <c r="AOP12" s="1085"/>
      <c r="AOQ12" s="1085"/>
      <c r="AOR12" s="1085"/>
      <c r="AOS12" s="1085"/>
      <c r="AOT12" s="1085"/>
      <c r="AOU12" s="1085"/>
      <c r="AOV12" s="1085"/>
      <c r="AOW12" s="1085"/>
      <c r="AOX12" s="1085"/>
      <c r="AOY12" s="1085"/>
      <c r="AOZ12" s="1085"/>
      <c r="APA12" s="1085"/>
      <c r="APB12" s="1085"/>
      <c r="APC12" s="1085"/>
      <c r="APD12" s="1085"/>
      <c r="APE12" s="1085"/>
      <c r="APF12" s="1085"/>
      <c r="APG12" s="1085"/>
      <c r="APH12" s="1085"/>
      <c r="API12" s="1085"/>
      <c r="APJ12" s="1085"/>
      <c r="APK12" s="1085"/>
      <c r="APL12" s="1085"/>
      <c r="APM12" s="1085"/>
      <c r="APN12" s="1085"/>
      <c r="APO12" s="1085"/>
      <c r="APP12" s="1085"/>
      <c r="APQ12" s="1085"/>
      <c r="APR12" s="1085"/>
      <c r="APS12" s="1085"/>
      <c r="APT12" s="1085"/>
      <c r="APU12" s="1085"/>
      <c r="APV12" s="1085"/>
      <c r="APW12" s="1085"/>
      <c r="APX12" s="1085"/>
      <c r="APY12" s="1085"/>
      <c r="APZ12" s="1085"/>
      <c r="AQA12" s="1085"/>
      <c r="AQB12" s="1085"/>
      <c r="AQC12" s="1085"/>
      <c r="AQD12" s="1085"/>
      <c r="AQE12" s="1085"/>
      <c r="AQF12" s="1085"/>
      <c r="AQG12" s="1085"/>
      <c r="AQH12" s="1085"/>
      <c r="AQI12" s="1085"/>
      <c r="AQJ12" s="1085"/>
      <c r="AQK12" s="1085"/>
      <c r="AQL12" s="1085"/>
      <c r="AQM12" s="1085"/>
      <c r="AQN12" s="1085"/>
      <c r="AQO12" s="1085"/>
      <c r="AQP12" s="1085"/>
      <c r="AQQ12" s="1085"/>
      <c r="AQR12" s="1085"/>
      <c r="AQS12" s="1085"/>
      <c r="AQT12" s="1085"/>
      <c r="AQU12" s="1085"/>
      <c r="AQV12" s="1085"/>
      <c r="AQW12" s="1085"/>
      <c r="AQX12" s="1085"/>
      <c r="AQY12" s="1085"/>
      <c r="AQZ12" s="1085"/>
      <c r="ARA12" s="1085"/>
      <c r="ARB12" s="1085"/>
      <c r="ARC12" s="1085"/>
      <c r="ARD12" s="1085"/>
      <c r="ARE12" s="1085"/>
      <c r="ARF12" s="1085"/>
      <c r="ARG12" s="1085"/>
      <c r="ARH12" s="1085"/>
      <c r="ARI12" s="1085"/>
      <c r="ARJ12" s="1085"/>
      <c r="ARK12" s="1085"/>
      <c r="ARL12" s="1085"/>
      <c r="ARM12" s="1085"/>
      <c r="ARN12" s="1085"/>
      <c r="ARO12" s="1085"/>
      <c r="ARP12" s="1085"/>
      <c r="ARQ12" s="1085"/>
      <c r="ARR12" s="1085"/>
      <c r="ARS12" s="1085"/>
      <c r="ART12" s="1085"/>
      <c r="ARU12" s="1085"/>
      <c r="ARV12" s="1085"/>
      <c r="ARW12" s="1085"/>
      <c r="ARX12" s="1085"/>
      <c r="ARY12" s="1085"/>
      <c r="ARZ12" s="1085"/>
      <c r="ASA12" s="1085"/>
      <c r="ASB12" s="1085"/>
      <c r="ASC12" s="1085"/>
      <c r="ASD12" s="1085"/>
      <c r="ASE12" s="1085"/>
      <c r="ASF12" s="1085"/>
      <c r="ASG12" s="1085"/>
      <c r="ASH12" s="1085"/>
      <c r="ASI12" s="1085"/>
      <c r="ASJ12" s="1085"/>
      <c r="ASK12" s="1085"/>
      <c r="ASL12" s="1085"/>
      <c r="ASM12" s="1085"/>
      <c r="ASN12" s="1085"/>
      <c r="ASO12" s="1085"/>
      <c r="ASP12" s="1085"/>
      <c r="ASQ12" s="1085"/>
      <c r="ASR12" s="1085"/>
      <c r="ASS12" s="1085"/>
      <c r="AST12" s="1085"/>
      <c r="ASU12" s="1085"/>
      <c r="ASV12" s="1085"/>
      <c r="ASW12" s="1085"/>
      <c r="ASX12" s="1085"/>
      <c r="ASY12" s="1085"/>
      <c r="ASZ12" s="1085"/>
      <c r="ATA12" s="1085"/>
      <c r="ATB12" s="1085"/>
      <c r="ATC12" s="1085"/>
      <c r="ATD12" s="1085"/>
      <c r="ATE12" s="1085"/>
      <c r="ATF12" s="1085"/>
      <c r="ATG12" s="1085"/>
      <c r="ATH12" s="1085"/>
      <c r="ATI12" s="1085"/>
      <c r="ATJ12" s="1085"/>
      <c r="ATK12" s="1085"/>
      <c r="ATL12" s="1085"/>
      <c r="ATM12" s="1085"/>
      <c r="ATN12" s="1085"/>
      <c r="ATO12" s="1085"/>
      <c r="ATP12" s="1085"/>
      <c r="ATQ12" s="1085"/>
      <c r="ATR12" s="1085"/>
      <c r="ATS12" s="1085"/>
      <c r="ATT12" s="1085"/>
      <c r="ATU12" s="1085"/>
      <c r="ATV12" s="1085"/>
      <c r="ATW12" s="1085"/>
      <c r="ATX12" s="1085"/>
      <c r="ATY12" s="1085"/>
      <c r="ATZ12" s="1085"/>
      <c r="AUA12" s="1085"/>
      <c r="AUB12" s="1085"/>
      <c r="AUC12" s="1085"/>
      <c r="AUD12" s="1085"/>
      <c r="AUE12" s="1085"/>
      <c r="AUF12" s="1085"/>
      <c r="AUG12" s="1085"/>
      <c r="AUH12" s="1085"/>
      <c r="AUI12" s="1085"/>
      <c r="AUJ12" s="1085"/>
      <c r="AUK12" s="1085"/>
      <c r="AUL12" s="1085"/>
      <c r="AUM12" s="1085"/>
      <c r="AUN12" s="1085"/>
      <c r="AUO12" s="1085"/>
      <c r="AUP12" s="1085"/>
      <c r="AUQ12" s="1085"/>
      <c r="AUR12" s="1085"/>
      <c r="AUS12" s="1085"/>
      <c r="AUT12" s="1085"/>
      <c r="AUU12" s="1085"/>
      <c r="AUV12" s="1085"/>
      <c r="AUW12" s="1085"/>
      <c r="AUX12" s="1085"/>
      <c r="AUY12" s="1085"/>
      <c r="AUZ12" s="1085"/>
      <c r="AVA12" s="1085"/>
      <c r="AVB12" s="1085"/>
      <c r="AVC12" s="1085"/>
      <c r="AVD12" s="1085"/>
      <c r="AVE12" s="1085"/>
      <c r="AVF12" s="1085"/>
      <c r="AVG12" s="1085"/>
      <c r="AVH12" s="1085"/>
      <c r="AVI12" s="1085"/>
      <c r="AVJ12" s="1085"/>
      <c r="AVK12" s="1085"/>
      <c r="AVL12" s="1085"/>
      <c r="AVM12" s="1085"/>
      <c r="AVN12" s="1085"/>
      <c r="AVO12" s="1085"/>
      <c r="AVP12" s="1085"/>
      <c r="AVQ12" s="1085"/>
      <c r="AVR12" s="1085"/>
      <c r="AVS12" s="1085"/>
      <c r="AVT12" s="1085"/>
      <c r="AVU12" s="1085"/>
      <c r="AVV12" s="1085"/>
      <c r="AVW12" s="1085"/>
      <c r="AVX12" s="1085"/>
      <c r="AVY12" s="1085"/>
      <c r="AVZ12" s="1085"/>
      <c r="AWA12" s="1085"/>
      <c r="AWB12" s="1085"/>
      <c r="AWC12" s="1085"/>
      <c r="AWD12" s="1085"/>
      <c r="AWE12" s="1085"/>
      <c r="AWF12" s="1085"/>
      <c r="AWG12" s="1085"/>
      <c r="AWH12" s="1085"/>
      <c r="AWI12" s="1085"/>
      <c r="AWJ12" s="1085"/>
      <c r="AWK12" s="1085"/>
      <c r="AWL12" s="1085"/>
      <c r="AWM12" s="1085"/>
      <c r="AWN12" s="1085"/>
      <c r="AWO12" s="1085"/>
      <c r="AWP12" s="1085"/>
      <c r="AWQ12" s="1085"/>
      <c r="AWR12" s="1085"/>
      <c r="AWS12" s="1085"/>
      <c r="AWT12" s="1085"/>
      <c r="AWU12" s="1085"/>
      <c r="AWV12" s="1085"/>
      <c r="AWW12" s="1085"/>
      <c r="AWX12" s="1085"/>
      <c r="AWY12" s="1085"/>
      <c r="AWZ12" s="1085"/>
      <c r="AXA12" s="1085"/>
      <c r="AXB12" s="1085"/>
      <c r="AXC12" s="1085"/>
      <c r="AXD12" s="1085"/>
      <c r="AXE12" s="1085"/>
      <c r="AXF12" s="1085"/>
      <c r="AXG12" s="1085"/>
      <c r="AXH12" s="1085"/>
      <c r="AXI12" s="1085"/>
      <c r="AXJ12" s="1085"/>
      <c r="AXK12" s="1085"/>
      <c r="AXL12" s="1085"/>
      <c r="AXM12" s="1085"/>
      <c r="AXN12" s="1085"/>
      <c r="AXO12" s="1085"/>
      <c r="AXP12" s="1085"/>
      <c r="AXQ12" s="1085"/>
      <c r="AXR12" s="1085"/>
      <c r="AXS12" s="1085"/>
      <c r="AXT12" s="1085"/>
      <c r="AXU12" s="1085"/>
      <c r="AXV12" s="1085"/>
      <c r="AXW12" s="1085"/>
      <c r="AXX12" s="1085"/>
      <c r="AXY12" s="1085"/>
      <c r="AXZ12" s="1085"/>
      <c r="AYA12" s="1085"/>
      <c r="AYB12" s="1085"/>
      <c r="AYC12" s="1085"/>
      <c r="AYD12" s="1085"/>
      <c r="AYE12" s="1085"/>
      <c r="AYF12" s="1085"/>
      <c r="AYG12" s="1085"/>
      <c r="AYH12" s="1085"/>
      <c r="AYI12" s="1085"/>
      <c r="AYJ12" s="1085"/>
      <c r="AYK12" s="1085"/>
      <c r="AYL12" s="1085"/>
      <c r="AYM12" s="1085"/>
      <c r="AYN12" s="1085"/>
      <c r="AYO12" s="1085"/>
      <c r="AYP12" s="1085"/>
      <c r="AYQ12" s="1085"/>
      <c r="AYR12" s="1085"/>
      <c r="AYS12" s="1085"/>
      <c r="AYT12" s="1085"/>
      <c r="AYU12" s="1085"/>
      <c r="AYV12" s="1085"/>
      <c r="AYW12" s="1085"/>
      <c r="AYX12" s="1085"/>
      <c r="AYY12" s="1085"/>
      <c r="AYZ12" s="1085"/>
      <c r="AZA12" s="1085"/>
      <c r="AZB12" s="1085"/>
      <c r="AZC12" s="1085"/>
      <c r="AZD12" s="1085"/>
      <c r="AZE12" s="1085"/>
      <c r="AZF12" s="1085"/>
      <c r="AZG12" s="1085"/>
      <c r="AZH12" s="1085"/>
      <c r="AZI12" s="1085"/>
      <c r="AZJ12" s="1085"/>
      <c r="AZK12" s="1085"/>
      <c r="AZL12" s="1085"/>
      <c r="AZM12" s="1085"/>
      <c r="AZN12" s="1085"/>
      <c r="AZO12" s="1085"/>
      <c r="AZP12" s="1085"/>
      <c r="AZQ12" s="1085"/>
      <c r="AZR12" s="1085"/>
      <c r="AZS12" s="1085"/>
      <c r="AZT12" s="1085"/>
      <c r="AZU12" s="1085"/>
      <c r="AZV12" s="1085"/>
      <c r="AZW12" s="1085"/>
      <c r="AZX12" s="1085"/>
      <c r="AZY12" s="1085"/>
      <c r="AZZ12" s="1085"/>
      <c r="BAA12" s="1085"/>
      <c r="BAB12" s="1085"/>
      <c r="BAC12" s="1085"/>
      <c r="BAD12" s="1085"/>
      <c r="BAE12" s="1085"/>
      <c r="BAF12" s="1085"/>
      <c r="BAG12" s="1085"/>
      <c r="BAH12" s="1085"/>
      <c r="BAI12" s="1085"/>
      <c r="BAJ12" s="1085"/>
      <c r="BAK12" s="1085"/>
      <c r="BAL12" s="1085"/>
      <c r="BAM12" s="1085"/>
      <c r="BAN12" s="1085"/>
      <c r="BAO12" s="1085"/>
      <c r="BAP12" s="1085"/>
      <c r="BAQ12" s="1085"/>
      <c r="BAR12" s="1085"/>
      <c r="BAS12" s="1085"/>
      <c r="BAT12" s="1085"/>
      <c r="BAU12" s="1085"/>
      <c r="BAV12" s="1085"/>
      <c r="BAW12" s="1085"/>
      <c r="BAX12" s="1085"/>
      <c r="BAY12" s="1085"/>
      <c r="BAZ12" s="1085"/>
      <c r="BBA12" s="1085"/>
      <c r="BBB12" s="1085"/>
      <c r="BBC12" s="1085"/>
      <c r="BBD12" s="1085"/>
      <c r="BBE12" s="1085"/>
      <c r="BBF12" s="1085"/>
      <c r="BBG12" s="1085"/>
      <c r="BBH12" s="1085"/>
      <c r="BBI12" s="1085"/>
      <c r="BBJ12" s="1085"/>
      <c r="BBK12" s="1085"/>
      <c r="BBL12" s="1085"/>
      <c r="BBM12" s="1085"/>
      <c r="BBN12" s="1085"/>
      <c r="BBO12" s="1085"/>
      <c r="BBP12" s="1085"/>
      <c r="BBQ12" s="1085"/>
      <c r="BBR12" s="1085"/>
      <c r="BBS12" s="1085"/>
      <c r="BBT12" s="1085"/>
      <c r="BBU12" s="1085"/>
      <c r="BBV12" s="1085"/>
      <c r="BBW12" s="1085"/>
      <c r="BBX12" s="1085"/>
      <c r="BBY12" s="1085"/>
      <c r="BBZ12" s="1085"/>
      <c r="BCA12" s="1085"/>
      <c r="BCB12" s="1085"/>
      <c r="BCC12" s="1085"/>
      <c r="BCD12" s="1085"/>
      <c r="BCE12" s="1085"/>
      <c r="BCF12" s="1085"/>
      <c r="BCG12" s="1085"/>
      <c r="BCH12" s="1085"/>
      <c r="BCI12" s="1085"/>
      <c r="BCJ12" s="1085"/>
      <c r="BCK12" s="1085"/>
      <c r="BCL12" s="1085"/>
      <c r="BCM12" s="1085"/>
      <c r="BCN12" s="1085"/>
      <c r="BCO12" s="1085"/>
      <c r="BCP12" s="1085"/>
      <c r="BCQ12" s="1085"/>
      <c r="BCR12" s="1085"/>
      <c r="BCS12" s="1085"/>
      <c r="BCT12" s="1085"/>
      <c r="BCU12" s="1085"/>
      <c r="BCV12" s="1085"/>
      <c r="BCW12" s="1085"/>
      <c r="BCX12" s="1085"/>
      <c r="BCY12" s="1085"/>
      <c r="BCZ12" s="1085"/>
      <c r="BDA12" s="1085"/>
      <c r="BDB12" s="1085"/>
      <c r="BDC12" s="1085"/>
      <c r="BDD12" s="1085"/>
      <c r="BDE12" s="1085"/>
      <c r="BDF12" s="1085"/>
      <c r="BDG12" s="1085"/>
      <c r="BDH12" s="1085"/>
      <c r="BDI12" s="1085"/>
      <c r="BDJ12" s="1085"/>
      <c r="BDK12" s="1085"/>
      <c r="BDL12" s="1085"/>
      <c r="BDM12" s="1085"/>
      <c r="BDN12" s="1085"/>
      <c r="BDO12" s="1085"/>
      <c r="BDP12" s="1085"/>
      <c r="BDQ12" s="1085"/>
      <c r="BDR12" s="1085"/>
      <c r="BDS12" s="1085"/>
      <c r="BDT12" s="1085"/>
      <c r="BDU12" s="1085"/>
      <c r="BDV12" s="1085"/>
      <c r="BDW12" s="1085"/>
      <c r="BDX12" s="1085"/>
      <c r="BDY12" s="1085"/>
      <c r="BDZ12" s="1085"/>
      <c r="BEA12" s="1085"/>
      <c r="BEB12" s="1085"/>
      <c r="BEC12" s="1085"/>
      <c r="BED12" s="1085"/>
      <c r="BEE12" s="1085"/>
      <c r="BEF12" s="1085"/>
      <c r="BEG12" s="1085"/>
      <c r="BEH12" s="1085"/>
      <c r="BEI12" s="1085"/>
      <c r="BEJ12" s="1085"/>
      <c r="BEK12" s="1085"/>
      <c r="BEL12" s="1085"/>
      <c r="BEM12" s="1085"/>
      <c r="BEN12" s="1085"/>
      <c r="BEO12" s="1085"/>
      <c r="BEP12" s="1085"/>
      <c r="BEQ12" s="1085"/>
      <c r="BER12" s="1085"/>
      <c r="BES12" s="1085"/>
      <c r="BET12" s="1085"/>
      <c r="BEU12" s="1085"/>
      <c r="BEV12" s="1085"/>
      <c r="BEW12" s="1039"/>
      <c r="BEX12" s="1039"/>
      <c r="BEY12" s="1039"/>
      <c r="BEZ12" s="1039"/>
      <c r="BFA12" s="1039"/>
      <c r="BFB12" s="1039"/>
      <c r="BFC12" s="1039"/>
      <c r="BFD12" s="1039"/>
      <c r="BFE12" s="1039"/>
      <c r="BFF12" s="1039"/>
      <c r="BFG12" s="1039"/>
      <c r="BFH12" s="1039"/>
      <c r="BFI12" s="1039"/>
      <c r="BFJ12" s="1039"/>
      <c r="BFK12" s="1039"/>
      <c r="BFL12" s="1039"/>
      <c r="BFM12" s="1039"/>
      <c r="BFN12" s="1039"/>
      <c r="BFO12" s="1039"/>
      <c r="BFP12" s="1039"/>
      <c r="BFQ12" s="1039"/>
      <c r="BFR12" s="1039"/>
      <c r="BFS12" s="1039"/>
      <c r="BFT12" s="1039"/>
      <c r="BFU12" s="1039"/>
      <c r="BFV12" s="1039"/>
      <c r="BFW12" s="1039"/>
      <c r="BFX12" s="1039"/>
      <c r="BFY12" s="1039"/>
      <c r="BFZ12" s="1039"/>
      <c r="BGA12" s="1039"/>
      <c r="BGB12" s="1039"/>
      <c r="BGC12" s="1039"/>
      <c r="BGD12" s="1039"/>
      <c r="BGE12" s="1039"/>
      <c r="BGF12" s="1039"/>
      <c r="BGG12" s="1039"/>
      <c r="BGH12" s="1039"/>
      <c r="BGI12" s="1039"/>
      <c r="BGJ12" s="1039"/>
      <c r="BGK12" s="1039"/>
      <c r="BGL12" s="1039"/>
      <c r="BGM12" s="1039"/>
      <c r="BGN12" s="1039"/>
      <c r="BGO12" s="1039"/>
      <c r="BGP12" s="1039"/>
      <c r="BGQ12" s="1039"/>
      <c r="BGR12" s="1039"/>
      <c r="BGS12" s="1039"/>
      <c r="BGT12" s="1039"/>
      <c r="BGU12" s="1039"/>
      <c r="BGV12" s="1039"/>
      <c r="BGW12" s="1039"/>
      <c r="BGX12" s="1039"/>
      <c r="BGY12" s="1039"/>
      <c r="BGZ12" s="1039"/>
      <c r="BHA12" s="1039"/>
      <c r="BHB12" s="1039"/>
      <c r="BHC12" s="1039"/>
      <c r="BHD12" s="1039"/>
      <c r="BHE12" s="1039"/>
      <c r="BHF12" s="1039"/>
      <c r="BHG12" s="1039"/>
      <c r="BHH12" s="1039"/>
      <c r="BHI12" s="1039"/>
      <c r="BHJ12" s="1039"/>
      <c r="BHK12" s="1039"/>
      <c r="BHL12" s="1039"/>
      <c r="BHM12" s="1039"/>
      <c r="BHN12" s="1039"/>
      <c r="BHO12" s="1039"/>
      <c r="BHP12" s="1039"/>
      <c r="BHQ12" s="1039"/>
      <c r="BHR12" s="1039"/>
      <c r="BHS12" s="1039"/>
      <c r="BHT12" s="1039"/>
      <c r="BHU12" s="1039"/>
      <c r="BHV12" s="1039"/>
      <c r="BHW12" s="1039"/>
      <c r="BHX12" s="1039"/>
      <c r="BHY12" s="1039"/>
      <c r="BHZ12" s="1039"/>
      <c r="BIA12" s="1039"/>
      <c r="BIB12" s="1039"/>
      <c r="BIC12" s="1039"/>
      <c r="BID12" s="1039"/>
      <c r="BIE12" s="1039"/>
      <c r="BIF12" s="1039"/>
      <c r="BIG12" s="1039"/>
      <c r="BIH12" s="1039"/>
      <c r="BII12" s="1039"/>
      <c r="BIJ12" s="1039"/>
      <c r="BIK12" s="1039"/>
      <c r="BIL12" s="1039"/>
      <c r="BIM12" s="1039"/>
      <c r="BIN12" s="1039"/>
      <c r="BIO12" s="1039"/>
      <c r="BIP12" s="1039"/>
      <c r="BIQ12" s="1039"/>
      <c r="BIR12" s="1039"/>
      <c r="BIS12" s="1039"/>
      <c r="BIT12" s="1039"/>
      <c r="BIU12" s="1039"/>
      <c r="BIV12" s="1039"/>
      <c r="BIW12" s="1039"/>
      <c r="BIX12" s="1039"/>
      <c r="BIY12" s="1039"/>
      <c r="BIZ12" s="1039"/>
      <c r="BJA12" s="1039"/>
      <c r="BJB12" s="1039"/>
      <c r="BJC12" s="1039"/>
    </row>
    <row r="13" spans="1:1615" ht="30" customHeight="1" thickBot="1" x14ac:dyDescent="0.25">
      <c r="A13" s="10"/>
      <c r="B13" s="10"/>
      <c r="C13" s="10"/>
      <c r="D13" s="10"/>
      <c r="E13" s="1147"/>
      <c r="F13" s="1147"/>
      <c r="G13" s="1147"/>
      <c r="H13" s="1140">
        <f xml:space="preserve"> H8-H11</f>
        <v>1709.7920000000001</v>
      </c>
      <c r="I13" s="1045">
        <f t="shared" ref="I13:N13" si="380" xml:space="preserve"> H13+I8-I11</f>
        <v>4970.1120000000001</v>
      </c>
      <c r="J13" s="1045">
        <f t="shared" si="380"/>
        <v>7164.4160000000002</v>
      </c>
      <c r="K13" s="1045">
        <f t="shared" si="380"/>
        <v>8922.7039999999997</v>
      </c>
      <c r="L13" s="1045">
        <f t="shared" si="380"/>
        <v>12224.464</v>
      </c>
      <c r="M13" s="1045">
        <f t="shared" si="380"/>
        <v>13948.144</v>
      </c>
      <c r="N13" s="1045">
        <f t="shared" si="380"/>
        <v>16440.144</v>
      </c>
      <c r="O13" s="1045">
        <f t="shared" ref="O13:BZ13" si="381" xml:space="preserve"> N13+O8-O12</f>
        <v>16430.263200000001</v>
      </c>
      <c r="P13" s="1045">
        <f t="shared" si="381"/>
        <v>16325.1824</v>
      </c>
      <c r="Q13" s="1045">
        <f t="shared" si="381"/>
        <v>15963.6216</v>
      </c>
      <c r="R13" s="1045">
        <f t="shared" si="381"/>
        <v>16847.500800000002</v>
      </c>
      <c r="S13" s="1045">
        <f t="shared" si="381"/>
        <v>17108.660000000003</v>
      </c>
      <c r="T13" s="1045">
        <f t="shared" si="381"/>
        <v>17951.099200000004</v>
      </c>
      <c r="U13" s="1045">
        <f t="shared" si="381"/>
        <v>19977.378400000005</v>
      </c>
      <c r="V13" s="1045">
        <f t="shared" si="381"/>
        <v>19448.937600000008</v>
      </c>
      <c r="W13" s="1045">
        <f t="shared" si="381"/>
        <v>19848.976800000011</v>
      </c>
      <c r="X13" s="1045">
        <f t="shared" si="381"/>
        <v>20560.376000000015</v>
      </c>
      <c r="Y13" s="1045">
        <f t="shared" si="381"/>
        <v>21679.455200000015</v>
      </c>
      <c r="Z13" s="1045">
        <f t="shared" si="381"/>
        <v>21392.934400000016</v>
      </c>
      <c r="AA13" s="1045">
        <f t="shared" si="381"/>
        <v>23197.453600000019</v>
      </c>
      <c r="AB13" s="1045">
        <f t="shared" si="381"/>
        <v>24185.492800000022</v>
      </c>
      <c r="AC13" s="1045">
        <f t="shared" si="381"/>
        <v>24945.052000000025</v>
      </c>
      <c r="AD13" s="1045">
        <f t="shared" si="381"/>
        <v>24126.531200000027</v>
      </c>
      <c r="AE13" s="1045">
        <f t="shared" si="381"/>
        <v>23439.050400000029</v>
      </c>
      <c r="AF13" s="1045">
        <f t="shared" si="381"/>
        <v>22481.64960000003</v>
      </c>
      <c r="AG13" s="1045">
        <f t="shared" si="381"/>
        <v>22708.08880000003</v>
      </c>
      <c r="AH13" s="1045">
        <f t="shared" si="381"/>
        <v>23833.888000000032</v>
      </c>
      <c r="AI13" s="1045">
        <f t="shared" si="381"/>
        <v>25126.567200000034</v>
      </c>
      <c r="AJ13" s="1045">
        <f t="shared" si="381"/>
        <v>26142.606400000037</v>
      </c>
      <c r="AK13" s="1045">
        <f t="shared" si="381"/>
        <v>27718.64560000004</v>
      </c>
      <c r="AL13" s="1045">
        <f t="shared" si="381"/>
        <v>29516.444800000041</v>
      </c>
      <c r="AM13" s="1045">
        <f t="shared" si="381"/>
        <v>31445.284000000047</v>
      </c>
      <c r="AN13" s="1045">
        <f t="shared" si="381"/>
        <v>33159.083200000045</v>
      </c>
      <c r="AO13" s="1045">
        <f t="shared" si="381"/>
        <v>34036.242400000046</v>
      </c>
      <c r="AP13" s="1045">
        <f t="shared" si="381"/>
        <v>33300.377600000043</v>
      </c>
      <c r="AQ13" s="1045">
        <f t="shared" si="381"/>
        <v>32322.368800000044</v>
      </c>
      <c r="AR13" s="1045">
        <f t="shared" si="381"/>
        <v>31419.910400000048</v>
      </c>
      <c r="AS13" s="1045">
        <f t="shared" si="381"/>
        <v>32880.368400000043</v>
      </c>
      <c r="AT13" s="1045">
        <f t="shared" si="381"/>
        <v>34279.87600000004</v>
      </c>
      <c r="AU13" s="1045">
        <f t="shared" si="381"/>
        <v>35396.399600000041</v>
      </c>
      <c r="AV13" s="1045">
        <f t="shared" si="381"/>
        <v>36714.27720000004</v>
      </c>
      <c r="AW13" s="1045">
        <f t="shared" si="381"/>
        <v>37790.530000000042</v>
      </c>
      <c r="AX13" s="1045">
        <f t="shared" si="381"/>
        <v>39259.546400000043</v>
      </c>
      <c r="AY13" s="1045">
        <f t="shared" si="381"/>
        <v>40424.660800000041</v>
      </c>
      <c r="AZ13" s="1045">
        <f t="shared" si="381"/>
        <v>42316.61160000004</v>
      </c>
      <c r="BA13" s="1045">
        <f t="shared" si="381"/>
        <v>43758.902400000035</v>
      </c>
      <c r="BB13" s="1045">
        <f t="shared" si="381"/>
        <v>43527.211600000031</v>
      </c>
      <c r="BC13" s="1045">
        <f t="shared" si="381"/>
        <v>43676.400800000032</v>
      </c>
      <c r="BD13" s="1045">
        <f t="shared" si="381"/>
        <v>45301.310000000034</v>
      </c>
      <c r="BE13" s="1045">
        <f t="shared" si="381"/>
        <v>47833.419200000033</v>
      </c>
      <c r="BF13" s="1045">
        <f t="shared" si="381"/>
        <v>48593.008400000035</v>
      </c>
      <c r="BG13" s="1045">
        <f t="shared" si="381"/>
        <v>50690.517600000036</v>
      </c>
      <c r="BH13" s="1045">
        <f t="shared" si="381"/>
        <v>52238.986800000035</v>
      </c>
      <c r="BI13" s="1045">
        <f t="shared" si="381"/>
        <v>53867.816000000035</v>
      </c>
      <c r="BJ13" s="1045">
        <f t="shared" si="381"/>
        <v>53754.525200000033</v>
      </c>
      <c r="BK13" s="1045">
        <f t="shared" si="381"/>
        <v>56135.034400000033</v>
      </c>
      <c r="BL13" s="1045">
        <f t="shared" si="381"/>
        <v>56057.463600000032</v>
      </c>
      <c r="BM13" s="1045">
        <f t="shared" si="381"/>
        <v>57475.572800000031</v>
      </c>
      <c r="BN13" s="1045">
        <f t="shared" si="381"/>
        <v>59351.36200000003</v>
      </c>
      <c r="BO13" s="1045">
        <f t="shared" si="381"/>
        <v>59448.871200000031</v>
      </c>
      <c r="BP13" s="1045">
        <f t="shared" si="381"/>
        <v>57601.860400000027</v>
      </c>
      <c r="BQ13" s="1045">
        <f t="shared" si="381"/>
        <v>57210.129600000029</v>
      </c>
      <c r="BR13" s="1045">
        <f t="shared" si="381"/>
        <v>56525.358800000031</v>
      </c>
      <c r="BS13" s="1045">
        <f t="shared" si="381"/>
        <v>57350.268000000033</v>
      </c>
      <c r="BT13" s="1045">
        <f t="shared" si="381"/>
        <v>58100.057200000032</v>
      </c>
      <c r="BU13" s="1045">
        <f t="shared" si="381"/>
        <v>57697.686400000028</v>
      </c>
      <c r="BV13" s="1045">
        <f t="shared" si="381"/>
        <v>59295.195600000028</v>
      </c>
      <c r="BW13" s="1045">
        <f t="shared" si="381"/>
        <v>59704.78480000003</v>
      </c>
      <c r="BX13" s="1045">
        <f t="shared" si="381"/>
        <v>59805.494000000028</v>
      </c>
      <c r="BY13" s="1045">
        <f t="shared" si="381"/>
        <v>59119.323200000028</v>
      </c>
      <c r="BZ13" s="1045">
        <f t="shared" si="381"/>
        <v>61402.472400000028</v>
      </c>
      <c r="CA13" s="1045">
        <f t="shared" ref="CA13:EL13" si="382" xml:space="preserve"> BZ13+CA8-CA12</f>
        <v>61708.661600000029</v>
      </c>
      <c r="CB13" s="1045">
        <f t="shared" si="382"/>
        <v>59565.57080000003</v>
      </c>
      <c r="CC13" s="1045">
        <f t="shared" si="382"/>
        <v>62278.880000000026</v>
      </c>
      <c r="CD13" s="1045">
        <f t="shared" si="382"/>
        <v>62540.50920000003</v>
      </c>
      <c r="CE13" s="1045">
        <f t="shared" si="382"/>
        <v>63404.618400000028</v>
      </c>
      <c r="CF13" s="1045">
        <f t="shared" si="382"/>
        <v>63550.007600000026</v>
      </c>
      <c r="CG13" s="1045">
        <f t="shared" si="382"/>
        <v>62108.036800000024</v>
      </c>
      <c r="CH13" s="1045">
        <f t="shared" si="382"/>
        <v>63904.866000000024</v>
      </c>
      <c r="CI13" s="1045">
        <f t="shared" si="382"/>
        <v>64850.415200000018</v>
      </c>
      <c r="CJ13" s="1045">
        <f t="shared" si="382"/>
        <v>65052.044400000013</v>
      </c>
      <c r="CK13" s="1045">
        <f t="shared" si="382"/>
        <v>64292.313600000009</v>
      </c>
      <c r="CL13" s="1045">
        <f t="shared" si="382"/>
        <v>65106.022800000006</v>
      </c>
      <c r="CM13" s="1045">
        <f t="shared" si="382"/>
        <v>64686.772000000012</v>
      </c>
      <c r="CN13" s="1045">
        <f t="shared" si="382"/>
        <v>65285.281200000012</v>
      </c>
      <c r="CO13" s="1045">
        <f t="shared" si="382"/>
        <v>66580.830400000006</v>
      </c>
      <c r="CP13" s="1045">
        <f t="shared" si="382"/>
        <v>64965.739600000001</v>
      </c>
      <c r="CQ13" s="1045">
        <f t="shared" si="382"/>
        <v>66179.688800000004</v>
      </c>
      <c r="CR13" s="1045">
        <f t="shared" si="382"/>
        <v>68045.877999999997</v>
      </c>
      <c r="CS13" s="1045">
        <f t="shared" si="382"/>
        <v>68529.987199999989</v>
      </c>
      <c r="CT13" s="1045">
        <f t="shared" si="382"/>
        <v>70429.936399999991</v>
      </c>
      <c r="CU13" s="1045">
        <f t="shared" si="382"/>
        <v>70559.725599999991</v>
      </c>
      <c r="CV13" s="1045">
        <f t="shared" si="382"/>
        <v>71343.434799999988</v>
      </c>
      <c r="CW13" s="1045">
        <f t="shared" si="382"/>
        <v>70938.503999999986</v>
      </c>
      <c r="CX13" s="1045">
        <f t="shared" si="382"/>
        <v>68793.253199999992</v>
      </c>
      <c r="CY13" s="1045">
        <f t="shared" si="382"/>
        <v>68645.762399999992</v>
      </c>
      <c r="CZ13" s="1045">
        <f t="shared" si="382"/>
        <v>69689.551599999992</v>
      </c>
      <c r="DA13" s="1045">
        <f t="shared" si="382"/>
        <v>69214.700799999991</v>
      </c>
      <c r="DB13" s="1045">
        <f t="shared" si="382"/>
        <v>69771.209999999992</v>
      </c>
      <c r="DC13" s="1045">
        <f t="shared" si="382"/>
        <v>70328.119199999986</v>
      </c>
      <c r="DD13" s="1045">
        <f t="shared" si="382"/>
        <v>70100.708399999989</v>
      </c>
      <c r="DE13" s="1045">
        <f t="shared" si="382"/>
        <v>70303.057599999986</v>
      </c>
      <c r="DF13" s="1045">
        <f t="shared" si="382"/>
        <v>71594.926799999987</v>
      </c>
      <c r="DG13" s="1045">
        <f t="shared" si="382"/>
        <v>71007.835999999981</v>
      </c>
      <c r="DH13" s="1045">
        <f t="shared" si="382"/>
        <v>71447.865199999986</v>
      </c>
      <c r="DI13" s="1045">
        <f t="shared" si="382"/>
        <v>72316.294399999984</v>
      </c>
      <c r="DJ13" s="1045">
        <f t="shared" si="382"/>
        <v>72228.723599999983</v>
      </c>
      <c r="DK13" s="1045">
        <f t="shared" si="382"/>
        <v>73190.352799999979</v>
      </c>
      <c r="DL13" s="1045">
        <f t="shared" si="382"/>
        <v>71974.061999999976</v>
      </c>
      <c r="DM13" s="1045">
        <f t="shared" si="382"/>
        <v>71084.331199999971</v>
      </c>
      <c r="DN13" s="1045">
        <f t="shared" si="382"/>
        <v>70810.440399999963</v>
      </c>
      <c r="DO13" s="1045">
        <f t="shared" si="382"/>
        <v>72487.109599999967</v>
      </c>
      <c r="DP13" s="1045">
        <f t="shared" si="382"/>
        <v>74428.658799999961</v>
      </c>
      <c r="DQ13" s="1045">
        <f t="shared" si="382"/>
        <v>74260.767999999967</v>
      </c>
      <c r="DR13" s="1045">
        <f t="shared" si="382"/>
        <v>74837.117199999964</v>
      </c>
      <c r="DS13" s="1045">
        <f t="shared" si="382"/>
        <v>76118.266399999964</v>
      </c>
      <c r="DT13" s="1045">
        <f t="shared" si="382"/>
        <v>75849.335599999962</v>
      </c>
      <c r="DU13" s="1045">
        <f t="shared" si="382"/>
        <v>78446.964799999958</v>
      </c>
      <c r="DV13" s="1045">
        <f t="shared" si="382"/>
        <v>81304.473999999958</v>
      </c>
      <c r="DW13" s="1045">
        <f t="shared" si="382"/>
        <v>79903.423199999961</v>
      </c>
      <c r="DX13" s="1045">
        <f t="shared" si="382"/>
        <v>79726.612399999955</v>
      </c>
      <c r="DY13" s="1045">
        <f t="shared" si="382"/>
        <v>82804.601599999951</v>
      </c>
      <c r="DZ13" s="1045">
        <f t="shared" si="382"/>
        <v>83310.39079999995</v>
      </c>
      <c r="EA13" s="1045">
        <f t="shared" si="382"/>
        <v>83228.659999999945</v>
      </c>
      <c r="EB13" s="1045">
        <f t="shared" si="382"/>
        <v>81430.849199999939</v>
      </c>
      <c r="EC13" s="1045">
        <f t="shared" si="382"/>
        <v>86201.758399999933</v>
      </c>
      <c r="ED13" s="1045">
        <f t="shared" si="382"/>
        <v>83130.307599999927</v>
      </c>
      <c r="EE13" s="1045">
        <f t="shared" si="382"/>
        <v>78171.616799999931</v>
      </c>
      <c r="EF13" s="1045">
        <f t="shared" si="382"/>
        <v>81119.805999999924</v>
      </c>
      <c r="EG13" s="1045">
        <f t="shared" si="382"/>
        <v>79767.79519999992</v>
      </c>
      <c r="EH13" s="1045">
        <f t="shared" si="382"/>
        <v>77800.264399999913</v>
      </c>
      <c r="EI13" s="1045">
        <f t="shared" si="382"/>
        <v>78125.053599999912</v>
      </c>
      <c r="EJ13" s="1045">
        <f t="shared" si="382"/>
        <v>75897.522799999904</v>
      </c>
      <c r="EK13" s="1045">
        <f t="shared" si="382"/>
        <v>74168.991999999897</v>
      </c>
      <c r="EL13" s="1045">
        <f t="shared" si="382"/>
        <v>70999.701199999894</v>
      </c>
      <c r="EM13" s="1045">
        <f t="shared" ref="EM13:GX13" si="383" xml:space="preserve"> EL13+EM8-EM12</f>
        <v>69206.130399999893</v>
      </c>
      <c r="EN13" s="1045">
        <f t="shared" si="383"/>
        <v>69654.519599999898</v>
      </c>
      <c r="EO13" s="1045">
        <f t="shared" si="383"/>
        <v>67808.98879999989</v>
      </c>
      <c r="EP13" s="1045">
        <f t="shared" si="383"/>
        <v>63618.657999999894</v>
      </c>
      <c r="EQ13" s="1045">
        <f t="shared" si="383"/>
        <v>61123.727199999892</v>
      </c>
      <c r="ER13" s="1045">
        <f t="shared" si="383"/>
        <v>61023.116399999897</v>
      </c>
      <c r="ES13" s="1045">
        <f t="shared" si="383"/>
        <v>62191.105599999893</v>
      </c>
      <c r="ET13" s="1045">
        <f t="shared" si="383"/>
        <v>64801.534799999892</v>
      </c>
      <c r="EU13" s="1045">
        <f t="shared" si="383"/>
        <v>66809.083999999886</v>
      </c>
      <c r="EV13" s="1045">
        <f t="shared" si="383"/>
        <v>68028.313199999888</v>
      </c>
      <c r="EW13" s="1045">
        <f t="shared" si="383"/>
        <v>69131.742399999886</v>
      </c>
      <c r="EX13" s="1045">
        <f t="shared" si="383"/>
        <v>73615.851599999893</v>
      </c>
      <c r="EY13" s="1045">
        <f t="shared" si="383"/>
        <v>71841.320799999885</v>
      </c>
      <c r="EZ13" s="1045">
        <f t="shared" si="383"/>
        <v>75108.629999999888</v>
      </c>
      <c r="FA13" s="1045">
        <f t="shared" si="383"/>
        <v>73848.019199999893</v>
      </c>
      <c r="FB13" s="1045">
        <f t="shared" si="383"/>
        <v>76816.768399999899</v>
      </c>
      <c r="FC13" s="1045">
        <f t="shared" si="383"/>
        <v>76769.277599999899</v>
      </c>
      <c r="FD13" s="1045">
        <f t="shared" si="383"/>
        <v>78611.266799999896</v>
      </c>
      <c r="FE13" s="1045">
        <f t="shared" si="383"/>
        <v>74672.895999999892</v>
      </c>
      <c r="FF13" s="1045">
        <f t="shared" si="383"/>
        <v>71335.125199999893</v>
      </c>
      <c r="FG13" s="1045">
        <f t="shared" si="383"/>
        <v>68761.154399999898</v>
      </c>
      <c r="FH13" s="1045">
        <f t="shared" si="383"/>
        <v>65463.303599999897</v>
      </c>
      <c r="FI13" s="1045">
        <f t="shared" si="383"/>
        <v>65141.212799999892</v>
      </c>
      <c r="FJ13" s="1045">
        <f t="shared" si="383"/>
        <v>64120.361999999892</v>
      </c>
      <c r="FK13" s="1045">
        <f t="shared" si="383"/>
        <v>61060.311199999895</v>
      </c>
      <c r="FL13" s="1045">
        <f t="shared" si="383"/>
        <v>55626.980399999891</v>
      </c>
      <c r="FM13" s="1045">
        <f t="shared" si="383"/>
        <v>52665.72959999989</v>
      </c>
      <c r="FN13" s="1045">
        <f t="shared" si="383"/>
        <v>51516.518799999889</v>
      </c>
      <c r="FO13" s="1045">
        <f t="shared" si="383"/>
        <v>50051.027999999889</v>
      </c>
      <c r="FP13" s="1045">
        <f t="shared" si="383"/>
        <v>50915.257199999891</v>
      </c>
      <c r="FQ13" s="1045">
        <f t="shared" si="383"/>
        <v>53703.406399999891</v>
      </c>
      <c r="FR13" s="1045">
        <f t="shared" si="383"/>
        <v>50805.555599999891</v>
      </c>
      <c r="FS13" s="1045">
        <f t="shared" si="383"/>
        <v>50593.66479999989</v>
      </c>
      <c r="FT13" s="1045">
        <f t="shared" si="383"/>
        <v>49228.693999999887</v>
      </c>
      <c r="FU13" s="1045">
        <f t="shared" si="383"/>
        <v>47814.643199999889</v>
      </c>
      <c r="FV13" s="1045">
        <f t="shared" si="383"/>
        <v>48657.952399999886</v>
      </c>
      <c r="FW13" s="1045">
        <f t="shared" si="383"/>
        <v>48198.181599999887</v>
      </c>
      <c r="FX13" s="1045">
        <f t="shared" si="383"/>
        <v>48215.730799999888</v>
      </c>
      <c r="FY13" s="1045">
        <f t="shared" si="383"/>
        <v>49472.159999999887</v>
      </c>
      <c r="FZ13" s="1045">
        <f t="shared" si="383"/>
        <v>51434.10919999989</v>
      </c>
      <c r="GA13" s="1045">
        <f t="shared" si="383"/>
        <v>51827.738399999886</v>
      </c>
      <c r="GB13" s="1045">
        <f t="shared" si="383"/>
        <v>52670.647599999887</v>
      </c>
      <c r="GC13" s="1045">
        <f t="shared" si="383"/>
        <v>52021.076799999886</v>
      </c>
      <c r="GD13" s="1045">
        <f t="shared" si="383"/>
        <v>51995.745999999883</v>
      </c>
      <c r="GE13" s="1045">
        <f t="shared" si="383"/>
        <v>54403.855199999882</v>
      </c>
      <c r="GF13" s="1045">
        <f t="shared" si="383"/>
        <v>53860.28439999988</v>
      </c>
      <c r="GG13" s="1045">
        <f t="shared" si="383"/>
        <v>56360.793599999881</v>
      </c>
      <c r="GH13" s="1045">
        <f t="shared" si="383"/>
        <v>60877.102799999877</v>
      </c>
      <c r="GI13" s="1045">
        <f t="shared" si="383"/>
        <v>62133.651999999871</v>
      </c>
      <c r="GJ13" s="1045">
        <f t="shared" si="383"/>
        <v>61786.281199999867</v>
      </c>
      <c r="GK13" s="1045">
        <f t="shared" si="383"/>
        <v>60914.59039999987</v>
      </c>
      <c r="GL13" s="1045">
        <f t="shared" si="383"/>
        <v>57974.619599999874</v>
      </c>
      <c r="GM13" s="1045">
        <f t="shared" si="383"/>
        <v>59978.728799999873</v>
      </c>
      <c r="GN13" s="1045">
        <f t="shared" si="383"/>
        <v>56950.957999999868</v>
      </c>
      <c r="GO13" s="1045">
        <f t="shared" si="383"/>
        <v>56425.267199999871</v>
      </c>
      <c r="GP13" s="1045">
        <f t="shared" si="383"/>
        <v>55729.536399999866</v>
      </c>
      <c r="GQ13" s="1045">
        <f t="shared" si="383"/>
        <v>56026.125599999868</v>
      </c>
      <c r="GR13" s="1045">
        <f t="shared" si="383"/>
        <v>54999.594799999868</v>
      </c>
      <c r="GS13" s="1045">
        <f t="shared" si="383"/>
        <v>55799.703999999867</v>
      </c>
      <c r="GT13" s="1045">
        <f t="shared" si="383"/>
        <v>54318.813199999866</v>
      </c>
      <c r="GU13" s="1045">
        <f t="shared" si="383"/>
        <v>51915.262399999861</v>
      </c>
      <c r="GV13" s="1045">
        <f t="shared" si="383"/>
        <v>51623.711599999857</v>
      </c>
      <c r="GW13" s="1045">
        <f t="shared" si="383"/>
        <v>51183.980799999852</v>
      </c>
      <c r="GX13" s="1045">
        <f t="shared" si="383"/>
        <v>50900.72999999985</v>
      </c>
      <c r="GY13" s="1045">
        <f t="shared" ref="GY13:JJ13" si="384" xml:space="preserve"> GX13+GY8-GY12</f>
        <v>51028.119199999848</v>
      </c>
      <c r="GZ13" s="1045">
        <f t="shared" si="384"/>
        <v>48957.708399999843</v>
      </c>
      <c r="HA13" s="1045">
        <f t="shared" si="384"/>
        <v>48315.217599999844</v>
      </c>
      <c r="HB13" s="1045">
        <f t="shared" si="384"/>
        <v>49072.88679999984</v>
      </c>
      <c r="HC13" s="1045">
        <f t="shared" si="384"/>
        <v>48539.515999999843</v>
      </c>
      <c r="HD13" s="1045">
        <f t="shared" si="384"/>
        <v>48481.86519999984</v>
      </c>
      <c r="HE13" s="1045">
        <f t="shared" si="384"/>
        <v>44724.854399999836</v>
      </c>
      <c r="HF13" s="1045">
        <f t="shared" si="384"/>
        <v>42951.003599999836</v>
      </c>
      <c r="HG13" s="1045">
        <f t="shared" si="384"/>
        <v>40389.752799999835</v>
      </c>
      <c r="HH13" s="1045">
        <f t="shared" si="384"/>
        <v>39280.981999999836</v>
      </c>
      <c r="HI13" s="1045">
        <f t="shared" si="384"/>
        <v>38243.151199999833</v>
      </c>
      <c r="HJ13" s="1045">
        <f t="shared" si="384"/>
        <v>39895.400399999831</v>
      </c>
      <c r="HK13" s="1045">
        <f t="shared" si="384"/>
        <v>38553.629599999826</v>
      </c>
      <c r="HL13" s="1045">
        <f t="shared" si="384"/>
        <v>39132.738799999825</v>
      </c>
      <c r="HM13" s="1045">
        <f t="shared" si="384"/>
        <v>38729.547999999821</v>
      </c>
      <c r="HN13" s="1045">
        <f t="shared" si="384"/>
        <v>38854.497199999816</v>
      </c>
      <c r="HO13" s="1045">
        <f t="shared" si="384"/>
        <v>39207.906399999818</v>
      </c>
      <c r="HP13" s="1045">
        <f t="shared" si="384"/>
        <v>38985.235599999818</v>
      </c>
      <c r="HQ13" s="1045">
        <f t="shared" si="384"/>
        <v>38955.64479999982</v>
      </c>
      <c r="HR13" s="1045">
        <f t="shared" si="384"/>
        <v>37923.633999999816</v>
      </c>
      <c r="HS13" s="1045">
        <f t="shared" si="384"/>
        <v>36538.243199999815</v>
      </c>
      <c r="HT13" s="1045">
        <f t="shared" si="384"/>
        <v>34768.072399999815</v>
      </c>
      <c r="HU13" s="1045">
        <f t="shared" si="384"/>
        <v>33406.521599999811</v>
      </c>
      <c r="HV13" s="1045">
        <f t="shared" si="384"/>
        <v>31933.170799999811</v>
      </c>
      <c r="HW13" s="1045">
        <f t="shared" si="384"/>
        <v>32865.379999999808</v>
      </c>
      <c r="HX13" s="1045">
        <f t="shared" si="384"/>
        <v>31771.989199999807</v>
      </c>
      <c r="HY13" s="1045">
        <f t="shared" si="384"/>
        <v>31145.658399999804</v>
      </c>
      <c r="HZ13" s="1045">
        <f t="shared" si="384"/>
        <v>31081.447599999803</v>
      </c>
      <c r="IA13" s="1045">
        <f t="shared" si="384"/>
        <v>31438.9767999998</v>
      </c>
      <c r="IB13" s="1045">
        <f t="shared" si="384"/>
        <v>31861.045999999798</v>
      </c>
      <c r="IC13" s="1045">
        <f t="shared" si="384"/>
        <v>32867.5951999998</v>
      </c>
      <c r="ID13" s="1045">
        <f t="shared" si="384"/>
        <v>31508.504399999802</v>
      </c>
      <c r="IE13" s="1045">
        <f t="shared" si="384"/>
        <v>30976.873599999803</v>
      </c>
      <c r="IF13" s="1045">
        <f t="shared" si="384"/>
        <v>31540.862799999799</v>
      </c>
      <c r="IG13" s="1045">
        <f t="shared" si="384"/>
        <v>30225.691999999799</v>
      </c>
      <c r="IH13" s="1045">
        <f t="shared" si="384"/>
        <v>32018.7411999998</v>
      </c>
      <c r="II13" s="1045">
        <f t="shared" si="384"/>
        <v>32717.330399999802</v>
      </c>
      <c r="IJ13" s="1045">
        <f t="shared" si="384"/>
        <v>36224.2195999998</v>
      </c>
      <c r="IK13" s="1045">
        <f t="shared" si="384"/>
        <v>37007.808799999795</v>
      </c>
      <c r="IL13" s="1045">
        <f t="shared" si="384"/>
        <v>37366.777999999795</v>
      </c>
      <c r="IM13" s="1045">
        <f t="shared" si="384"/>
        <v>37673.767199999791</v>
      </c>
      <c r="IN13" s="1045">
        <f t="shared" si="384"/>
        <v>38084.69639999979</v>
      </c>
      <c r="IO13" s="1045">
        <f t="shared" si="384"/>
        <v>38373.485599999789</v>
      </c>
      <c r="IP13" s="1045">
        <f t="shared" si="384"/>
        <v>39192.834799999786</v>
      </c>
      <c r="IQ13" s="1045">
        <f t="shared" si="384"/>
        <v>38930.56399999978</v>
      </c>
      <c r="IR13" s="1045">
        <f t="shared" si="384"/>
        <v>37837.073199999781</v>
      </c>
      <c r="IS13" s="1045">
        <f t="shared" si="384"/>
        <v>37857.742399999777</v>
      </c>
      <c r="IT13" s="1045">
        <f t="shared" si="384"/>
        <v>37327.711599999777</v>
      </c>
      <c r="IU13" s="1045">
        <f t="shared" si="384"/>
        <v>35406.980799999772</v>
      </c>
      <c r="IV13" s="1045">
        <f t="shared" si="384"/>
        <v>33925.72999999977</v>
      </c>
      <c r="IW13" s="1045">
        <f t="shared" si="384"/>
        <v>31416.799199999768</v>
      </c>
      <c r="IX13" s="1045">
        <f t="shared" si="384"/>
        <v>31384.648399999765</v>
      </c>
      <c r="IY13" s="1045">
        <f t="shared" si="384"/>
        <v>30643.257599999764</v>
      </c>
      <c r="IZ13" s="1045">
        <f t="shared" si="384"/>
        <v>30050.366799999763</v>
      </c>
      <c r="JA13" s="1045">
        <f t="shared" si="384"/>
        <v>31396.03599999976</v>
      </c>
      <c r="JB13" s="1045">
        <f t="shared" si="384"/>
        <v>31230.385199999757</v>
      </c>
      <c r="JC13" s="1045">
        <f t="shared" si="384"/>
        <v>28280.114399999758</v>
      </c>
      <c r="JD13" s="1045">
        <f t="shared" si="384"/>
        <v>26776.16359999976</v>
      </c>
      <c r="JE13" s="1045">
        <f t="shared" si="384"/>
        <v>23435.512799999757</v>
      </c>
      <c r="JF13" s="1045">
        <f t="shared" si="384"/>
        <v>21640.641999999756</v>
      </c>
      <c r="JG13" s="1045">
        <f t="shared" si="384"/>
        <v>19247.111199999756</v>
      </c>
      <c r="JH13" s="1045">
        <f t="shared" si="384"/>
        <v>17287.160399999753</v>
      </c>
      <c r="JI13" s="1045">
        <f t="shared" si="384"/>
        <v>17133.049599999751</v>
      </c>
      <c r="JJ13" s="1045">
        <f t="shared" si="384"/>
        <v>16554.418799999748</v>
      </c>
      <c r="JK13" s="1045">
        <f t="shared" ref="JK13:LV13" si="385" xml:space="preserve"> JJ13+JK8-JK12</f>
        <v>16015.487999999747</v>
      </c>
      <c r="JL13" s="1045">
        <f t="shared" si="385"/>
        <v>16408.017199999744</v>
      </c>
      <c r="JM13" s="1045">
        <f t="shared" si="385"/>
        <v>20606.006399999744</v>
      </c>
      <c r="JN13" s="1045">
        <f t="shared" si="385"/>
        <v>24282.463599999741</v>
      </c>
      <c r="JO13" s="1045">
        <f t="shared" si="385"/>
        <v>26681.186799999738</v>
      </c>
      <c r="JP13" s="1045">
        <f t="shared" si="385"/>
        <v>24485.605999999738</v>
      </c>
      <c r="JQ13" s="1045">
        <f t="shared" si="385"/>
        <v>24972.911199999737</v>
      </c>
      <c r="JR13" s="1045">
        <f t="shared" si="385"/>
        <v>23563.020399999736</v>
      </c>
      <c r="JS13" s="1045">
        <f t="shared" si="385"/>
        <v>23372.413599999734</v>
      </c>
      <c r="JT13" s="1045">
        <f t="shared" si="385"/>
        <v>21874.366799999734</v>
      </c>
      <c r="JU13" s="1045">
        <f t="shared" si="385"/>
        <v>23022.671999999733</v>
      </c>
      <c r="JV13" s="1045">
        <f t="shared" si="385"/>
        <v>27150.16519999973</v>
      </c>
      <c r="JW13" s="1045">
        <f t="shared" si="385"/>
        <v>25987.138399999727</v>
      </c>
      <c r="JX13" s="1045">
        <f t="shared" si="385"/>
        <v>27408.247599999726</v>
      </c>
      <c r="JY13" s="1045">
        <f t="shared" si="385"/>
        <v>27527.040799999726</v>
      </c>
      <c r="JZ13" s="1045">
        <f t="shared" si="385"/>
        <v>28800.595999999721</v>
      </c>
      <c r="KA13" s="1045">
        <f t="shared" si="385"/>
        <v>28873.411199999719</v>
      </c>
      <c r="KB13" s="1045">
        <f t="shared" si="385"/>
        <v>28071.40539999972</v>
      </c>
      <c r="KC13" s="1045">
        <f t="shared" si="385"/>
        <v>28462.929599999719</v>
      </c>
      <c r="KD13" s="1045">
        <f t="shared" si="385"/>
        <v>28248.086299999719</v>
      </c>
      <c r="KE13" s="1045">
        <f t="shared" si="385"/>
        <v>28185.040499999719</v>
      </c>
      <c r="KF13" s="1045">
        <f t="shared" si="385"/>
        <v>25706.03469999972</v>
      </c>
      <c r="KG13" s="1045">
        <f t="shared" si="385"/>
        <v>25805.201399999714</v>
      </c>
      <c r="KH13" s="1045">
        <f t="shared" si="385"/>
        <v>25052.710599999715</v>
      </c>
      <c r="KI13" s="1045">
        <f t="shared" si="385"/>
        <v>25171.917299999714</v>
      </c>
      <c r="KJ13" s="1045">
        <f t="shared" si="385"/>
        <v>24807.516499999714</v>
      </c>
      <c r="KK13" s="1045">
        <f t="shared" si="385"/>
        <v>23345.740699999711</v>
      </c>
      <c r="KL13" s="1045">
        <f t="shared" si="385"/>
        <v>21102.702399999711</v>
      </c>
      <c r="KM13" s="1045">
        <f t="shared" si="385"/>
        <v>19764.47159999971</v>
      </c>
      <c r="KN13" s="1045">
        <f t="shared" si="385"/>
        <v>18701.448299999709</v>
      </c>
      <c r="KO13" s="1045">
        <f t="shared" si="385"/>
        <v>16911.412499999708</v>
      </c>
      <c r="KP13" s="1045">
        <f t="shared" si="385"/>
        <v>15152.036699999708</v>
      </c>
      <c r="KQ13" s="1045">
        <f t="shared" si="385"/>
        <v>14661.380899999707</v>
      </c>
      <c r="KR13" s="1045">
        <f t="shared" si="385"/>
        <v>11034.365099999706</v>
      </c>
      <c r="KS13" s="1045">
        <f t="shared" si="385"/>
        <v>9276.2792999997055</v>
      </c>
      <c r="KT13" s="1045">
        <f t="shared" si="385"/>
        <v>7024.095999999704</v>
      </c>
      <c r="KU13" s="1045">
        <f t="shared" si="385"/>
        <v>4887.9026999997031</v>
      </c>
      <c r="KV13" s="1045">
        <f t="shared" si="385"/>
        <v>5743.4818999997024</v>
      </c>
      <c r="KW13" s="1045">
        <f t="shared" si="385"/>
        <v>4058.9110999997019</v>
      </c>
      <c r="KX13" s="1045">
        <f t="shared" si="385"/>
        <v>4161.1907999997029</v>
      </c>
      <c r="KY13" s="1045">
        <f t="shared" si="385"/>
        <v>5968.899999999705</v>
      </c>
      <c r="KZ13" s="1045">
        <f t="shared" si="385"/>
        <v>10331.229199999705</v>
      </c>
      <c r="LA13" s="1045">
        <f t="shared" si="385"/>
        <v>11498.403399999705</v>
      </c>
      <c r="LB13" s="1045">
        <f t="shared" si="385"/>
        <v>15011.742599999703</v>
      </c>
      <c r="LC13" s="1045">
        <f t="shared" si="385"/>
        <v>14047.291799999701</v>
      </c>
      <c r="LD13" s="1045">
        <f t="shared" si="385"/>
        <v>14228.290999999699</v>
      </c>
      <c r="LE13" s="1045">
        <f t="shared" si="385"/>
        <v>10756.610199999699</v>
      </c>
      <c r="LF13" s="1045">
        <f t="shared" si="385"/>
        <v>9341.8593999996956</v>
      </c>
      <c r="LG13" s="1045">
        <f t="shared" si="385"/>
        <v>10970.358599999694</v>
      </c>
      <c r="LH13" s="1045">
        <f t="shared" si="385"/>
        <v>9941.739399999693</v>
      </c>
      <c r="LI13" s="1045">
        <f t="shared" si="385"/>
        <v>8547.2570999996897</v>
      </c>
      <c r="LJ13" s="1045">
        <f t="shared" si="385"/>
        <v>8952.0862999996898</v>
      </c>
      <c r="LK13" s="1045">
        <f t="shared" si="385"/>
        <v>8131.8154999996887</v>
      </c>
      <c r="LL13" s="1045">
        <f t="shared" si="385"/>
        <v>7983.9446999996881</v>
      </c>
      <c r="LM13" s="1045">
        <f t="shared" si="385"/>
        <v>10742.897899999689</v>
      </c>
      <c r="LN13" s="1045">
        <f t="shared" si="385"/>
        <v>5012.9870999996892</v>
      </c>
      <c r="LO13" s="1045">
        <f t="shared" si="385"/>
        <v>6289.3162999996903</v>
      </c>
      <c r="LP13" s="1045">
        <f t="shared" si="385"/>
        <v>6404.39349999969</v>
      </c>
      <c r="LQ13" s="1045">
        <f t="shared" si="385"/>
        <v>7237.4626999996917</v>
      </c>
      <c r="LR13" s="1045">
        <f t="shared" si="385"/>
        <v>7541.131899999692</v>
      </c>
      <c r="LS13" s="1045">
        <f t="shared" si="385"/>
        <v>8725.041099999693</v>
      </c>
      <c r="LT13" s="1045">
        <f t="shared" si="385"/>
        <v>9222.5502999996934</v>
      </c>
      <c r="LU13" s="1045">
        <f t="shared" si="385"/>
        <v>11645.659499999692</v>
      </c>
      <c r="LV13" s="1045">
        <f t="shared" si="385"/>
        <v>12276.338699999691</v>
      </c>
      <c r="LW13" s="1045">
        <f t="shared" ref="LW13:OH13" si="386" xml:space="preserve"> LV13+LW8-LW12</f>
        <v>14158.44789999969</v>
      </c>
      <c r="LX13" s="1045">
        <f t="shared" si="386"/>
        <v>13920.077099999689</v>
      </c>
      <c r="LY13" s="1045">
        <f t="shared" si="386"/>
        <v>14715.701299999688</v>
      </c>
      <c r="LZ13" s="1045">
        <f t="shared" si="386"/>
        <v>13071.045499999687</v>
      </c>
      <c r="MA13" s="1045">
        <f t="shared" si="386"/>
        <v>12672.794699999686</v>
      </c>
      <c r="MB13" s="1045">
        <f t="shared" si="386"/>
        <v>12557.668699999685</v>
      </c>
      <c r="MC13" s="1045">
        <f t="shared" si="386"/>
        <v>12938.038699999688</v>
      </c>
      <c r="MD13" s="1045">
        <f t="shared" si="386"/>
        <v>11461.488699999689</v>
      </c>
      <c r="ME13" s="1045">
        <f t="shared" si="386"/>
        <v>11528.978699999687</v>
      </c>
      <c r="MF13" s="1045">
        <f t="shared" si="386"/>
        <v>10504.428699999688</v>
      </c>
      <c r="MG13" s="1045">
        <f t="shared" si="386"/>
        <v>11362.934699999689</v>
      </c>
      <c r="MH13" s="1045">
        <f t="shared" si="386"/>
        <v>13241.104699999687</v>
      </c>
      <c r="MI13" s="1045">
        <f t="shared" si="386"/>
        <v>13733.139699999687</v>
      </c>
      <c r="MJ13" s="1045">
        <f t="shared" si="386"/>
        <v>15495.689699999686</v>
      </c>
      <c r="MK13" s="1045">
        <f t="shared" si="386"/>
        <v>13949.759699999686</v>
      </c>
      <c r="ML13" s="1045">
        <f t="shared" si="386"/>
        <v>13601.349699999686</v>
      </c>
      <c r="MM13" s="1045">
        <f t="shared" si="386"/>
        <v>12660.099699999686</v>
      </c>
      <c r="MN13" s="1045">
        <f t="shared" si="386"/>
        <v>13185.684699999685</v>
      </c>
      <c r="MO13" s="1045">
        <f t="shared" si="386"/>
        <v>12662.534699999687</v>
      </c>
      <c r="MP13" s="1045">
        <f t="shared" si="386"/>
        <v>13458.624699999687</v>
      </c>
      <c r="MQ13" s="1045">
        <f t="shared" si="386"/>
        <v>15929.402699999686</v>
      </c>
      <c r="MR13" s="1045">
        <f t="shared" si="386"/>
        <v>13446.430699999684</v>
      </c>
      <c r="MS13" s="1045">
        <f t="shared" si="386"/>
        <v>13292.888699999683</v>
      </c>
      <c r="MT13" s="1045">
        <f t="shared" si="386"/>
        <v>11946.603699999683</v>
      </c>
      <c r="MU13" s="1045">
        <f t="shared" si="386"/>
        <v>12275.893699999684</v>
      </c>
      <c r="MV13" s="1045">
        <f t="shared" si="386"/>
        <v>10160.590699999684</v>
      </c>
      <c r="MW13" s="1045">
        <f t="shared" si="386"/>
        <v>10438.205699999682</v>
      </c>
      <c r="MX13" s="1045">
        <f t="shared" si="386"/>
        <v>9987.1396999996832</v>
      </c>
      <c r="MY13" s="1045">
        <f t="shared" si="386"/>
        <v>11938.028699999682</v>
      </c>
      <c r="MZ13" s="1045">
        <f t="shared" si="386"/>
        <v>9774.628699999681</v>
      </c>
      <c r="NA13" s="1045">
        <f t="shared" si="386"/>
        <v>11055.564699999679</v>
      </c>
      <c r="NB13" s="1045">
        <f t="shared" si="386"/>
        <v>10957.869699999679</v>
      </c>
      <c r="NC13" s="1045">
        <f t="shared" si="386"/>
        <v>11024.669699999678</v>
      </c>
      <c r="ND13" s="1045">
        <f t="shared" si="386"/>
        <v>9431.3716999996795</v>
      </c>
      <c r="NE13" s="1045">
        <f t="shared" si="386"/>
        <v>11086.813699999679</v>
      </c>
      <c r="NF13" s="1045">
        <f t="shared" si="386"/>
        <v>9962.1636999996772</v>
      </c>
      <c r="NG13" s="1045">
        <f t="shared" si="386"/>
        <v>11637.343699999677</v>
      </c>
      <c r="NH13" s="1045">
        <f t="shared" si="386"/>
        <v>11001.473699999679</v>
      </c>
      <c r="NI13" s="1045">
        <f t="shared" si="386"/>
        <v>11093.527699999679</v>
      </c>
      <c r="NJ13" s="1045">
        <f t="shared" si="386"/>
        <v>12650.521699999677</v>
      </c>
      <c r="NK13" s="1045">
        <f t="shared" si="386"/>
        <v>13616.985699999677</v>
      </c>
      <c r="NL13" s="1045">
        <f t="shared" si="386"/>
        <v>12096.171699999675</v>
      </c>
      <c r="NM13" s="1045">
        <f t="shared" si="386"/>
        <v>12652.687699999675</v>
      </c>
      <c r="NN13" s="1045">
        <f t="shared" si="386"/>
        <v>12516.579699999675</v>
      </c>
      <c r="NO13" s="1045">
        <f t="shared" si="386"/>
        <v>13221.279699999675</v>
      </c>
      <c r="NP13" s="1045">
        <f t="shared" si="386"/>
        <v>12881.871699999676</v>
      </c>
      <c r="NQ13" s="1045">
        <f t="shared" si="386"/>
        <v>13650.264899999675</v>
      </c>
      <c r="NR13" s="1045">
        <f t="shared" si="386"/>
        <v>14377.132899999673</v>
      </c>
      <c r="NS13" s="1045">
        <f t="shared" si="386"/>
        <v>16573.058899999673</v>
      </c>
      <c r="NT13" s="1045">
        <f t="shared" si="386"/>
        <v>16027.214899999672</v>
      </c>
      <c r="NU13" s="1045">
        <f t="shared" si="386"/>
        <v>16071.289899999672</v>
      </c>
      <c r="NV13" s="1045">
        <f t="shared" si="386"/>
        <v>16326.278699999672</v>
      </c>
      <c r="NW13" s="1045">
        <f t="shared" si="386"/>
        <v>15547.354699999672</v>
      </c>
      <c r="NX13" s="1045">
        <f t="shared" si="386"/>
        <v>14924.34989999967</v>
      </c>
      <c r="NY13" s="1045">
        <f t="shared" si="386"/>
        <v>16103.785899999672</v>
      </c>
      <c r="NZ13" s="1045">
        <f t="shared" si="386"/>
        <v>15611.790899999673</v>
      </c>
      <c r="OA13" s="1045">
        <f t="shared" si="386"/>
        <v>17760.911899999672</v>
      </c>
      <c r="OB13" s="1045">
        <f t="shared" si="386"/>
        <v>19892.927899999671</v>
      </c>
      <c r="OC13" s="1045">
        <f t="shared" si="386"/>
        <v>19223.863899999673</v>
      </c>
      <c r="OD13" s="1045">
        <f t="shared" si="386"/>
        <v>17996.000899999672</v>
      </c>
      <c r="OE13" s="1045">
        <f t="shared" si="386"/>
        <v>18094.245899999671</v>
      </c>
      <c r="OF13" s="1045">
        <f t="shared" si="386"/>
        <v>17135.51189999967</v>
      </c>
      <c r="OG13" s="1045">
        <f t="shared" si="386"/>
        <v>16365.04359999967</v>
      </c>
      <c r="OH13" s="1045">
        <f t="shared" si="386"/>
        <v>15235.77659999967</v>
      </c>
      <c r="OI13" s="1045">
        <f t="shared" ref="OI13:QR13" si="387" xml:space="preserve"> OH13+OI8-OI12</f>
        <v>15646.472199999669</v>
      </c>
      <c r="OJ13" s="1045">
        <f t="shared" si="387"/>
        <v>13074.610199999668</v>
      </c>
      <c r="OK13" s="1045">
        <f t="shared" si="387"/>
        <v>8265.279199999668</v>
      </c>
      <c r="OL13" s="1045">
        <f t="shared" si="387"/>
        <v>10379.093199999668</v>
      </c>
      <c r="OM13" s="1045">
        <f t="shared" si="387"/>
        <v>9383.0351999996674</v>
      </c>
      <c r="ON13" s="1045">
        <f t="shared" si="387"/>
        <v>7187.6211999996667</v>
      </c>
      <c r="OO13" s="1045">
        <f t="shared" si="387"/>
        <v>7377.1481999996668</v>
      </c>
      <c r="OP13" s="1045">
        <f t="shared" si="387"/>
        <v>7397.9581999996662</v>
      </c>
      <c r="OQ13" s="1045">
        <f t="shared" si="387"/>
        <v>6575.7061999996658</v>
      </c>
      <c r="OR13" s="1045">
        <f t="shared" si="387"/>
        <v>5986.8681999996661</v>
      </c>
      <c r="OS13" s="1045">
        <f t="shared" si="387"/>
        <v>6249.0391999996664</v>
      </c>
      <c r="OT13" s="1045">
        <f t="shared" si="387"/>
        <v>5238.7311999996655</v>
      </c>
      <c r="OU13" s="1045">
        <f t="shared" si="387"/>
        <v>5453.3541999996669</v>
      </c>
      <c r="OV13" s="1045">
        <f t="shared" si="387"/>
        <v>6290.3541999996669</v>
      </c>
      <c r="OW13" s="1045">
        <f t="shared" si="387"/>
        <v>5691.8821999996653</v>
      </c>
      <c r="OX13" s="1045">
        <f t="shared" si="387"/>
        <v>8607.2131999996654</v>
      </c>
      <c r="OY13" s="1045">
        <f t="shared" si="387"/>
        <v>7830.4951999996665</v>
      </c>
      <c r="OZ13" s="1045">
        <f t="shared" si="387"/>
        <v>8664.4291999996676</v>
      </c>
      <c r="PA13" s="1045">
        <f t="shared" si="387"/>
        <v>9977.0021999996679</v>
      </c>
      <c r="PB13" s="1045">
        <f t="shared" si="387"/>
        <v>10213.08419999967</v>
      </c>
      <c r="PC13" s="1045">
        <f t="shared" si="387"/>
        <v>11252.289199999672</v>
      </c>
      <c r="PD13" s="1045">
        <f t="shared" si="387"/>
        <v>10940.701199999672</v>
      </c>
      <c r="PE13" s="1045">
        <f t="shared" si="387"/>
        <v>12372.242199999673</v>
      </c>
      <c r="PF13" s="1045">
        <f t="shared" si="387"/>
        <v>11147.240199999673</v>
      </c>
      <c r="PG13" s="1045">
        <f t="shared" si="387"/>
        <v>10295.345199999672</v>
      </c>
      <c r="PH13" s="1045">
        <f t="shared" si="387"/>
        <v>11387.537199999671</v>
      </c>
      <c r="PI13" s="1045">
        <f t="shared" si="387"/>
        <v>11167.313199999669</v>
      </c>
      <c r="PJ13" s="1045">
        <f t="shared" si="387"/>
        <v>11083.509199999669</v>
      </c>
      <c r="PK13" s="1045">
        <f t="shared" si="387"/>
        <v>11137.737199999669</v>
      </c>
      <c r="PL13" s="1045">
        <f t="shared" si="387"/>
        <v>12741.689199999666</v>
      </c>
      <c r="PM13" s="1045">
        <f t="shared" si="387"/>
        <v>9796.7391999996653</v>
      </c>
      <c r="PN13" s="1045">
        <f t="shared" si="387"/>
        <v>11472.664199999665</v>
      </c>
      <c r="PO13" s="1045">
        <f t="shared" si="387"/>
        <v>11165.912199999664</v>
      </c>
      <c r="PP13" s="1045">
        <f t="shared" si="387"/>
        <v>13534.989199999665</v>
      </c>
      <c r="PQ13" s="1045">
        <f t="shared" si="387"/>
        <v>12874.949199999664</v>
      </c>
      <c r="PR13" s="1045">
        <f t="shared" si="387"/>
        <v>14570.225199999666</v>
      </c>
      <c r="PS13" s="1045">
        <f t="shared" si="387"/>
        <v>14093.097199999665</v>
      </c>
      <c r="PT13" s="1045">
        <f t="shared" si="387"/>
        <v>15190.370199999667</v>
      </c>
      <c r="PU13" s="1045">
        <f t="shared" si="387"/>
        <v>14634.343199999668</v>
      </c>
      <c r="PV13" s="1045">
        <f t="shared" si="387"/>
        <v>15701.508199999669</v>
      </c>
      <c r="PW13" s="1045">
        <f t="shared" si="387"/>
        <v>14680.828199999669</v>
      </c>
      <c r="PX13" s="1045">
        <f t="shared" si="387"/>
        <v>15427.793199999669</v>
      </c>
      <c r="PY13" s="1045">
        <f t="shared" si="387"/>
        <v>16320.71119999967</v>
      </c>
      <c r="PZ13" s="1045">
        <f t="shared" si="387"/>
        <v>15263.831199999669</v>
      </c>
      <c r="QA13" s="1045">
        <f t="shared" si="387"/>
        <v>15106.526199999669</v>
      </c>
      <c r="QB13" s="1045">
        <f t="shared" si="387"/>
        <v>13914.110199999668</v>
      </c>
      <c r="QC13" s="1045">
        <f t="shared" si="387"/>
        <v>13536.311199999669</v>
      </c>
      <c r="QD13" s="1045">
        <f t="shared" si="387"/>
        <v>15314.511199999666</v>
      </c>
      <c r="QE13" s="1045">
        <f t="shared" si="387"/>
        <v>16649.227199999666</v>
      </c>
      <c r="QF13" s="1045">
        <f t="shared" si="387"/>
        <v>17375.541199999665</v>
      </c>
      <c r="QG13" s="1045">
        <f t="shared" si="387"/>
        <v>16932.556199999664</v>
      </c>
      <c r="QH13" s="1045">
        <f t="shared" si="387"/>
        <v>14726.268199999664</v>
      </c>
      <c r="QI13" s="1045">
        <f t="shared" si="387"/>
        <v>18049.158199999663</v>
      </c>
      <c r="QJ13" s="1045">
        <f t="shared" si="387"/>
        <v>20175.581199999666</v>
      </c>
      <c r="QK13" s="1045">
        <f t="shared" si="387"/>
        <v>20970.551199999667</v>
      </c>
      <c r="QL13" s="1045">
        <f t="shared" si="387"/>
        <v>22152.938199999669</v>
      </c>
      <c r="QM13" s="1045">
        <f t="shared" si="387"/>
        <v>21278.353999999668</v>
      </c>
      <c r="QN13" s="1045">
        <f t="shared" si="387"/>
        <v>21501.382499999669</v>
      </c>
      <c r="QO13" s="1045">
        <f t="shared" si="387"/>
        <v>22298.447999999669</v>
      </c>
      <c r="QP13" s="1045">
        <f t="shared" si="387"/>
        <v>22945.122399999669</v>
      </c>
      <c r="QQ13" s="1045">
        <f t="shared" si="387"/>
        <v>22867.082399999668</v>
      </c>
      <c r="QR13" s="1045">
        <f t="shared" si="387"/>
        <v>24645.39599999967</v>
      </c>
      <c r="QS13" s="1045">
        <f xml:space="preserve"> QR13+QS8-QS11*(QS6+0.96)</f>
        <v>23511.845199999669</v>
      </c>
      <c r="QT13" s="1045">
        <f t="shared" ref="QT13:QZ13" si="388" xml:space="preserve"> QS13+QT8-QT11*(QT6+1)</f>
        <v>20101.133999999667</v>
      </c>
      <c r="QU13" s="1045">
        <f t="shared" si="388"/>
        <v>20062.804399999666</v>
      </c>
      <c r="QV13" s="1045">
        <f t="shared" si="388"/>
        <v>19162.127199999668</v>
      </c>
      <c r="QW13" s="1045">
        <f t="shared" si="388"/>
        <v>18350.211599999668</v>
      </c>
      <c r="QX13" s="1045">
        <f t="shared" si="388"/>
        <v>15793.773199999667</v>
      </c>
      <c r="QY13" s="1045">
        <f t="shared" si="388"/>
        <v>14153.492199999666</v>
      </c>
      <c r="QZ13" s="1045">
        <f t="shared" si="388"/>
        <v>15533.077199999665</v>
      </c>
      <c r="RA13" s="1045">
        <f xml:space="preserve"> QZ13+RA8-RA11*(RA6+0.96)</f>
        <v>15627.189199999666</v>
      </c>
      <c r="RB13" s="1045">
        <f xml:space="preserve"> RA13+RB8-RB11*(RB6+0.96)</f>
        <v>14788.659199999665</v>
      </c>
      <c r="RC13" s="1045">
        <f xml:space="preserve"> RB13+RC8-RC11*(RC6+0.96)</f>
        <v>13534.779199999664</v>
      </c>
      <c r="RD13" s="1045">
        <f xml:space="preserve"> RC13+RD8-RD11*(RD6+0.96)</f>
        <v>13554.308799999664</v>
      </c>
      <c r="RE13" s="1045">
        <f xml:space="preserve"> RD13+RE8-RE11*(RE6+0.96)</f>
        <v>13491.806799999662</v>
      </c>
      <c r="RF13" s="1045">
        <f xml:space="preserve"> RE13+RF8-RF11*(RF6+0.78)</f>
        <v>14029.596799999661</v>
      </c>
      <c r="RG13" s="1045">
        <f xml:space="preserve"> RF13+RG8-RG11*(RG6+0.805)</f>
        <v>13706.476799999662</v>
      </c>
      <c r="RH13" s="1045">
        <f xml:space="preserve"> RG13+RH8-RH11*(RH6+0.827)</f>
        <v>15107.335799999662</v>
      </c>
      <c r="RI13" s="1045">
        <f xml:space="preserve"> RH13+RI8-RI11*(RI6+0.827)</f>
        <v>16417.355799999663</v>
      </c>
      <c r="RJ13" s="1045">
        <f xml:space="preserve"> RI13+RJ8-RJ11*(RJ6+0.84)</f>
        <v>18788.675799999663</v>
      </c>
      <c r="RK13" s="1045">
        <f xml:space="preserve"> RJ13+RK8-RK11*(RK6+0.84)</f>
        <v>20898.480999999665</v>
      </c>
      <c r="RL13" s="1045">
        <f xml:space="preserve"> RK13+RL8-RL11*(RL6+0.96)</f>
        <v>18799.596199999665</v>
      </c>
      <c r="RM13" s="1045">
        <f xml:space="preserve"> RL13+RM8-RM11*(RM6+0.96)</f>
        <v>17947.804199999664</v>
      </c>
      <c r="RN13" s="1045">
        <f xml:space="preserve"> RM13+RN8-RN11*(RN6+0.96)</f>
        <v>17683.150199999665</v>
      </c>
      <c r="RO13" s="1045">
        <f xml:space="preserve"> RN13+RO8-RO11*(RO6+0.838)</f>
        <v>17564.006199999665</v>
      </c>
      <c r="RP13" s="1045">
        <f t="shared" ref="RP13:RU13" si="389" xml:space="preserve"> RO13+RP8-RP11*(RP6+0.96)</f>
        <v>21071.115199999665</v>
      </c>
      <c r="RQ13" s="1045">
        <f t="shared" si="389"/>
        <v>22007.799199999667</v>
      </c>
      <c r="RR13" s="1045">
        <f t="shared" si="389"/>
        <v>20544.866299999667</v>
      </c>
      <c r="RS13" s="1045">
        <f t="shared" si="389"/>
        <v>19850.686299999667</v>
      </c>
      <c r="RT13" s="1045">
        <f t="shared" si="389"/>
        <v>18682.286299999669</v>
      </c>
      <c r="RU13" s="1045">
        <f t="shared" si="389"/>
        <v>16401.306299999669</v>
      </c>
      <c r="RV13" s="1045">
        <f xml:space="preserve"> RU13+RV8-RV11*(RV6+0.85)</f>
        <v>17030.566299999671</v>
      </c>
      <c r="RW13" s="1045">
        <f xml:space="preserve"> RV13+RW8-RW11*(RW6+0.812)</f>
        <v>15876.25829999967</v>
      </c>
      <c r="RX13" s="1045">
        <f xml:space="preserve"> RW13+RX8-RX11*(RX6+0.792)</f>
        <v>14736.504299999668</v>
      </c>
      <c r="RY13" s="1045">
        <f xml:space="preserve"> RX13+RY8-RY11*(RY6+0.792)</f>
        <v>16579.959899999667</v>
      </c>
      <c r="RZ13" s="1045">
        <f xml:space="preserve"> RY13+RZ8-RZ11*(RZ6+0.813)</f>
        <v>16841.652899999666</v>
      </c>
      <c r="SA13" s="1045">
        <f xml:space="preserve"> RZ13+SA8-SA11*(SA6+0.821)</f>
        <v>17832.537899999668</v>
      </c>
      <c r="SB13" s="1045">
        <f xml:space="preserve"> SA13+SB8-SB11*(SB6+0.836)</f>
        <v>17324.621899999667</v>
      </c>
      <c r="SC13" s="1045">
        <f xml:space="preserve"> SB13+SC8-SC11*(SC6+0.85)</f>
        <v>17935.785899999668</v>
      </c>
      <c r="SD13" s="1045">
        <f xml:space="preserve"> SC13+SD8-SD11*(SD6+0.89)</f>
        <v>18668.717899999669</v>
      </c>
      <c r="SE13" s="1045">
        <f xml:space="preserve"> SD13+SE8-SE11*(SE6+0.797)</f>
        <v>17546.156899999667</v>
      </c>
      <c r="SF13" s="1045">
        <f xml:space="preserve"> SE13+SF8-SF11*(SF6+0.81)</f>
        <v>17781.656899999667</v>
      </c>
      <c r="SG13" s="1045">
        <f xml:space="preserve"> SF13+SG8-SG11*(SG6+0.816)</f>
        <v>18775.232899999668</v>
      </c>
      <c r="SH13" s="1045">
        <f xml:space="preserve"> SG13+SH8-SH11*(SH6+0.796)</f>
        <v>17554.260899999666</v>
      </c>
      <c r="SI13" s="1045">
        <f xml:space="preserve"> SH13+SI8-SI11*(SI6+0.794)</f>
        <v>19619.935499999665</v>
      </c>
      <c r="SJ13" s="1045">
        <f xml:space="preserve"> SI13+SJ8-SJ11*(SJ6+0.808)</f>
        <v>20804.175499999663</v>
      </c>
      <c r="SK13" s="1045">
        <f xml:space="preserve"> SJ13+SK8-SK11*(SK6+0.97)</f>
        <v>18838.958499999666</v>
      </c>
      <c r="SL13" s="1045">
        <f xml:space="preserve"> SK13+SL8-SL11*(SL6+0.97)</f>
        <v>18611.140499999667</v>
      </c>
      <c r="SM13" s="1045">
        <f xml:space="preserve"> SL13+SM8-SM11*(SM6+0.88)</f>
        <v>18087.396499999668</v>
      </c>
      <c r="SN13" s="1045">
        <f xml:space="preserve"> SM13+SN8-SN11*(SN6+0.856)</f>
        <v>19162.748499999667</v>
      </c>
      <c r="SO13" s="1045">
        <f xml:space="preserve"> SN13+SO8-SO11*(SO6+0.97)</f>
        <v>17186.304499999671</v>
      </c>
      <c r="SP13" s="1045">
        <f xml:space="preserve"> SO13+SP8-SP11*(SP6+0.97)</f>
        <v>17750.654499999673</v>
      </c>
      <c r="SQ13" s="1045">
        <f xml:space="preserve"> SP13+SQ8-SQ11*(SQ6+0.836)</f>
        <v>18233.867299999671</v>
      </c>
      <c r="SR13" s="1045">
        <f xml:space="preserve"> SQ13+SR8-SR11*(SR6+0.803)</f>
        <v>20528.519899999672</v>
      </c>
      <c r="SS13" s="1045">
        <f xml:space="preserve"> SR13+SS8-SS11*(SS6+0.829)</f>
        <v>21508.560899999673</v>
      </c>
      <c r="ST13" s="1045">
        <f xml:space="preserve"> SS13+ST8-ST11*(ST6+0.823)</f>
        <v>24683.184899999673</v>
      </c>
      <c r="SU13" s="1045">
        <f xml:space="preserve"> ST13+SU8-SU11*(SU6+0.85)</f>
        <v>24351.714899999672</v>
      </c>
      <c r="SV13" s="1045">
        <f xml:space="preserve"> SU13+SV8-SV11*(SV6+0.88)</f>
        <v>25131.870899999674</v>
      </c>
      <c r="SW13" s="1045">
        <f xml:space="preserve"> SV13+SW8-SW11*(SW6+0.88)</f>
        <v>24108.436499999676</v>
      </c>
      <c r="SX13" s="1045">
        <f xml:space="preserve"> SW13+SX8-SX11*(SX6+0.97)</f>
        <v>23622.720499999676</v>
      </c>
      <c r="SY13" s="1045">
        <f xml:space="preserve"> SX13+SY8-SY11*(SY6+0.82)</f>
        <v>23113.890499999674</v>
      </c>
      <c r="SZ13" s="1045">
        <f xml:space="preserve"> SY13+SZ8-SZ11*(SZ6+0.9)</f>
        <v>23599.865499999672</v>
      </c>
      <c r="TA13" s="1045">
        <f xml:space="preserve"> SZ13+TA8-TA11*(TA6+0.9)</f>
        <v>20970.617499999673</v>
      </c>
      <c r="TB13" s="1045">
        <f xml:space="preserve"> TA13+TB8-TB11*(TB6+0.9)</f>
        <v>21535.609499999671</v>
      </c>
      <c r="TC13" s="1045">
        <f xml:space="preserve"> TB13+TC8-TC11*(TC6+0.81)</f>
        <v>22077.448699999673</v>
      </c>
      <c r="TD13" s="1045">
        <f t="shared" ref="TD13:TJ13" si="390" xml:space="preserve"> TC13+TD8-TD11*(TD6+0.9)</f>
        <v>22519.043699999675</v>
      </c>
      <c r="TE13" s="1045">
        <f t="shared" si="390"/>
        <v>21656.123699999673</v>
      </c>
      <c r="TF13" s="1045">
        <f t="shared" si="390"/>
        <v>21800.933699999674</v>
      </c>
      <c r="TG13" s="1045">
        <f t="shared" si="390"/>
        <v>19496.430499999675</v>
      </c>
      <c r="TH13" s="1045">
        <f t="shared" si="390"/>
        <v>19850.947299999672</v>
      </c>
      <c r="TI13" s="1045">
        <f t="shared" si="390"/>
        <v>20116.648499999672</v>
      </c>
      <c r="TJ13" s="1045">
        <f t="shared" si="390"/>
        <v>20402.968499999668</v>
      </c>
      <c r="TK13" s="1045">
        <f xml:space="preserve"> TJ13+TK8-TK11*(TK6+0.97)</f>
        <v>18637.87769999967</v>
      </c>
      <c r="TL13" s="1045">
        <f xml:space="preserve"> TK13+TL8-TL11*(TL6+0.88)</f>
        <v>19041.993699999668</v>
      </c>
      <c r="TM13" s="1045">
        <f xml:space="preserve"> TL13+TM8-TM11*(TM6+0.88)</f>
        <v>18402.003699999666</v>
      </c>
      <c r="TN13" s="1045">
        <f xml:space="preserve"> TM13+TN8-TN11*(TN6+0.88)</f>
        <v>18840.123699999669</v>
      </c>
      <c r="TO13" s="1045">
        <f xml:space="preserve"> TN13+TO8-TO11*(TO6+0.88)</f>
        <v>16211.17889999967</v>
      </c>
      <c r="TP13" s="1045">
        <f xml:space="preserve"> TO13+TP8-TP11*(TP6+0.88)</f>
        <v>16591.362899999673</v>
      </c>
      <c r="TQ13" s="1045">
        <f xml:space="preserve"> TP13+TQ8-TQ11*(TQ6+0.97)</f>
        <v>17122.884899999674</v>
      </c>
      <c r="TR13" s="1045">
        <f xml:space="preserve"> TQ13+TR8-TR11*(TR6+0.97)</f>
        <v>14958.584899999674</v>
      </c>
      <c r="TS13" s="1045">
        <f xml:space="preserve"> TR13+TS8-TS11*(TS6+0.97)</f>
        <v>14274.725899999674</v>
      </c>
      <c r="TT13" s="1045">
        <f xml:space="preserve"> TS13+TT8-TT11*(TT6+0.97)</f>
        <v>15035.933899999673</v>
      </c>
      <c r="TU13" s="1045">
        <f xml:space="preserve"> TT13+TU8-TU11*(TU6+0.97)</f>
        <v>15934.147799999671</v>
      </c>
      <c r="TV13" s="1045">
        <f xml:space="preserve"> TU13+TV8-TV11*(TV6+0.9)</f>
        <v>16880.379799999671</v>
      </c>
      <c r="TW13" s="1045">
        <f xml:space="preserve"> TV13+TW8-TW11*(TW6+0.85)</f>
        <v>15948.77559999967</v>
      </c>
      <c r="TX13" s="1045">
        <f xml:space="preserve"> TW13+TX8-TX11*(TX6+0.86)</f>
        <v>17101.199599999669</v>
      </c>
      <c r="TY13" s="1045">
        <f xml:space="preserve"> TX13+TY8-TY11*(TY6+0.81)</f>
        <v>17294.067599999667</v>
      </c>
      <c r="TZ13" s="1045">
        <f xml:space="preserve"> TY13+TZ8-TZ11*(TZ6+0.86)</f>
        <v>17698.472599999666</v>
      </c>
      <c r="UA13" s="1045">
        <f xml:space="preserve"> TZ13+UA8-UA11*(UA6+0.94)</f>
        <v>16513.276599999663</v>
      </c>
      <c r="UB13" s="1045">
        <f xml:space="preserve"> UA13+UB8-UB11*(UB6+0.9)</f>
        <v>16278.63059999966</v>
      </c>
      <c r="UC13" s="1045">
        <f xml:space="preserve"> UB13+UC8-UC11*(UC6+0.93)</f>
        <v>16076.898599999662</v>
      </c>
      <c r="UD13" s="1045">
        <f xml:space="preserve"> UC13+UD8-UD11*(UD6+0.9)</f>
        <v>17865.619099999662</v>
      </c>
      <c r="UE13" s="1045">
        <f xml:space="preserve"> UD13+UE8-UE11*(UE6+0.93)</f>
        <v>17544.871099999662</v>
      </c>
      <c r="UF13" s="1045">
        <f xml:space="preserve"> UE13+UF8-UF11*(UF6+0.93)</f>
        <v>18719.623099999662</v>
      </c>
      <c r="UG13" s="1045">
        <f xml:space="preserve"> UF13+UG8-UG11*(UG6+0.9)</f>
        <v>17422.237249999664</v>
      </c>
      <c r="UH13" s="1045">
        <f xml:space="preserve"> UG13+UH8-UH11*(UH6+0.81)</f>
        <v>17599.199399999663</v>
      </c>
      <c r="UI13" s="1045">
        <f xml:space="preserve"> UH13+UI8-UI11*(UI6+0.9)</f>
        <v>18422.083399999661</v>
      </c>
      <c r="UJ13" s="1045">
        <f xml:space="preserve"> UI13+UJ8-UJ11*(UJ6+0.9)</f>
        <v>18278.900499999661</v>
      </c>
      <c r="UK13" s="1045">
        <f xml:space="preserve"> UJ13+UK8-UK11*(UK6+0.9)</f>
        <v>19871.427699999662</v>
      </c>
      <c r="UL13" s="1045">
        <f xml:space="preserve"> UK13+UL8-UL11*(UL6+0.9)</f>
        <v>19171.72369999966</v>
      </c>
      <c r="UM13" s="1045">
        <f xml:space="preserve"> UL13+UM8-UM11*(UM6+0.86)</f>
        <v>19397.743179999659</v>
      </c>
      <c r="UN13" s="1045">
        <f xml:space="preserve"> UM13+UN8-UN11*(UN6+0.88)</f>
        <v>19839.455079999661</v>
      </c>
      <c r="UO13" s="1045">
        <f xml:space="preserve"> UN13+UO8-UO11*(UO6+0.9)</f>
        <v>18562.339179999661</v>
      </c>
      <c r="UP13" s="1045">
        <f xml:space="preserve"> UO13+UP8-UP11*(UP6+0.9)</f>
        <v>16848.831979999661</v>
      </c>
      <c r="UQ13" s="1045">
        <f xml:space="preserve"> UP13+UQ8-UQ11*(UQ6+0.9)</f>
        <v>18107.484139999659</v>
      </c>
      <c r="UR13" s="1045">
        <f xml:space="preserve"> UQ13+UR8-UR11*(UR6+0.87)</f>
        <v>19132.554019999658</v>
      </c>
      <c r="US13" s="1045">
        <f xml:space="preserve"> UR13+US8-US11*(US6+0.87)</f>
        <v>18873.81341999966</v>
      </c>
      <c r="UT13" s="1045">
        <f xml:space="preserve"> US13+UT8-UT11*(UT6+0.87)</f>
        <v>19121.099819999661</v>
      </c>
      <c r="UU13" s="1045">
        <f xml:space="preserve"> UT13+UU8-UU11*(UU6+0.9)</f>
        <v>19587.076619999661</v>
      </c>
      <c r="UV13" s="1045">
        <f xml:space="preserve"> UU13+UV8-UV11*(UV6+0.9)</f>
        <v>23599.67531999966</v>
      </c>
      <c r="UW13" s="1045">
        <f xml:space="preserve"> UV13+UW8-UW11*(UW6+0.9)</f>
        <v>26017.43351999966</v>
      </c>
      <c r="UX13" s="1045">
        <f xml:space="preserve"> UW13+UX8-UX11*(UX6+0.9)</f>
        <v>25495.604219999659</v>
      </c>
      <c r="UY13" s="1045">
        <f xml:space="preserve"> UX13+UY8-UY11*(UY6+0.9)</f>
        <v>24696.570419999658</v>
      </c>
      <c r="UZ13" s="1045">
        <f xml:space="preserve"> UY13+UZ8-UZ11*(UZ6+0.83)</f>
        <v>25007.160419999658</v>
      </c>
      <c r="VA13" s="1045">
        <f xml:space="preserve"> UZ13+VA8-VA11*(VA6+0.9)</f>
        <v>23490.570419999658</v>
      </c>
      <c r="VB13" s="1045">
        <f xml:space="preserve"> VA13+VB8-VB11*(VB6+0.9)</f>
        <v>20730.844719999659</v>
      </c>
      <c r="VC13" s="1045">
        <f xml:space="preserve"> VB13+VC8-VC11*(VC6+0.9)</f>
        <v>18465.404719999657</v>
      </c>
      <c r="VD13" s="1045">
        <f xml:space="preserve"> VC13+VD8-VD11*(VD6+0.81)</f>
        <v>18490.273919999654</v>
      </c>
      <c r="VE13" s="1045">
        <f xml:space="preserve"> VD13+VE8-VE11*(VE6+0.88)</f>
        <v>18083.797119999654</v>
      </c>
      <c r="VF13" s="1045">
        <f xml:space="preserve"> VE13+VF8-VF11*(VF6+0.88)</f>
        <v>18722.438119999657</v>
      </c>
      <c r="VG13" s="1045">
        <f xml:space="preserve"> VF13+VG8-VG11*(VG6+0.88)</f>
        <v>18541.883619999655</v>
      </c>
      <c r="VH13" s="1045">
        <f xml:space="preserve"> VG13+VH8-VH11*(VH6+0.88)</f>
        <v>17219.627619999657</v>
      </c>
      <c r="VI13" s="1045">
        <f xml:space="preserve"> VH13+VI8-VI11*(VI6+0.85)</f>
        <v>16118.890259999658</v>
      </c>
      <c r="VJ13" s="1045">
        <f xml:space="preserve"> VI13+VJ8-VJ11*(VJ6+0.85)</f>
        <v>14341.694159999657</v>
      </c>
      <c r="VK13" s="1045">
        <f xml:space="preserve"> VJ13+VK8-VK11*(VK6+0.85)</f>
        <v>14667.763359999659</v>
      </c>
      <c r="VL13" s="1045">
        <f xml:space="preserve"> VK13+VL8-VL11*(VL6+0.82)</f>
        <v>14551.244359999659</v>
      </c>
      <c r="VM13" s="1045">
        <f xml:space="preserve"> VL13+VM8-VM11*(VM6+0.82)</f>
        <v>14797.532359999659</v>
      </c>
      <c r="VN13" s="1045">
        <f xml:space="preserve"> VM13+VN8-VN11*(VN6+0.81)</f>
        <v>14821.278239999661</v>
      </c>
      <c r="VO13" s="1045">
        <f xml:space="preserve"> VN13+VO8-VO11*(VO6+0.9)</f>
        <v>16995.216919999657</v>
      </c>
      <c r="VP13" s="1045">
        <f xml:space="preserve"> VO13+VP8-VP11*(VP6+0.88)</f>
        <v>16807.006414399657</v>
      </c>
      <c r="VQ13" s="1045">
        <f xml:space="preserve"> VP13+VQ8-VQ11*(VQ6+0.88)</f>
        <v>16379.692908799658</v>
      </c>
      <c r="VR13" s="1045">
        <f xml:space="preserve"> VQ13+VR8-VR11*(VR6+0.88)</f>
        <v>17256.245016799658</v>
      </c>
      <c r="VS13" s="1045">
        <f xml:space="preserve"> VR13+VS8-VS11*(VS6+0.88)</f>
        <v>16306.359396799658</v>
      </c>
      <c r="VT13" s="1045">
        <f xml:space="preserve"> VS13+VT8-VT11*(VT6+0.88)</f>
        <v>14842.584681199658</v>
      </c>
      <c r="VU13" s="1045">
        <f t="shared" ref="VU13:WF13" si="391" xml:space="preserve"> VT13+VU8-VU11*(VU6+0.86)</f>
        <v>14152.584483599661</v>
      </c>
      <c r="VV13" s="1045">
        <f t="shared" si="391"/>
        <v>12062.550793599663</v>
      </c>
      <c r="VW13" s="1045">
        <f t="shared" si="391"/>
        <v>13473.031709599663</v>
      </c>
      <c r="VX13" s="1045">
        <f t="shared" si="391"/>
        <v>12788.189380399663</v>
      </c>
      <c r="VY13" s="1045">
        <f t="shared" si="391"/>
        <v>14103.451941999661</v>
      </c>
      <c r="VZ13" s="1045">
        <f t="shared" si="391"/>
        <v>15540.703757999661</v>
      </c>
      <c r="WA13" s="1045">
        <f t="shared" si="391"/>
        <v>12955.657145199662</v>
      </c>
      <c r="WB13" s="1045">
        <f t="shared" si="391"/>
        <v>14144.213915199663</v>
      </c>
      <c r="WC13" s="1045">
        <f t="shared" si="391"/>
        <v>12970.841845199666</v>
      </c>
      <c r="WD13" s="1045">
        <f t="shared" si="391"/>
        <v>12624.793245199664</v>
      </c>
      <c r="WE13" s="1045">
        <f t="shared" si="391"/>
        <v>10531.853245199663</v>
      </c>
      <c r="WF13" s="1045">
        <f t="shared" si="391"/>
        <v>9088.4430051996605</v>
      </c>
      <c r="WG13" s="1045">
        <f xml:space="preserve"> WF13+WG8-WG11*(WG6+0.86)</f>
        <v>9490.9106051996587</v>
      </c>
      <c r="WH13" s="1045">
        <f xml:space="preserve"> WG13+WH8-WH11*(WH6+0.86)</f>
        <v>10560.58300519966</v>
      </c>
      <c r="WI13" s="1045">
        <f xml:space="preserve"> WH13+WI8-WI11*(WI6+0.87)</f>
        <v>9853.35424519966</v>
      </c>
      <c r="WJ13" s="1045">
        <f xml:space="preserve"> WI13+WJ8-WJ11*(WJ6+0.87)</f>
        <v>9671.3224051996604</v>
      </c>
      <c r="WK13" s="1045">
        <f xml:space="preserve"> WJ13+WK8-WK11*(WK6+0.91)</f>
        <v>11558.481445199661</v>
      </c>
      <c r="WL13" s="1045">
        <f xml:space="preserve"> WK13+WL8-WL11*(WL6+0.87)</f>
        <v>11952.618205199658</v>
      </c>
      <c r="WM13" s="1045">
        <f xml:space="preserve"> WL13+WM8-WM11*(WM6+0.87)</f>
        <v>9169.9023051996592</v>
      </c>
      <c r="WN13" s="1045">
        <f xml:space="preserve"> WM13+WN8-WN11*(WN6+0.86)</f>
        <v>14649.746305199656</v>
      </c>
      <c r="WO13" s="1045">
        <f xml:space="preserve"> WN13+WO8-WO11*(WO6+0.86)</f>
        <v>18704.171355199654</v>
      </c>
      <c r="WP13" s="1045">
        <f xml:space="preserve"> WO13+WP8-WP11*(WP6+0.7)</f>
        <v>21042.507355199654</v>
      </c>
      <c r="WQ13" s="1045">
        <f xml:space="preserve"> WP13+WQ8-WQ11*(WQ6+0.79)</f>
        <v>21603.983795199652</v>
      </c>
      <c r="WR13" s="1045">
        <f t="shared" ref="WR13:WY13" si="392" xml:space="preserve"> WQ13+WR8-WR11*(WR6+0.82)</f>
        <v>19918.697675199655</v>
      </c>
      <c r="WS13" s="1045">
        <f t="shared" si="392"/>
        <v>17700.602675199654</v>
      </c>
      <c r="WT13" s="1045">
        <f t="shared" si="392"/>
        <v>16771.197650199654</v>
      </c>
      <c r="WU13" s="1045">
        <f t="shared" si="392"/>
        <v>14164.822350199653</v>
      </c>
      <c r="WV13" s="1045">
        <f t="shared" si="392"/>
        <v>13227.461950199653</v>
      </c>
      <c r="WW13" s="1045">
        <f t="shared" si="392"/>
        <v>11635.861630199652</v>
      </c>
      <c r="WX13" s="1045">
        <f t="shared" si="392"/>
        <v>11656.213150199652</v>
      </c>
      <c r="WY13" s="1045">
        <f t="shared" si="392"/>
        <v>10263.19075019965</v>
      </c>
      <c r="WZ13" s="406">
        <f xml:space="preserve"> WY13+WZ8-WZ11*(WZ6+0.1)</f>
        <v>16637.58663019965</v>
      </c>
      <c r="XA13" s="1045">
        <f t="shared" ref="XA13:XF13" si="393" xml:space="preserve"> WZ13+XA8-XA11*(XA6+0.8)</f>
        <v>17282.209150199651</v>
      </c>
      <c r="XB13" s="1045">
        <f t="shared" si="393"/>
        <v>17300.29935019965</v>
      </c>
      <c r="XC13" s="1045">
        <f t="shared" si="393"/>
        <v>15318.644710199649</v>
      </c>
      <c r="XD13" s="1045">
        <f t="shared" si="393"/>
        <v>14641.421270199648</v>
      </c>
      <c r="XE13" s="1045">
        <f t="shared" si="393"/>
        <v>12697.116070199645</v>
      </c>
      <c r="XF13" s="1045">
        <f t="shared" si="393"/>
        <v>13215.195910199645</v>
      </c>
      <c r="XG13" s="1045">
        <f xml:space="preserve"> XF13+XG8-XG11*(XG6+0.8)</f>
        <v>12400.978390199643</v>
      </c>
      <c r="XH13" s="1045">
        <f xml:space="preserve"> XG13+XH8-XH11*(XH6+0.83)</f>
        <v>12014.391590199642</v>
      </c>
      <c r="XI13" s="1045">
        <f xml:space="preserve"> XH13+XI8-XI11*(XI6+0.82)</f>
        <v>11007.80391019964</v>
      </c>
      <c r="XJ13" s="1045">
        <f xml:space="preserve"> XI13+XJ8-XJ11*(XJ6+0.82)</f>
        <v>11780.578310199639</v>
      </c>
      <c r="XK13" s="1045">
        <f xml:space="preserve"> XJ13+XK8-XK11*(XK6+0.28)</f>
        <v>16278.510470199635</v>
      </c>
      <c r="XL13" s="1045">
        <f t="shared" ref="XL13:XQ13" si="394" xml:space="preserve"> XK13+XL8-XL11*(XL6+0.81)</f>
        <v>16182.002110199637</v>
      </c>
      <c r="XM13" s="1045">
        <f t="shared" si="394"/>
        <v>15229.248190199636</v>
      </c>
      <c r="XN13" s="1045">
        <f t="shared" si="394"/>
        <v>15476.889910199634</v>
      </c>
      <c r="XO13" s="1045">
        <f t="shared" si="394"/>
        <v>13014.853530199633</v>
      </c>
      <c r="XP13" s="1045">
        <f t="shared" si="394"/>
        <v>12208.033530199629</v>
      </c>
      <c r="XQ13" s="1045">
        <f t="shared" si="394"/>
        <v>9497.2383301996306</v>
      </c>
      <c r="XR13" s="1045">
        <f xml:space="preserve"> XQ13+XR8-XR11*(XR6+0.68)</f>
        <v>11607.945130199629</v>
      </c>
      <c r="XS13" s="1045">
        <f xml:space="preserve"> XR13+XS8-XS11*(XS6+0.58)</f>
        <v>14034.700090199629</v>
      </c>
      <c r="XT13" s="1045">
        <f xml:space="preserve"> XS13+XT8-XT11*(XT6+0.5)</f>
        <v>16988.914482199627</v>
      </c>
      <c r="XU13" s="1045">
        <f xml:space="preserve"> XT13+XU8-XU11*(XU6+0.55)</f>
        <v>18263.454002199625</v>
      </c>
      <c r="XV13" s="1045">
        <f xml:space="preserve"> XU13+XV8-XV11*(XV6+0.25)</f>
        <v>24425.474162199625</v>
      </c>
      <c r="XW13" s="1045">
        <f xml:space="preserve"> XV13+XW8-XW11*(XW6+0.55)</f>
        <v>25524.895442199624</v>
      </c>
      <c r="XX13" s="1045">
        <f xml:space="preserve"> XW13+XX8-XX11*(XX6+0.25)</f>
        <v>32473.849842199626</v>
      </c>
      <c r="XY13" s="1045">
        <f xml:space="preserve"> XX13+XY8-XY11*(XY6+0.55)</f>
        <v>34234.703922199624</v>
      </c>
      <c r="XZ13" s="1045">
        <f xml:space="preserve"> XY13+XZ8-XZ11*(XZ6+0.8)</f>
        <v>31670.100722199619</v>
      </c>
      <c r="YA13" s="1045">
        <f xml:space="preserve"> XZ13+YA8-YA11*(YA6+0.75)</f>
        <v>28689.343442199613</v>
      </c>
      <c r="YB13" s="1045">
        <f xml:space="preserve"> YA13+YB8-YB11*(YB6+0.7)</f>
        <v>27882.860602199613</v>
      </c>
      <c r="YC13" s="1045">
        <f xml:space="preserve"> YB13+YC8-YC11*(YC6+0.62)</f>
        <v>27220.730202199611</v>
      </c>
      <c r="YD13" s="1045">
        <f xml:space="preserve"> YC13+YD8-YD11*(YD6+0.6)</f>
        <v>22608.377202199612</v>
      </c>
      <c r="YE13" s="1045">
        <f xml:space="preserve"> YD13+YE8-YE11*(YE6+0.6)</f>
        <v>18700.385202199614</v>
      </c>
      <c r="YF13" s="1045">
        <f xml:space="preserve"> YE13+YF8-YF11*(YF6+0.6)</f>
        <v>15208.325202199614</v>
      </c>
      <c r="YG13" s="1045">
        <f xml:space="preserve"> YF13+YG8-YG11*(YG6+0.61)</f>
        <v>10492.025202199613</v>
      </c>
      <c r="YH13" s="1045">
        <f xml:space="preserve"> YG13+YH8-YH11*(YH6+0.61)</f>
        <v>8511.6052021996129</v>
      </c>
      <c r="YI13" s="1045">
        <f xml:space="preserve"> YH13+YI8-YI11*(YI6+0.62)</f>
        <v>6184.3052021996127</v>
      </c>
      <c r="YJ13" s="1045">
        <f xml:space="preserve"> YI13+YJ8-YJ11*(YJ6+0.61)</f>
        <v>4733.0652021996129</v>
      </c>
      <c r="YK13" s="1045">
        <f xml:space="preserve"> YJ13+YK8-YK11*(YK6+0.61)</f>
        <v>3874.5852021996129</v>
      </c>
      <c r="YL13" s="1045">
        <f xml:space="preserve"> YK13+YL8-YL11*(YL6+0.61)</f>
        <v>2778.8552021996129</v>
      </c>
      <c r="YM13" s="1045">
        <f xml:space="preserve"> YL13+YM8-YM11*(YM6+0.625)</f>
        <v>1719.4652021996128</v>
      </c>
      <c r="YN13" s="1045">
        <f xml:space="preserve"> YM13+YN8-YN11*(YN6+0.857)</f>
        <v>41.95620219961279</v>
      </c>
      <c r="YO13" s="1045">
        <f xml:space="preserve"> YN13+YO8-YO11*(YO6+0.875)</f>
        <v>20.066202199612789</v>
      </c>
      <c r="YP13" s="1045">
        <f t="shared" ref="YP13:YX13" si="395" xml:space="preserve"> YO13+YP8-YP11*(YP6+0.8795)</f>
        <v>20.066202199612789</v>
      </c>
      <c r="YQ13" s="1045">
        <f t="shared" si="395"/>
        <v>20.066202199612789</v>
      </c>
      <c r="YR13" s="1045">
        <f t="shared" si="395"/>
        <v>20.066202199612789</v>
      </c>
      <c r="YS13" s="1045">
        <f t="shared" si="395"/>
        <v>20.066202199612789</v>
      </c>
      <c r="YT13" s="1045">
        <f t="shared" si="395"/>
        <v>10.07120219961279</v>
      </c>
      <c r="YU13" s="1045">
        <f t="shared" si="395"/>
        <v>7.6202199612790622E-2</v>
      </c>
      <c r="YV13" s="1045">
        <f t="shared" si="395"/>
        <v>7.6202199612790622E-2</v>
      </c>
      <c r="YW13" s="1045">
        <f t="shared" si="395"/>
        <v>7.6202199612790622E-2</v>
      </c>
      <c r="YX13" s="1045">
        <f t="shared" si="395"/>
        <v>7.6202199612790622E-2</v>
      </c>
      <c r="YY13" s="1045">
        <f xml:space="preserve"> YX13+YY8-YY11*(YY6+0.8795)</f>
        <v>7.6202199612790622E-2</v>
      </c>
      <c r="YZ13" s="1045">
        <f xml:space="preserve"> YY13+YZ8-YZ11*(YZ6+0.8795)</f>
        <v>7.6202199612790622E-2</v>
      </c>
      <c r="ZA13" s="1045">
        <f xml:space="preserve"> YZ13+ZA8-ZA11*(ZA6+0.8795)</f>
        <v>7.6202199612790622E-2</v>
      </c>
      <c r="ZB13" s="1045">
        <f xml:space="preserve"> ZA13+ZB8-ZB11*(ZB6+0.8795)</f>
        <v>7.6202199612790622E-2</v>
      </c>
      <c r="ZC13" s="1045">
        <f xml:space="preserve"> ZB13+ZC8-ZC11*(ZC6+0.8795)</f>
        <v>7.6202199612790622E-2</v>
      </c>
      <c r="ZD13" s="1045">
        <f xml:space="preserve"> ZC13+ZD9-(ZD11*(1-ZD6))</f>
        <v>1228.7762021996127</v>
      </c>
      <c r="ZE13" s="1045">
        <f t="shared" ref="ZE13:AAM13" si="396" xml:space="preserve"> ZD13+ZE9-(ZE11*(1-ZE6))</f>
        <v>6583.7962021996136</v>
      </c>
      <c r="ZF13" s="1045">
        <f t="shared" si="396"/>
        <v>9491.7172021996139</v>
      </c>
      <c r="ZG13" s="1045">
        <f t="shared" si="396"/>
        <v>8829.3892021996144</v>
      </c>
      <c r="ZH13" s="1045">
        <f t="shared" si="396"/>
        <v>10662.711202199614</v>
      </c>
      <c r="ZI13" s="1045">
        <f t="shared" si="396"/>
        <v>9153.4222021996138</v>
      </c>
      <c r="ZJ13" s="1045">
        <f t="shared" si="396"/>
        <v>9323.7042021996131</v>
      </c>
      <c r="ZK13" s="1045">
        <f t="shared" si="396"/>
        <v>8755.1802021996136</v>
      </c>
      <c r="ZL13" s="1045">
        <f t="shared" si="396"/>
        <v>7671.8922021996132</v>
      </c>
      <c r="ZM13" s="1045">
        <f t="shared" si="396"/>
        <v>7441.5322021996126</v>
      </c>
      <c r="ZN13" s="1045">
        <f t="shared" si="396"/>
        <v>6866.5162021996121</v>
      </c>
      <c r="ZO13" s="1045">
        <f t="shared" si="396"/>
        <v>7328.6952021996112</v>
      </c>
      <c r="ZP13" s="1045">
        <f t="shared" si="396"/>
        <v>7061.274202199611</v>
      </c>
      <c r="ZQ13" s="1045">
        <f t="shared" si="396"/>
        <v>7918.1287021996104</v>
      </c>
      <c r="ZR13" s="1045">
        <f t="shared" si="396"/>
        <v>8070.9897021996103</v>
      </c>
      <c r="ZS13" s="1045">
        <f t="shared" si="396"/>
        <v>8816.0337021996111</v>
      </c>
      <c r="ZT13" s="1045">
        <f t="shared" si="396"/>
        <v>8826.729702199611</v>
      </c>
      <c r="ZU13" s="1045">
        <f t="shared" si="396"/>
        <v>8074.1872021996105</v>
      </c>
      <c r="ZV13" s="1045">
        <f t="shared" si="396"/>
        <v>7726.5542021996098</v>
      </c>
      <c r="ZW13" s="1045">
        <f t="shared" si="396"/>
        <v>6991.1552021996094</v>
      </c>
      <c r="ZX13" s="1045">
        <f t="shared" si="396"/>
        <v>6280.4512021996106</v>
      </c>
      <c r="ZY13" s="1045">
        <f t="shared" si="396"/>
        <v>5843.1037021996108</v>
      </c>
      <c r="ZZ13" s="1045">
        <f t="shared" si="396"/>
        <v>5695.9237021996105</v>
      </c>
      <c r="AAA13" s="1045">
        <f t="shared" si="396"/>
        <v>6618.1175021996105</v>
      </c>
      <c r="AAB13" s="1045">
        <f t="shared" si="396"/>
        <v>6106.2535021996091</v>
      </c>
      <c r="AAC13" s="1045">
        <f t="shared" si="396"/>
        <v>5592.5047461996082</v>
      </c>
      <c r="AAD13" s="1045">
        <f xml:space="preserve"> AAC13+AAD9-(AAD11*(1-AAD6))</f>
        <v>5695.9077461996076</v>
      </c>
      <c r="AAE13" s="1045">
        <f t="shared" si="396"/>
        <v>5156.2537461996071</v>
      </c>
      <c r="AAF13" s="1045">
        <f t="shared" si="396"/>
        <v>4459.4837461996076</v>
      </c>
      <c r="AAG13" s="1045">
        <f t="shared" si="396"/>
        <v>4122.4917461996074</v>
      </c>
      <c r="AAH13" s="1045">
        <f t="shared" si="396"/>
        <v>5059.6667461996085</v>
      </c>
      <c r="AAI13" s="1045">
        <f t="shared" si="396"/>
        <v>4954.034746199608</v>
      </c>
      <c r="AAJ13" s="1045">
        <f t="shared" si="396"/>
        <v>5654.0067461996077</v>
      </c>
      <c r="AAK13" s="1045">
        <f t="shared" si="396"/>
        <v>5424.9807461996079</v>
      </c>
      <c r="AAL13" s="1045">
        <f t="shared" si="396"/>
        <v>6113.9427461996074</v>
      </c>
      <c r="AAM13" s="1045">
        <f t="shared" si="396"/>
        <v>5768.8427461996071</v>
      </c>
      <c r="AAN13" s="1045">
        <f t="shared" ref="AAN13" si="397" xml:space="preserve"> AAM13+AAN9-(AAN11*(1-AAN6))</f>
        <v>6363.1032461996074</v>
      </c>
      <c r="AAO13" s="1045">
        <f t="shared" ref="AAO13" si="398" xml:space="preserve"> AAN13+AAO9-(AAO11*(1-AAO6))</f>
        <v>7680.7562461996076</v>
      </c>
      <c r="AAP13" s="1045">
        <f t="shared" ref="AAP13" si="399" xml:space="preserve"> AAO13+AAP9-(AAP11*(1-AAP6))</f>
        <v>8070.1602461996072</v>
      </c>
      <c r="AAQ13" s="1045">
        <f t="shared" ref="AAQ13:AEP13" si="400" xml:space="preserve"> AAP13+AAQ9-(AAQ11*(1-AAQ6))</f>
        <v>8467.0202461996087</v>
      </c>
      <c r="AAR13" s="1045">
        <f t="shared" si="400"/>
        <v>11334.920246199608</v>
      </c>
      <c r="AAS13" s="1045">
        <f t="shared" si="400"/>
        <v>12975.595246199609</v>
      </c>
      <c r="AAT13" s="1045">
        <f t="shared" si="400"/>
        <v>13662.585246199609</v>
      </c>
      <c r="AAU13" s="1045">
        <f t="shared" si="400"/>
        <v>14683.478746199611</v>
      </c>
      <c r="AAV13" s="1045">
        <f t="shared" si="400"/>
        <v>13987.898746199608</v>
      </c>
      <c r="AAW13" s="1045">
        <f t="shared" si="400"/>
        <v>14960.696746199606</v>
      </c>
      <c r="AAX13" s="1045">
        <f t="shared" si="400"/>
        <v>16418.492746199605</v>
      </c>
      <c r="AAY13" s="1045">
        <f t="shared" si="400"/>
        <v>16952.664746199604</v>
      </c>
      <c r="AAZ13" s="1045">
        <f t="shared" si="400"/>
        <v>17315.800746199602</v>
      </c>
      <c r="ABA13" s="1045">
        <f t="shared" si="400"/>
        <v>17094.654746199602</v>
      </c>
      <c r="ABB13" s="1045">
        <f t="shared" si="400"/>
        <v>16655.086746199602</v>
      </c>
      <c r="ABC13" s="1045">
        <f t="shared" si="400"/>
        <v>16045.878746199602</v>
      </c>
      <c r="ABD13" s="1045">
        <f t="shared" si="400"/>
        <v>14250.142746199603</v>
      </c>
      <c r="ABE13" s="1045">
        <f t="shared" si="400"/>
        <v>13273.512746199602</v>
      </c>
      <c r="ABF13" s="1045">
        <f t="shared" si="400"/>
        <v>14134.037746199603</v>
      </c>
      <c r="ABG13" s="1045">
        <f t="shared" si="400"/>
        <v>15561.215246199603</v>
      </c>
      <c r="ABH13" s="1045">
        <f t="shared" si="400"/>
        <v>15410.109246199601</v>
      </c>
      <c r="ABI13" s="1045">
        <f xml:space="preserve"> ABH13+ABI9-(ABI11*(1-ABI6))</f>
        <v>13477.123246199601</v>
      </c>
      <c r="ABJ13" s="1045">
        <f t="shared" si="400"/>
        <v>12770.575246199602</v>
      </c>
      <c r="ABK13" s="1046">
        <f t="shared" si="400"/>
        <v>11713.406246199602</v>
      </c>
      <c r="ABL13" s="1047">
        <f t="shared" si="400"/>
        <v>13425.3612461996</v>
      </c>
      <c r="ABM13" s="1048">
        <f t="shared" si="400"/>
        <v>13741.649246199602</v>
      </c>
      <c r="ABN13" s="1048">
        <f t="shared" si="400"/>
        <v>14138.862246199602</v>
      </c>
      <c r="ABO13" s="1048">
        <f t="shared" si="400"/>
        <v>12290.902246199601</v>
      </c>
      <c r="ABP13" s="1048">
        <f t="shared" si="400"/>
        <v>12135.5222461996</v>
      </c>
      <c r="ABQ13" s="1048">
        <f t="shared" si="400"/>
        <v>10010.028246199603</v>
      </c>
      <c r="ABR13" s="1048">
        <f t="shared" si="400"/>
        <v>9121.8922461996044</v>
      </c>
      <c r="ABS13" s="1049">
        <f t="shared" si="400"/>
        <v>7869.8922461996044</v>
      </c>
      <c r="ABT13" s="1047">
        <f t="shared" si="400"/>
        <v>8870.975246199605</v>
      </c>
      <c r="ABU13" s="1048">
        <f t="shared" si="400"/>
        <v>7922.7852461996054</v>
      </c>
      <c r="ABV13" s="1048">
        <f t="shared" si="400"/>
        <v>8338.145246199605</v>
      </c>
      <c r="ABW13" s="1048">
        <f t="shared" si="400"/>
        <v>8680.7302461996042</v>
      </c>
      <c r="ABX13" s="1048">
        <f t="shared" si="400"/>
        <v>10841.580246199605</v>
      </c>
      <c r="ABY13" s="1048">
        <f t="shared" si="400"/>
        <v>14038.335246199607</v>
      </c>
      <c r="ABZ13" s="1048">
        <f t="shared" si="400"/>
        <v>14213.767246199608</v>
      </c>
      <c r="ACA13" s="1048">
        <f t="shared" si="400"/>
        <v>13704.067246199607</v>
      </c>
      <c r="ACB13" s="1048">
        <f t="shared" si="400"/>
        <v>11839.163246199609</v>
      </c>
      <c r="ACC13" s="1050">
        <f t="shared" si="400"/>
        <v>11253.548246199609</v>
      </c>
      <c r="ACD13" s="1047">
        <f t="shared" si="400"/>
        <v>10103.993246199607</v>
      </c>
      <c r="ACE13" s="1049">
        <f t="shared" si="400"/>
        <v>10783.780246199607</v>
      </c>
      <c r="ACF13" s="1049">
        <f t="shared" si="400"/>
        <v>11450.518246199606</v>
      </c>
      <c r="ACG13" s="1049">
        <f t="shared" si="400"/>
        <v>12133.104246199608</v>
      </c>
      <c r="ACH13" s="1049">
        <f t="shared" si="400"/>
        <v>12880.416246199607</v>
      </c>
      <c r="ACI13" s="1050">
        <f t="shared" si="400"/>
        <v>12096.01624619961</v>
      </c>
      <c r="ACJ13" s="1051">
        <f t="shared" si="400"/>
        <v>12460.716246199609</v>
      </c>
      <c r="ACK13" s="1051">
        <f xml:space="preserve"> ACJ13+ACK9-(ACK11*(1-ACK6))</f>
        <v>12009.11624619961</v>
      </c>
      <c r="ACL13" s="1051">
        <f t="shared" si="400"/>
        <v>12315.88224619961</v>
      </c>
      <c r="ACM13" s="1051">
        <f t="shared" si="400"/>
        <v>11757.72224619961</v>
      </c>
      <c r="ACN13" s="1051">
        <f t="shared" si="400"/>
        <v>13212.363246199609</v>
      </c>
      <c r="ACO13" s="1051">
        <f t="shared" si="400"/>
        <v>12361.86424619961</v>
      </c>
      <c r="ACP13" s="1051">
        <f t="shared" si="400"/>
        <v>13582.21424619961</v>
      </c>
      <c r="ACQ13" s="1051">
        <f t="shared" si="400"/>
        <v>12317.414246199613</v>
      </c>
      <c r="ACR13" s="1051">
        <f t="shared" si="400"/>
        <v>12717.494246199612</v>
      </c>
      <c r="ACS13" s="1051">
        <f t="shared" si="400"/>
        <v>13468.494246199611</v>
      </c>
      <c r="ACT13" s="1051">
        <f t="shared" si="400"/>
        <v>13419.094246199611</v>
      </c>
      <c r="ACU13" s="1051">
        <f t="shared" si="400"/>
        <v>13819.690246199609</v>
      </c>
      <c r="ACV13" s="1051">
        <f t="shared" si="400"/>
        <v>12410.530246199607</v>
      </c>
      <c r="ACW13" s="1051">
        <f t="shared" si="400"/>
        <v>11683.316246199607</v>
      </c>
      <c r="ACX13" s="1051">
        <f t="shared" si="400"/>
        <v>11660.902246199606</v>
      </c>
      <c r="ACY13" s="1051">
        <f t="shared" si="400"/>
        <v>10926.062246199606</v>
      </c>
      <c r="ACZ13" s="1051">
        <f t="shared" si="400"/>
        <v>13377.660246199606</v>
      </c>
      <c r="ADA13" s="1051">
        <f t="shared" si="400"/>
        <v>13085.060246199608</v>
      </c>
      <c r="ADB13" s="1051">
        <f t="shared" si="400"/>
        <v>12383.49024619961</v>
      </c>
      <c r="ADC13" s="1051">
        <f t="shared" si="400"/>
        <v>13551.690246199611</v>
      </c>
      <c r="ADD13" s="1051">
        <f t="shared" si="400"/>
        <v>12444.844246199609</v>
      </c>
      <c r="ADE13" s="1051">
        <f t="shared" si="400"/>
        <v>13384.07924619961</v>
      </c>
      <c r="ADF13" s="1051">
        <f t="shared" si="400"/>
        <v>14689.959246199611</v>
      </c>
      <c r="ADG13" s="1051">
        <f t="shared" si="400"/>
        <v>14157.65324619961</v>
      </c>
      <c r="ADH13" s="1051">
        <f t="shared" si="400"/>
        <v>15156.52924619961</v>
      </c>
      <c r="ADI13" s="1051">
        <f t="shared" si="400"/>
        <v>14407.60924619961</v>
      </c>
      <c r="ADJ13" s="1051">
        <f t="shared" si="400"/>
        <v>14812.589246199608</v>
      </c>
      <c r="ADK13" s="1051">
        <f t="shared" si="400"/>
        <v>14725.124246199608</v>
      </c>
      <c r="ADL13" s="1051">
        <f t="shared" si="400"/>
        <v>13717.614246199608</v>
      </c>
      <c r="ADM13" s="1051">
        <f t="shared" si="400"/>
        <v>15449.974246199607</v>
      </c>
      <c r="ADN13" s="1051">
        <f t="shared" si="400"/>
        <v>15287.499246199606</v>
      </c>
      <c r="ADO13" s="1051">
        <f t="shared" si="400"/>
        <v>15484.096246199608</v>
      </c>
      <c r="ADP13" s="1051">
        <f t="shared" si="400"/>
        <v>17193.391246199608</v>
      </c>
      <c r="ADQ13" s="1051">
        <f t="shared" si="400"/>
        <v>18590.915246199609</v>
      </c>
      <c r="ADR13" s="1051">
        <f t="shared" si="400"/>
        <v>19813.595246199609</v>
      </c>
      <c r="ADS13" s="1051">
        <f t="shared" si="400"/>
        <v>19176.595246199609</v>
      </c>
      <c r="ADT13" s="1051">
        <f t="shared" si="400"/>
        <v>19096.02524619961</v>
      </c>
      <c r="ADU13" s="1051">
        <f t="shared" si="400"/>
        <v>16448.913246199609</v>
      </c>
      <c r="ADV13" s="1051">
        <f t="shared" si="400"/>
        <v>16817.306246199609</v>
      </c>
      <c r="ADW13" s="1051">
        <f t="shared" si="400"/>
        <v>15516.746246199607</v>
      </c>
      <c r="ADX13" s="1051">
        <f t="shared" si="400"/>
        <v>15340.694246199608</v>
      </c>
      <c r="ADY13" s="1051">
        <f t="shared" si="400"/>
        <v>14732.551246199608</v>
      </c>
      <c r="ADZ13" s="1051">
        <f t="shared" si="400"/>
        <v>14848.199246199609</v>
      </c>
      <c r="AEA13" s="1051">
        <f t="shared" si="400"/>
        <v>13128.235246199609</v>
      </c>
      <c r="AEB13" s="1051">
        <f t="shared" si="400"/>
        <v>13083.267246199608</v>
      </c>
      <c r="AEC13" s="1051">
        <f xml:space="preserve"> AEB13+AEC9-(AEC11*(1-AEC6))-1000</f>
        <v>11449.745246199607</v>
      </c>
      <c r="AED13" s="1051">
        <f t="shared" si="400"/>
        <v>12261.993246199607</v>
      </c>
      <c r="AEE13" s="1051">
        <f xml:space="preserve"> AED13+AEE9-(AEE11*(1-AEE6))-1000</f>
        <v>11018.310246199606</v>
      </c>
      <c r="AEF13" s="1051">
        <f t="shared" si="400"/>
        <v>11962.310246199606</v>
      </c>
      <c r="AEG13" s="1051">
        <f xml:space="preserve"> AEF13+AEG9-(AEG11*(1-AEG6))-1000</f>
        <v>10366.865246199606</v>
      </c>
      <c r="AEH13" s="1051">
        <f t="shared" si="400"/>
        <v>10975.921746199607</v>
      </c>
      <c r="AEI13" s="1051">
        <f xml:space="preserve"> AEH13+AEI9-(AEI11*(1-AEI6))-1000</f>
        <v>9456.8367461996095</v>
      </c>
      <c r="AEJ13" s="1051">
        <f t="shared" si="400"/>
        <v>10020.421746199609</v>
      </c>
      <c r="AEK13" s="1051">
        <f xml:space="preserve"> AEJ13+AEK9-(AEK11*(1-AEK6))-1000</f>
        <v>8291.4837461996085</v>
      </c>
      <c r="AEL13" s="1051">
        <f t="shared" si="400"/>
        <v>9578.043746199608</v>
      </c>
      <c r="AEM13" s="1051">
        <f t="shared" si="400"/>
        <v>9433.736246199609</v>
      </c>
      <c r="AEN13" s="1051">
        <f t="shared" si="400"/>
        <v>10722.536246199608</v>
      </c>
      <c r="AEO13" s="1051">
        <f xml:space="preserve"> AEN13+AEO9-(AEO11*(1-AEO6))-1000</f>
        <v>8296.6562461996073</v>
      </c>
      <c r="AEP13" s="1051">
        <f t="shared" si="400"/>
        <v>8946.9842461996086</v>
      </c>
      <c r="AEQ13" s="1051">
        <f xml:space="preserve"> AEP13+AEQ9-(AEQ11*(1-AEQ6))-500</f>
        <v>7639.4192461996081</v>
      </c>
      <c r="AER13" s="1051">
        <f xml:space="preserve"> AEQ13+AER9-(AER11*(1-AER6))-1000</f>
        <v>7827.0072461996078</v>
      </c>
      <c r="AES13" s="1051">
        <f xml:space="preserve"> AER13+AES9-(AES11*(1-AES6))-1000</f>
        <v>6817.3332461996079</v>
      </c>
      <c r="AET13" s="1051">
        <f xml:space="preserve"> AES13+AET9-(AET11*(1-AET6))-1000</f>
        <v>6280.7732461996075</v>
      </c>
      <c r="AEU13" s="1051">
        <f xml:space="preserve"> AET13+AEU9-(AEU11*(1-AEU6))</f>
        <v>3349.1332461996071</v>
      </c>
      <c r="AEV13" s="1051">
        <f xml:space="preserve"> AEU13+AEV9-(AEV11*(1-AEV6))-600</f>
        <v>4293.8947461996067</v>
      </c>
      <c r="AEW13" s="1051">
        <f xml:space="preserve"> AEV13+AEW9-(AEW11*(1-AEW6))-600</f>
        <v>4656.779746199607</v>
      </c>
      <c r="AEX13" s="1051">
        <f xml:space="preserve"> AEW13+AEX9-(AEX11*(1-AEX6))-600</f>
        <v>5465.1497461996069</v>
      </c>
      <c r="AEY13" s="1051">
        <f xml:space="preserve"> AEX13+AEY9-(AEY11*(1-AEY6))</f>
        <v>4071.8797461996082</v>
      </c>
      <c r="AEZ13" s="1051">
        <f xml:space="preserve"> AEY13+AEZ9-(AEZ11*(1-AEZ6))</f>
        <v>4224.2942461996081</v>
      </c>
      <c r="AFA13" s="1051">
        <f xml:space="preserve"> AEZ13+AFA9-(AFA11*(1-AFA6))+1700</f>
        <v>8495.6452461996087</v>
      </c>
      <c r="AFB13" s="1051">
        <f t="shared" ref="AFB13:AFI13" si="401" xml:space="preserve"> AFA13+AFB9-(AFB11*(1-AFB6))</f>
        <v>7422.9787461996093</v>
      </c>
      <c r="AFC13" s="1051">
        <f t="shared" si="401"/>
        <v>7610.6677461996096</v>
      </c>
      <c r="AFD13" s="1051">
        <f t="shared" si="401"/>
        <v>8135.3277461996095</v>
      </c>
      <c r="AFE13" s="1051">
        <f t="shared" si="401"/>
        <v>8035.7677461996091</v>
      </c>
      <c r="AFF13" s="1051">
        <f t="shared" si="401"/>
        <v>8684.0877461996097</v>
      </c>
      <c r="AFG13" s="1051">
        <f t="shared" si="401"/>
        <v>7177.2877461996095</v>
      </c>
      <c r="AFH13" s="1051">
        <f t="shared" si="401"/>
        <v>7591.6077461996101</v>
      </c>
      <c r="AFI13" s="1051">
        <f t="shared" si="401"/>
        <v>8776.147746199611</v>
      </c>
      <c r="AFJ13" s="1051">
        <f xml:space="preserve"> AFI13+AFJ9-(AFJ11*(1-AFJ6))-1700</f>
        <v>7980.3477461996117</v>
      </c>
      <c r="AFK13" s="1051">
        <f xml:space="preserve"> AFJ13+AFK9-(AFK11*(1-AFK6))+550</f>
        <v>7230.5877461996115</v>
      </c>
      <c r="AFL13" s="1051">
        <f xml:space="preserve"> AFK13+AFL9-(AFL11*(1-AFL6))-200</f>
        <v>7469.0877461996115</v>
      </c>
      <c r="AFM13" s="1051">
        <f xml:space="preserve"> AFL13+AFM9-(AFM11*(1-AFM6))</f>
        <v>6232.5877461996115</v>
      </c>
      <c r="AFN13" s="1051">
        <f xml:space="preserve"> AFM13+AFN9-(AFN11*(1-AFN6))-650</f>
        <v>5688.0877461996115</v>
      </c>
      <c r="AFO13" s="1051">
        <f xml:space="preserve"> AFN13+AFO9-(AFO11*(1-AFO6))+700</f>
        <v>4693.9277461996116</v>
      </c>
      <c r="AFP13" s="1051">
        <f xml:space="preserve"> AFO13+AFP9-(AFP11*(1-AFP6))-700</f>
        <v>4543.8077461996118</v>
      </c>
      <c r="AFQ13" s="1051">
        <f xml:space="preserve"> AFP13+AFQ9-(AFQ11*(1-AFQ6))</f>
        <v>3748.2877461996104</v>
      </c>
      <c r="AFR13" s="1051">
        <f xml:space="preserve"> AFQ13+AFR9-(AFR11*(1-AFR6))-1700</f>
        <v>3695.8577461996101</v>
      </c>
      <c r="AFS13" s="1051">
        <f xml:space="preserve"> AFR13+AFS9-(AFS11*(1-AFS6))</f>
        <v>2015.2976461996095</v>
      </c>
      <c r="AFT13" s="1051">
        <f xml:space="preserve"> AFS13+AFT9-(AFT11*(1-AFT6))+500</f>
        <v>3657.1376461996097</v>
      </c>
      <c r="AFU13" s="1051">
        <f xml:space="preserve"> AFT13+AFU9-(AFU11*(1-AFU6))</f>
        <v>3201.8576461996099</v>
      </c>
      <c r="AFV13" s="1051">
        <f xml:space="preserve"> AFU13+AFV9-(AFV11*(1-AFV6))-250</f>
        <v>4068.6976461996092</v>
      </c>
      <c r="AFW13" s="1051">
        <f xml:space="preserve"> AFV13+AFW9-(AFW11*(1-AFW6))+1300</f>
        <v>3023.4226461996086</v>
      </c>
      <c r="AFX13" s="1047">
        <f xml:space="preserve"> AFW13+AFX9-(AFX11*(1-AFX6))+2500</f>
        <v>7693.4226461996077</v>
      </c>
      <c r="AFY13" s="1047">
        <f xml:space="preserve"> AFX13+AFY9-(AFY11*(1-AFY6))-700</f>
        <v>7980.1226461996084</v>
      </c>
      <c r="AFZ13" s="1047">
        <f xml:space="preserve"> AFY13+AFZ9-(AFZ11*(1-AFZ6))-1110</f>
        <v>7410.7226461996088</v>
      </c>
      <c r="AGA13" s="1047">
        <f xml:space="preserve"> AFZ13+AGA9-(AGA11*(1-AGA6))-1110</f>
        <v>5507.522646199609</v>
      </c>
      <c r="AGB13" s="1047">
        <f xml:space="preserve"> AGA13+AGB9-(AGB11*(1-AGB6))</f>
        <v>6359.5126461996097</v>
      </c>
      <c r="AGC13" s="1047">
        <f xml:space="preserve"> AGB13+AGC9-(AGC11*(1-AGC6))</f>
        <v>6179.8026461996096</v>
      </c>
      <c r="AGD13" s="1047">
        <f xml:space="preserve"> AGC13+AGD9-(AGD11*(1-AGD6))</f>
        <v>6910.3026461996087</v>
      </c>
      <c r="AGE13" s="1052">
        <f xml:space="preserve"> AGD13+AGE9-(AGE11*(1-AGE6))-300</f>
        <v>5802.0026461996085</v>
      </c>
      <c r="AGF13" s="1051">
        <f xml:space="preserve"> AGE13+AGF9-(AGF11*(1-AGF6))-300</f>
        <v>6975.0726461996092</v>
      </c>
      <c r="AGG13" s="1051">
        <f xml:space="preserve"> AGF13+AGG9-(AGG11*(1-AGG6))-300</f>
        <v>5954.8426461996087</v>
      </c>
      <c r="AGH13" s="1051">
        <f xml:space="preserve"> AGG13+AGH9-(AGH11*(1-AGH6))-300</f>
        <v>5670.9626461996095</v>
      </c>
      <c r="AGI13" s="1051">
        <f xml:space="preserve"> AGH13+AGI9-(AGI11*(1-AGI6))-200</f>
        <v>4611.4026461996082</v>
      </c>
      <c r="AGJ13" s="1051">
        <f xml:space="preserve"> AGI13+AGJ9-(AGJ11*(1-AGJ6))+100</f>
        <v>4860.6076461996072</v>
      </c>
      <c r="AGK13" s="1051">
        <f xml:space="preserve"> AGJ13+AGK9-(AGK11*(1-AGK6))+2000</f>
        <v>9038.0776461996065</v>
      </c>
      <c r="AGL13" s="1051">
        <f xml:space="preserve"> AGK13+AGL9-(AGL11*(1-AGL6))-1500</f>
        <v>7687.0776461996065</v>
      </c>
      <c r="AGM13" s="1051">
        <f xml:space="preserve"> AGL13+AGM9-(AGM11*(1-AGM6))-100</f>
        <v>8836.3776461996058</v>
      </c>
      <c r="AGN13" s="1051">
        <f xml:space="preserve"> AGM13+AGN9-(AGN11*(1-AGN6))</f>
        <v>8556.842646199606</v>
      </c>
      <c r="AGO13" s="1051">
        <f xml:space="preserve"> AGN13+AGO9-(AGO11*(1-AGO6))-1100</f>
        <v>5901.6926461996054</v>
      </c>
      <c r="AGP13" s="1051">
        <f xml:space="preserve"> AGO13+AGP9-(AGP11*(1-AGP6))</f>
        <v>5631.0626461996044</v>
      </c>
      <c r="AGQ13" s="1051">
        <f xml:space="preserve"> AGP13+AGQ9-(AGQ11*(1-AGQ6))+1000</f>
        <v>4987.8226461996037</v>
      </c>
      <c r="AGR13" s="1051">
        <f xml:space="preserve"> AGQ13+AGR9-(AGR11*(1-AGR6))+800</f>
        <v>5821.9026461996036</v>
      </c>
      <c r="AGS13" s="1051">
        <f xml:space="preserve"> AGR13+AGS9-(AGS11*(1-AGS6))</f>
        <v>5724.4226461996041</v>
      </c>
      <c r="AGT13" s="1051">
        <f xml:space="preserve"> AGS13+AGT9-(AGT11*(1-AGT6))+800</f>
        <v>6878.9826461996036</v>
      </c>
      <c r="AGU13" s="1051">
        <f xml:space="preserve"> AGT13+AGU9-(AGU11*(1-AGU6))+420</f>
        <v>7013.9726461996033</v>
      </c>
      <c r="AGV13" s="1051">
        <f t="shared" ref="AGV13:AHA13" si="402" xml:space="preserve"> AGU13+AGV9-(AGV11*(1-AGV6))</f>
        <v>7694.0726461996028</v>
      </c>
      <c r="AGW13" s="1051">
        <f t="shared" si="402"/>
        <v>7612.9976461996021</v>
      </c>
      <c r="AGX13" s="1051">
        <f t="shared" si="402"/>
        <v>6713.5676461996009</v>
      </c>
      <c r="AGY13" s="1051">
        <f t="shared" si="402"/>
        <v>7667.4676461996005</v>
      </c>
      <c r="AGZ13" s="1051">
        <f t="shared" si="402"/>
        <v>6348.8426461996005</v>
      </c>
      <c r="AHA13" s="1051">
        <f t="shared" si="402"/>
        <v>6884.9426461995999</v>
      </c>
      <c r="AHB13" s="1051">
        <f xml:space="preserve"> AHA13+AHB9-(AHB11*(1-AHB6))+783</f>
        <v>9189.7726461996008</v>
      </c>
      <c r="AHC13" s="1051">
        <f t="shared" ref="AHC13:AHI13" si="403" xml:space="preserve"> AHB13+AHC9-(AHC11*(1-AHC6))</f>
        <v>9355.7726461996008</v>
      </c>
      <c r="AHD13" s="1051">
        <f xml:space="preserve"> AHC13+AHD9-(AHD11*(1-AHD6))-3007</f>
        <v>6527.2776461996</v>
      </c>
      <c r="AHE13" s="1051">
        <f xml:space="preserve"> AHD13+AHE9-(AHE11*(1-AHE6))+2828</f>
        <v>9456.9576461996003</v>
      </c>
      <c r="AHF13" s="1051">
        <f t="shared" si="403"/>
        <v>9628.7026461995993</v>
      </c>
      <c r="AHG13" s="1051">
        <f t="shared" si="403"/>
        <v>8396.2626461996006</v>
      </c>
      <c r="AHH13" s="1051">
        <f t="shared" si="403"/>
        <v>9124.7326461996017</v>
      </c>
      <c r="AHI13" s="1051">
        <f t="shared" si="403"/>
        <v>7376.9976461996011</v>
      </c>
      <c r="AHJ13" s="1051">
        <f xml:space="preserve"> AHI13+AHJ9-(AHJ11*(1-AHJ6))+1748</f>
        <v>8777.8476461995997</v>
      </c>
      <c r="AHK13" s="1051">
        <f xml:space="preserve"> AHJ13+AHK9-(AHK11*(1-AHK6))+347</f>
        <v>7664.3476461995997</v>
      </c>
      <c r="AHL13" s="1051">
        <f xml:space="preserve"> AHK13+AHL9-(AHL11*(1-AHL6))-287</f>
        <v>8213.7226461995997</v>
      </c>
      <c r="AHM13" s="1051">
        <f xml:space="preserve"> AHL13+AHM9-(AHM11*(1-AHM6))+564</f>
        <v>8123.2136461995997</v>
      </c>
      <c r="AHN13" s="1051">
        <f xml:space="preserve"> AHM13+AHN9-(AHN11*(1-AHN6))+41</f>
        <v>9302.0536461995998</v>
      </c>
      <c r="AHO13" s="1051">
        <f xml:space="preserve"> AHN13+AHO9-(AHO11*(1-AHO6))-589</f>
        <v>7490.6046461995993</v>
      </c>
      <c r="AHP13" s="1051">
        <f xml:space="preserve"> AHO13+AHP9-(AHP11*(1-AHP6))-868</f>
        <v>5418.2526461995985</v>
      </c>
      <c r="AHQ13" s="1051">
        <f xml:space="preserve"> AHP13+AHQ9-(AHQ11*(1-AHQ6))+1184</f>
        <v>4779.6626461995984</v>
      </c>
      <c r="AHR13" s="1051">
        <f xml:space="preserve"> AHQ13+AHR9-(AHR11*(1-AHR6))+111</f>
        <v>4317.9026461995982</v>
      </c>
      <c r="AHS13" s="1051">
        <f xml:space="preserve"> AHR13+AHS9-(AHS11*(1-AHS6))+801</f>
        <v>3835.3646461995977</v>
      </c>
      <c r="AHT13" s="1051">
        <f xml:space="preserve"> AHS13+AHT9-(AHT11*(1-AHT6))-56</f>
        <v>4960.7246461995974</v>
      </c>
      <c r="AHU13" s="1051">
        <f xml:space="preserve"> AHT13+AHU9-(AHU11*(1-AHU6))+557</f>
        <v>3908.0446461995962</v>
      </c>
      <c r="AHV13" s="1051">
        <f xml:space="preserve"> AHU13+AHV9-(AHV11*(1-AHV6))+727</f>
        <v>3520.0846461995952</v>
      </c>
      <c r="AHW13" s="1051">
        <f xml:space="preserve"> AHV13+AHW9-(AHW11*(1-AHW6))+941</f>
        <v>2425.3546461995957</v>
      </c>
      <c r="AHX13" s="1051">
        <f xml:space="preserve"> AHW13+AHX9-(AHX11*(1-AHX6))-317</f>
        <v>2138.2746461995957</v>
      </c>
      <c r="AHY13" s="1051">
        <f xml:space="preserve"> AHX13+AHY9-(AHY11*(1-AHY6))+3800</f>
        <v>8639.8346461995952</v>
      </c>
      <c r="AHZ13" s="1051">
        <f xml:space="preserve"> AHY13+AHZ9-(AHZ11*(1-AHZ6))+200</f>
        <v>6629.1046461995957</v>
      </c>
      <c r="AIA13" s="1051">
        <f xml:space="preserve"> AHZ13+AIA9-(AIA11*(1-AIA6))</f>
        <v>7028.244646199596</v>
      </c>
      <c r="AIB13" s="1051">
        <f xml:space="preserve"> AIA13+AIB9-(AIB11*(1-AIB6))+1000</f>
        <v>10779.324646199597</v>
      </c>
      <c r="AIC13" s="1051">
        <f xml:space="preserve"> AIB13+AIC9-(AIC11*(1-AIC6))</f>
        <v>8948.4746461995946</v>
      </c>
      <c r="AID13" s="1051">
        <f t="shared" ref="AID13:AIH13" si="404" xml:space="preserve"> AIC13+AID9-(AID11*(1-AID6))</f>
        <v>8248.3246461995968</v>
      </c>
      <c r="AIE13" s="1051">
        <f t="shared" si="404"/>
        <v>6940.2346461995967</v>
      </c>
      <c r="AIF13" s="1051">
        <f t="shared" si="404"/>
        <v>6286.0246461995966</v>
      </c>
      <c r="AIG13" s="1051">
        <f t="shared" si="404"/>
        <v>3841.0246461995957</v>
      </c>
      <c r="AIH13" s="1051">
        <f t="shared" si="404"/>
        <v>3570.5996461995956</v>
      </c>
      <c r="AII13" s="1051">
        <f xml:space="preserve"> AIH13+AII9-(AII11*(1-AII6))+500</f>
        <v>3241.999646199597</v>
      </c>
      <c r="AIJ13" s="1051">
        <f xml:space="preserve"> AII13+AIJ9-(AIJ11*(1-AIJ6))+100</f>
        <v>3545.6596461995978</v>
      </c>
      <c r="AIK13" s="1051">
        <f t="shared" ref="AIK13" si="405" xml:space="preserve"> AIJ13+AIK9-(AIK11*(1-AIK6))+100</f>
        <v>2349.2596461995981</v>
      </c>
      <c r="AIL13" s="1051">
        <f xml:space="preserve"> AIK13+AIL9-(AIL11*(1-AIL6))+1600</f>
        <v>5993.6096461995985</v>
      </c>
      <c r="AIM13" s="1051">
        <f xml:space="preserve"> AIL13+AIM9-(AIM11*(1-AIM6))</f>
        <v>4111.7296461995984</v>
      </c>
      <c r="AIN13" s="1051">
        <f xml:space="preserve"> AIM13+AIN9-(AIN11*(1-AIN6))+600</f>
        <v>3995.3496461995974</v>
      </c>
      <c r="AIO13" s="1051">
        <f xml:space="preserve"> AIN13+AIO9-(AIO11*(1-AIO6))+1400</f>
        <v>3362.5996461995965</v>
      </c>
      <c r="AIP13" s="1051">
        <f xml:space="preserve"> AIO13+AIP9-(AIP11*(1-AIP6))+1200</f>
        <v>3177.6396461995964</v>
      </c>
      <c r="AIQ13" s="1051">
        <f xml:space="preserve"> AIP13+AIQ9-(AIQ11*(1-AIQ6))</f>
        <v>2060.5096461995972</v>
      </c>
      <c r="AIR13" s="1051">
        <f xml:space="preserve"> AIQ13+AIR9-(AIR11*(1-AIR6))</f>
        <v>3121.5296461995968</v>
      </c>
      <c r="AIS13" s="1051">
        <f xml:space="preserve"> AIR13+AIS9-(AIS11*(1-AIS6))</f>
        <v>3178.9296461995973</v>
      </c>
      <c r="AIT13" s="1051">
        <f xml:space="preserve"> AIS13+AIT9-(AIT11*(1-AIT6))</f>
        <v>3361.0496461995981</v>
      </c>
      <c r="AIU13" s="1051">
        <f xml:space="preserve"> AIT13+AIU9-(AIU11*(1-AIU6))+800</f>
        <v>4050.7296461995966</v>
      </c>
      <c r="AIV13" s="1051">
        <f xml:space="preserve"> AIU13+AIV9-(AIV11*(1-AIV6))</f>
        <v>4380.7776461995973</v>
      </c>
      <c r="AIW13" s="1051">
        <f xml:space="preserve"> AIV13+AIW9-(AIW11*(1-AIW6))+1000</f>
        <v>3256.6676461995967</v>
      </c>
      <c r="AIX13" s="1051">
        <f xml:space="preserve"> AIW13+AIX9-(AIX11*(1-AIX6))+1500</f>
        <v>4382.5676461995963</v>
      </c>
      <c r="AIY13" s="1051">
        <f xml:space="preserve"> AIX13+AIY9-(AIY11*(1-AIY6))+200</f>
        <v>4067.3376461995967</v>
      </c>
      <c r="AIZ13" s="1051">
        <f xml:space="preserve"> AIY13+AIZ9-(AIZ11*(1-AIZ6))+1400</f>
        <v>3607.9876461995982</v>
      </c>
      <c r="AJA13" s="1051">
        <f xml:space="preserve"> AIZ13+AJA9-(AJA11*(1-AJA6))</f>
        <v>4092.147646199599</v>
      </c>
      <c r="AJB13" s="1051">
        <f xml:space="preserve"> AJA13+AJB9-(AJB11*(1-AJB6))</f>
        <v>3981.5626461995989</v>
      </c>
      <c r="AJC13" s="1051">
        <f xml:space="preserve"> AJB13+AJC9-(AJC11*(1-AJC6))+1300</f>
        <v>3616.5276461996</v>
      </c>
      <c r="AJD13" s="1051">
        <f xml:space="preserve"> AJC13+AJD9-(AJD11*(1-AJD6))+1300</f>
        <v>3445.6476461995999</v>
      </c>
      <c r="AJE13" s="1051">
        <f xml:space="preserve"> AJD13+AJE9-(AJE11*(1-AJE6))+500</f>
        <v>4212.5276461995991</v>
      </c>
      <c r="AJF13" s="1051">
        <f xml:space="preserve"> AJE13+AJF9-(AJF11*(1-AJF6))</f>
        <v>5490.9376461995998</v>
      </c>
      <c r="AJG13" s="1051">
        <f xml:space="preserve"> AJF13+AJG9-(AJG11*(1-AJG6))</f>
        <v>5000.8526461995998</v>
      </c>
      <c r="AJH13" s="1051">
        <f xml:space="preserve"> AJG13+AJH9-(AJH11*(1-AJH6))</f>
        <v>3456.5226461996008</v>
      </c>
      <c r="AJI13" s="1051">
        <f xml:space="preserve"> AJH13+AJI9-(AJI11*(1-AJI6))+600</f>
        <v>3292.2626461996006</v>
      </c>
      <c r="AJJ13" s="1051">
        <f t="shared" ref="AJJ13:AJN13" si="406" xml:space="preserve"> AJI13+AJJ9-(AJJ11*(1-AJJ6))+990</f>
        <v>3250.1526461996</v>
      </c>
      <c r="AJK13" s="1051">
        <f t="shared" si="406"/>
        <v>4099.9246461995999</v>
      </c>
      <c r="AJL13" s="1051">
        <f t="shared" si="406"/>
        <v>4091.1426461996007</v>
      </c>
      <c r="AJM13" s="1051">
        <f xml:space="preserve"> AJL13+AJM9-(AJM11*(1-AJM6))+990</f>
        <v>2713.4026461996018</v>
      </c>
      <c r="AJN13" s="1051">
        <f t="shared" si="406"/>
        <v>3388.7276461996025</v>
      </c>
      <c r="AJO13" s="1051">
        <f xml:space="preserve"> AJN13+AJO9-(AJO11*(1-AJO6))</f>
        <v>4977.4776461996025</v>
      </c>
      <c r="AJP13" s="1051">
        <f xml:space="preserve"> AJO13+AJP9-(AJP11*(1-AJP6))</f>
        <v>3441.533646199603</v>
      </c>
      <c r="AJQ13" s="1051">
        <f xml:space="preserve"> AJP13+AJQ9-(AJQ11*(1-AJQ6))</f>
        <v>3380.3496461996028</v>
      </c>
      <c r="AJR13" s="1051">
        <f xml:space="preserve"> AJQ13+AJR9-(AJR11*(1-AJR6))+1000</f>
        <v>1715.1696461996034</v>
      </c>
      <c r="AJS13" s="1051">
        <f xml:space="preserve"> AJR13+AJS9-(AJS11*(1-AJS6))</f>
        <v>1932.5196461996034</v>
      </c>
      <c r="AJT13" s="1051">
        <f xml:space="preserve"> AJS13+AJT9-(AJT11*(1-AJT6))+700</f>
        <v>1207.0896461996044</v>
      </c>
      <c r="AJU13" s="1051">
        <f xml:space="preserve"> AJT13+AJU9-(AJU11*(1-AJU6))+700</f>
        <v>1609.8633461996042</v>
      </c>
      <c r="AJV13" s="1051">
        <f xml:space="preserve"> AJU13+AJV9-(AJV11*(1-AJV6))+500</f>
        <v>1595.2633461996047</v>
      </c>
      <c r="AJW13" s="1051">
        <f t="shared" ref="AJW13:AKD13" si="407" xml:space="preserve"> AJV13+AJW9-(AJW11*(1-AJW6))</f>
        <v>1626.0133461996047</v>
      </c>
      <c r="AJX13" s="1051">
        <f t="shared" si="407"/>
        <v>1241.0233461996049</v>
      </c>
      <c r="AJY13" s="1051">
        <f t="shared" si="407"/>
        <v>2075.1883461996049</v>
      </c>
      <c r="AJZ13" s="1051">
        <f t="shared" si="407"/>
        <v>2590.6283461996036</v>
      </c>
      <c r="AKA13" s="1051">
        <f t="shared" si="407"/>
        <v>1723.1283461996027</v>
      </c>
      <c r="AKB13" s="1051">
        <f t="shared" si="407"/>
        <v>2302.5283461996032</v>
      </c>
      <c r="AKC13" s="1051">
        <f t="shared" si="407"/>
        <v>3110.1683461996045</v>
      </c>
      <c r="AKD13" s="1051">
        <f t="shared" si="407"/>
        <v>2425.1683461996035</v>
      </c>
      <c r="AKE13" s="1051">
        <f xml:space="preserve"> AKD13+AKE9-(AKE11*(1-AKE6))+500</f>
        <v>3384.1123461996031</v>
      </c>
      <c r="AKF13" s="1051">
        <f xml:space="preserve"> AKE13+AKF9-(AKF11*(1-AKF6))+500</f>
        <v>3786.3623461996031</v>
      </c>
      <c r="AKG13" s="1051">
        <f xml:space="preserve"> AKF13+AKG9-(AKG11*(1-AKG6))+500</f>
        <v>3556.322346199604</v>
      </c>
      <c r="AKH13" s="1051">
        <f xml:space="preserve"> AKG13+AKH9-(AKH11*(1-AKH6))+500</f>
        <v>4673.5063461996042</v>
      </c>
      <c r="AKI13" s="1051">
        <f xml:space="preserve"> AKH13+AKI9-(AKI11*(1-AKI6))+500</f>
        <v>3676.7023461996032</v>
      </c>
      <c r="AKJ13" s="1051">
        <f xml:space="preserve"> AKI13+AKJ9-(AKJ11*(1-AKJ6))+600</f>
        <v>3034.8023461996036</v>
      </c>
      <c r="AKK13" s="1051">
        <f xml:space="preserve"> AKJ13+AKK9-(AKK11*(1-AKK6))+600</f>
        <v>3235.9173461996033</v>
      </c>
      <c r="AKL13" s="1051">
        <f t="shared" ref="AKL13:AKP13" si="408" xml:space="preserve"> AKK13+AKL9-(AKL11*(1-AKL6))+1600</f>
        <v>3571.2533461996036</v>
      </c>
      <c r="AKM13" s="1051">
        <f t="shared" si="408"/>
        <v>5667.1933461996032</v>
      </c>
      <c r="AKN13" s="1051">
        <f t="shared" si="408"/>
        <v>7224.7433461996034</v>
      </c>
      <c r="AKO13" s="1051">
        <f t="shared" si="408"/>
        <v>7777.5273461996048</v>
      </c>
      <c r="AKP13" s="1051">
        <f t="shared" si="408"/>
        <v>9028.4073461996049</v>
      </c>
      <c r="AKQ13" s="1051">
        <f xml:space="preserve"> AKP13+AKQ10-(AKQ11*(1-AKQ6))</f>
        <v>7816.6323461996062</v>
      </c>
      <c r="AKR13" s="1051">
        <f t="shared" ref="AKR13:ALL13" si="409" xml:space="preserve"> AKQ13+AKR10-(AKR11*(1-AKR6))</f>
        <v>8846.560346199607</v>
      </c>
      <c r="AKS13" s="1051">
        <f t="shared" si="409"/>
        <v>6692.9703461996069</v>
      </c>
      <c r="AKT13" s="1051">
        <f t="shared" si="409"/>
        <v>8070.9503461996064</v>
      </c>
      <c r="AKU13" s="1051">
        <f t="shared" si="409"/>
        <v>6564.5113461996079</v>
      </c>
      <c r="AKV13" s="1051">
        <f t="shared" si="409"/>
        <v>4343.8573461996093</v>
      </c>
      <c r="AKW13" s="1051">
        <f t="shared" si="409"/>
        <v>6259.4533461996107</v>
      </c>
      <c r="AKX13" s="1051">
        <f t="shared" si="409"/>
        <v>7891.437346199612</v>
      </c>
      <c r="AKY13" s="1051">
        <f t="shared" si="409"/>
        <v>7765.8373461996125</v>
      </c>
      <c r="AKZ13" s="1051">
        <f t="shared" si="409"/>
        <v>9367.1173461996132</v>
      </c>
      <c r="ALA13" s="1051">
        <f t="shared" si="409"/>
        <v>8628.9573461996151</v>
      </c>
      <c r="ALB13" s="1051">
        <f t="shared" si="409"/>
        <v>9979.3573461996148</v>
      </c>
      <c r="ALC13" s="1051">
        <f t="shared" si="409"/>
        <v>10240.252346199615</v>
      </c>
      <c r="ALD13" s="1051">
        <f t="shared" si="409"/>
        <v>12638.416346199614</v>
      </c>
      <c r="ALE13" s="1051">
        <f t="shared" si="409"/>
        <v>13369.124346199616</v>
      </c>
      <c r="ALF13" s="1051">
        <f t="shared" si="409"/>
        <v>15156.274346199618</v>
      </c>
      <c r="ALG13" s="1051">
        <f t="shared" si="409"/>
        <v>13286.894346199617</v>
      </c>
      <c r="ALH13" s="1051">
        <f t="shared" si="409"/>
        <v>12274.483646199616</v>
      </c>
      <c r="ALI13" s="1051">
        <f t="shared" si="409"/>
        <v>8409.6336461996179</v>
      </c>
      <c r="ALJ13" s="1051">
        <f t="shared" si="409"/>
        <v>8532.9336461996172</v>
      </c>
      <c r="ALK13" s="1051">
        <f t="shared" si="409"/>
        <v>5384.968646199618</v>
      </c>
      <c r="ALL13" s="1051">
        <f t="shared" si="409"/>
        <v>5547.8316461996183</v>
      </c>
      <c r="ALM13" s="1051">
        <f xml:space="preserve"> ALL13+ALM10-(ALM11*(1-ALM6))+2000</f>
        <v>5388.6716461996202</v>
      </c>
      <c r="ALN13" s="1051">
        <f xml:space="preserve"> ALM13+ALN10-(ALN11*(1-ALN6))+2000</f>
        <v>9834.0216461996206</v>
      </c>
      <c r="ALO13" s="1051">
        <f t="shared" ref="ALO13:ALT13" si="410" xml:space="preserve"> ALN13+ALO10-(ALO11*(1-ALO6))</f>
        <v>9155.9824461996213</v>
      </c>
      <c r="ALP13" s="1051">
        <f t="shared" si="410"/>
        <v>9548.7904461996204</v>
      </c>
      <c r="ALQ13" s="1051">
        <f t="shared" si="410"/>
        <v>9247.5254461996192</v>
      </c>
      <c r="ALR13" s="1051">
        <f t="shared" si="410"/>
        <v>9807.1934461996207</v>
      </c>
      <c r="ALS13" s="1051">
        <f t="shared" si="410"/>
        <v>9710.3934461996214</v>
      </c>
      <c r="ALT13" s="1051">
        <f t="shared" si="410"/>
        <v>11324.621446199622</v>
      </c>
      <c r="ALU13" s="1051">
        <f t="shared" ref="ALU13:ALW13" si="411" xml:space="preserve"> ALT13+ALU10-(ALU11*(1-ALU6))</f>
        <v>11339.02144619962</v>
      </c>
      <c r="ALV13" s="1051">
        <f t="shared" si="411"/>
        <v>11993.841446199622</v>
      </c>
      <c r="ALW13" s="1051">
        <f t="shared" si="411"/>
        <v>11393.90644619962</v>
      </c>
      <c r="ALX13" s="1051">
        <f xml:space="preserve"> ALW13+ALX10-(ALX11*(1-ALX6))-1000</f>
        <v>11095.838446199623</v>
      </c>
      <c r="ALY13" s="1051">
        <f xml:space="preserve"> ALX13+ALY10-(ALY11*(1-ALY6))-1000</f>
        <v>8501.7184461996221</v>
      </c>
      <c r="ALZ13" s="1051">
        <f xml:space="preserve"> ALY13+ALZ10-(ALZ11*(1-ALZ6))-1000</f>
        <v>7489.5434461996228</v>
      </c>
      <c r="AMA13" s="1051">
        <f xml:space="preserve"> ALZ13+AMA10-(AMA11*(1-AMA6))-1000</f>
        <v>6022.8284461996227</v>
      </c>
      <c r="AMB13" s="1051">
        <f t="shared" ref="AMB13:AMN13" si="412" xml:space="preserve"> AMA13+AMB10-(AMB11*(1-AMB6))</f>
        <v>4530.6784461996222</v>
      </c>
      <c r="AMC13" s="1051">
        <f t="shared" si="412"/>
        <v>3699.6884461996242</v>
      </c>
      <c r="AMD13" s="1051">
        <f t="shared" si="412"/>
        <v>1708.0284461996225</v>
      </c>
      <c r="AME13" s="1051">
        <f t="shared" si="412"/>
        <v>474.43544619962358</v>
      </c>
      <c r="AMF13" s="1051">
        <f t="shared" si="412"/>
        <v>1216.8954461996245</v>
      </c>
      <c r="AMG13" s="1051">
        <f t="shared" si="412"/>
        <v>1347.0444461996258</v>
      </c>
      <c r="AMH13" s="1051">
        <f t="shared" si="412"/>
        <v>7161.6084461996252</v>
      </c>
      <c r="AMI13" s="1051">
        <f t="shared" si="412"/>
        <v>6331.3104461996245</v>
      </c>
      <c r="AMJ13" s="1051">
        <f t="shared" si="412"/>
        <v>3950.5529461996248</v>
      </c>
      <c r="AMK13" s="1051">
        <f t="shared" si="412"/>
        <v>3724.4923461996259</v>
      </c>
      <c r="AML13" s="1051">
        <f t="shared" si="412"/>
        <v>3660.3191461996266</v>
      </c>
      <c r="AMM13" s="1051">
        <f t="shared" si="412"/>
        <v>2037.4871461996263</v>
      </c>
      <c r="AMN13" s="1051">
        <f t="shared" si="412"/>
        <v>2192.2035461996275</v>
      </c>
      <c r="AMO13" s="1051">
        <f xml:space="preserve"> AMN13+AMO10-(AMO11*(1-AMO6))+2000</f>
        <v>2940.7905461996279</v>
      </c>
      <c r="AMP13" s="1051">
        <f xml:space="preserve"> AMO13+AMP10-(AMP11*(1-AMP6))+2000</f>
        <v>4069.9905461996277</v>
      </c>
      <c r="AMQ13" s="1051">
        <f xml:space="preserve"> AMP13+AMQ10-(AMQ11*(1-AMQ6))+2000</f>
        <v>5270.2935461996285</v>
      </c>
      <c r="AMR13" s="1051">
        <f xml:space="preserve"> AMQ13+AMR10-(AMR11*(1-AMR6))+2000</f>
        <v>6823.9759461996282</v>
      </c>
      <c r="AMS13" s="1051">
        <f xml:space="preserve"> AMR13+AMS10-(AMS11*(1-AMS6))-1500</f>
        <v>9225.4459461996303</v>
      </c>
      <c r="AMT13" s="1051">
        <f xml:space="preserve"> AMS13+AMT10-(AMT11*(1-AMT6))-1500</f>
        <v>8283.138746199631</v>
      </c>
      <c r="AMU13" s="1051">
        <f t="shared" ref="AMU13:AMZ13" si="413" xml:space="preserve"> AMT13+AMU10-(AMU11*(1-AMU6))</f>
        <v>8278.9347461996294</v>
      </c>
      <c r="AMV13" s="1051">
        <f t="shared" si="413"/>
        <v>8810.3327461996305</v>
      </c>
      <c r="AMW13" s="1051">
        <f t="shared" si="413"/>
        <v>7830.4367461996299</v>
      </c>
      <c r="AMX13" s="1051">
        <f t="shared" si="413"/>
        <v>7646.86174619963</v>
      </c>
      <c r="AMY13" s="1051">
        <f t="shared" si="413"/>
        <v>5377.1097461996287</v>
      </c>
      <c r="AMZ13" s="1051">
        <f t="shared" si="413"/>
        <v>4782.4487461996287</v>
      </c>
      <c r="ANA13" s="1051">
        <f xml:space="preserve"> AMZ13+ANA10-(ANA11*(1-ANA6))+1000</f>
        <v>3069.6529461996288</v>
      </c>
      <c r="ANB13" s="1051">
        <f xml:space="preserve"> ANA13+ANB10-(ANB11*(1-ANB6))+1000</f>
        <v>3156.4529461996299</v>
      </c>
      <c r="ANC13" s="1051">
        <f xml:space="preserve"> ANB13+ANC10-(ANC11*(1-ANC6))+3000</f>
        <v>4007.4977461996314</v>
      </c>
      <c r="AND13" s="1051">
        <f xml:space="preserve"> ANC13+AND10-(AND11*(1-AND6))+1500</f>
        <v>3384.8277461996313</v>
      </c>
      <c r="ANE13" s="1051">
        <f xml:space="preserve"> AND13+ANE10-(ANE11*(1-ANE6))+1500</f>
        <v>2731.3097461996313</v>
      </c>
      <c r="ANF13" s="1051">
        <f xml:space="preserve"> ANE13+ANF10-(ANF11*(1-ANF6))</f>
        <v>3193.509746199632</v>
      </c>
      <c r="ANG13" s="1051">
        <f xml:space="preserve"> ANF13+ANG10-(ANG11*(1-ANG6))</f>
        <v>2659.4047461996324</v>
      </c>
      <c r="ANH13" s="1051">
        <f xml:space="preserve"> ANG13+ANH10-(ANH11*(1-ANH6))</f>
        <v>2220.7667461996325</v>
      </c>
      <c r="ANI13" s="1051">
        <f xml:space="preserve"> ANH13+ANI10-(ANI11*(1-ANI6))</f>
        <v>1681.116746199632</v>
      </c>
      <c r="ANJ13" s="1051">
        <f xml:space="preserve"> ANI13+ANJ10-(ANJ11*(1-ANJ6))+2800</f>
        <v>1265.808746199632</v>
      </c>
      <c r="ANK13" s="1051">
        <f xml:space="preserve"> ANJ13+ANK10-(ANK11*(1-ANK6))-1000</f>
        <v>1221.0717461996319</v>
      </c>
      <c r="ANL13" s="1051">
        <f xml:space="preserve"> ANK13+ANL10-(ANL11*(1-ANL6))+1200</f>
        <v>1096.7057461996319</v>
      </c>
      <c r="ANM13" s="1051">
        <f xml:space="preserve"> ANL13+ANM10-(ANM11*(1-ANM6))+1200</f>
        <v>1348.5777461996322</v>
      </c>
      <c r="ANN13" s="1051">
        <f xml:space="preserve"> ANM13+ANN10-(ANN11*(1-ANN6))</f>
        <v>1174.5017461996322</v>
      </c>
      <c r="ANO13" s="1051">
        <f xml:space="preserve"> ANN13+ANO10-(ANO11*(1-ANO6))+800</f>
        <v>922.33914619963252</v>
      </c>
      <c r="ANP13" s="1051">
        <f xml:space="preserve"> ANO13+ANP10-(ANP11*(1-ANP6))+1900</f>
        <v>714.00214619963299</v>
      </c>
      <c r="ANQ13" s="1051">
        <f xml:space="preserve"> ANP13+ANQ10-(ANQ11*(1-ANQ6))-1000</f>
        <v>1946.0919461996327</v>
      </c>
      <c r="ANR13" s="1051">
        <f xml:space="preserve"> ANQ13+ANR10-(ANR11*(1-ANR6))</f>
        <v>2284.6063461996328</v>
      </c>
      <c r="ANS13" s="1051">
        <f xml:space="preserve"> ANR13+ANS10-(ANS11*(1-ANS6))</f>
        <v>2860.2063461996331</v>
      </c>
      <c r="ANT13" s="1051">
        <f xml:space="preserve"> ANS13+ANT10-(ANT11*(1-ANT6))</f>
        <v>2316.3839461996322</v>
      </c>
      <c r="ANU13" s="1051">
        <f xml:space="preserve"> ANT13+ANU10-(ANU11*(1-ANU6))+2500</f>
        <v>2043.0141461996318</v>
      </c>
      <c r="ANV13" s="1051">
        <f xml:space="preserve"> ANU13+ANV10-(ANV11*(1-ANV6))+2500</f>
        <v>5239.2641461996318</v>
      </c>
      <c r="ANW13" s="1051">
        <f xml:space="preserve"> ANV13+ANW10-(ANW11*(1-ANW6))+2000</f>
        <v>4960.3841461996326</v>
      </c>
      <c r="ANX13" s="1051">
        <f t="shared" ref="ANX13:AOC13" si="414" xml:space="preserve"> ANW13+ANX10-(ANX11*(1-ANX6))</f>
        <v>5221.5341461996331</v>
      </c>
      <c r="ANY13" s="1051">
        <f t="shared" si="414"/>
        <v>4603.702646199632</v>
      </c>
      <c r="ANZ13" s="1051">
        <f t="shared" si="414"/>
        <v>4518.0056461996319</v>
      </c>
      <c r="AOA13" s="1051">
        <f t="shared" si="414"/>
        <v>4128.0726461996319</v>
      </c>
      <c r="AOB13" s="1051">
        <f t="shared" si="414"/>
        <v>2137.2986461996334</v>
      </c>
      <c r="AOC13" s="1051">
        <f t="shared" si="414"/>
        <v>1895.1722461996342</v>
      </c>
      <c r="AOD13" s="1051">
        <f t="shared" ref="AOD13:AOL13" si="415" xml:space="preserve"> AOC13+AOD10-(AOD11*(1-AOD6))</f>
        <v>2199.9922461996348</v>
      </c>
      <c r="AOE13" s="1051">
        <f t="shared" si="415"/>
        <v>2072.5582461996346</v>
      </c>
      <c r="AOF13" s="1051">
        <f t="shared" si="415"/>
        <v>3827.3202461996352</v>
      </c>
      <c r="AOG13" s="1051">
        <f t="shared" si="415"/>
        <v>4296.7232461996346</v>
      </c>
      <c r="AOH13" s="1051">
        <f t="shared" si="415"/>
        <v>4140.4812461996353</v>
      </c>
      <c r="AOI13" s="1051">
        <f t="shared" si="415"/>
        <v>5597.9272461996379</v>
      </c>
      <c r="AOJ13" s="1051">
        <f t="shared" si="415"/>
        <v>6049.8502461996377</v>
      </c>
      <c r="AOK13" s="1051">
        <f t="shared" si="415"/>
        <v>6274.6502461996397</v>
      </c>
      <c r="AOL13" s="1051">
        <f t="shared" si="415"/>
        <v>5502.4852461996397</v>
      </c>
      <c r="AOM13" s="1051">
        <f xml:space="preserve"> AOL13+AOM10-(AOM11*(1-AOM6))+1500</f>
        <v>5466.6102461996397</v>
      </c>
      <c r="AON13" s="1051">
        <f t="shared" ref="AON13:AOS13" si="416" xml:space="preserve"> AOM13+AON10-(AON11*(1-AON6))+2000</f>
        <v>4682.3582461996393</v>
      </c>
      <c r="AOO13" s="1051">
        <f t="shared" si="416"/>
        <v>5401.4182461996406</v>
      </c>
      <c r="AOP13" s="1051">
        <f t="shared" si="416"/>
        <v>5807.9382461996411</v>
      </c>
      <c r="AOQ13" s="1051">
        <f t="shared" si="416"/>
        <v>6180.9332461996419</v>
      </c>
      <c r="AOR13" s="1051">
        <f t="shared" si="416"/>
        <v>7969.4652461996411</v>
      </c>
      <c r="AOS13" s="1051">
        <f t="shared" si="416"/>
        <v>8441.6252461996428</v>
      </c>
      <c r="AOT13" s="1051">
        <f t="shared" ref="AOT13" si="417" xml:space="preserve"> AOS13+AOT10-(AOT11*(1-AOT6))+2000</f>
        <v>9508.0202461996414</v>
      </c>
      <c r="AOU13" s="1051">
        <f t="shared" ref="AOU13:APA13" si="418" xml:space="preserve"> AOT13+AOU10-(AOU11*(1-AOU6))+0.0001</f>
        <v>8472.4943461996427</v>
      </c>
      <c r="AOV13" s="1051">
        <f t="shared" si="418"/>
        <v>7341.1794461996424</v>
      </c>
      <c r="AOW13" s="1051">
        <f t="shared" si="418"/>
        <v>5174.9285461996433</v>
      </c>
      <c r="AOX13" s="1051">
        <f t="shared" si="418"/>
        <v>6284.5056461996455</v>
      </c>
      <c r="AOY13" s="1051">
        <f t="shared" si="418"/>
        <v>6457.845746199645</v>
      </c>
      <c r="AOZ13" s="1051">
        <f t="shared" si="418"/>
        <v>6042.4208461996459</v>
      </c>
      <c r="APA13" s="1051">
        <f t="shared" si="418"/>
        <v>3379.1669461996471</v>
      </c>
      <c r="APB13" s="1051">
        <f xml:space="preserve"> APA13+APB10-(APB11*(1-APB6))+3000</f>
        <v>5099.4769461996484</v>
      </c>
      <c r="APC13" s="1051">
        <f xml:space="preserve"> APB13+APC10-(APC11*(1-APC6))+3000</f>
        <v>6600.5849461996495</v>
      </c>
      <c r="APD13" s="1051">
        <f xml:space="preserve"> APC13+APD10-(APD11*(1-APD6))+1000</f>
        <v>7701.4549461996494</v>
      </c>
      <c r="APE13" s="1051">
        <f xml:space="preserve"> APD13+APE10-(APE11*(1-APE6))+1000</f>
        <v>10585.854946199648</v>
      </c>
      <c r="APF13" s="1051">
        <f xml:space="preserve"> APE13+APF10-(APF11*(1-APF6))-2000</f>
        <v>8514.4269461996482</v>
      </c>
      <c r="APG13" s="1051">
        <f t="shared" ref="APG13:APL13" si="419" xml:space="preserve"> APF13+APG10-(APG11*(1-APG6))+0.0001</f>
        <v>6054.0570461996494</v>
      </c>
      <c r="APH13" s="1051">
        <f t="shared" si="419"/>
        <v>5581.9321461996506</v>
      </c>
      <c r="API13" s="1051">
        <f t="shared" si="419"/>
        <v>5466.4362461996516</v>
      </c>
      <c r="APJ13" s="1051">
        <f t="shared" si="419"/>
        <v>3732.1663461996523</v>
      </c>
      <c r="APK13" s="1051">
        <f t="shared" si="419"/>
        <v>3028.1664461996534</v>
      </c>
      <c r="APL13" s="1051">
        <f t="shared" si="419"/>
        <v>4886.9565461996553</v>
      </c>
      <c r="APM13" s="1051">
        <f t="shared" ref="APM13:APN13" si="420" xml:space="preserve"> APL13+APM10-(APM11*(1-APM6))+0.0001</f>
        <v>3702.1606461996553</v>
      </c>
      <c r="APN13" s="1051">
        <f t="shared" si="420"/>
        <v>3330.7567461996568</v>
      </c>
      <c r="APO13" s="1051">
        <f xml:space="preserve"> APN13+APO10-(APO11*(1-APO6))+2000</f>
        <v>3482.2567461996568</v>
      </c>
      <c r="APP13" s="1051">
        <f xml:space="preserve"> APO13+APP10-(APP11*(1-APP6))+2000</f>
        <v>4649.1607461996591</v>
      </c>
      <c r="APQ13" s="1051">
        <f xml:space="preserve"> APP13+APQ10-(APQ11*(1-APQ6))+2000</f>
        <v>5022.2377461996593</v>
      </c>
      <c r="APR13" s="1051">
        <f xml:space="preserve"> APQ13+APR10-(APR11*(1-APR6))+2000</f>
        <v>6663.6537461996613</v>
      </c>
      <c r="APS13" s="1051">
        <f xml:space="preserve"> APR13+APS10-(APS11*(1-APS6))+2000</f>
        <v>7402.3037461996637</v>
      </c>
      <c r="APT13" s="1051">
        <f xml:space="preserve"> APS13+APT10-(APT11*(1-APT6))+500</f>
        <v>7875.1417461996662</v>
      </c>
      <c r="APU13" s="1051">
        <f xml:space="preserve"> APT13+APU10-(APU11*(1-APU6))+0.0001</f>
        <v>7098.5458461996659</v>
      </c>
      <c r="APV13" s="1051">
        <f xml:space="preserve"> APU13+APV10-(APV11*(1-APV6))+0.0001</f>
        <v>7519.6459461996674</v>
      </c>
      <c r="APW13" s="1051">
        <f xml:space="preserve"> APV13+APW10-(APW11*(1-APW6))+0.0001</f>
        <v>6002.5800461996687</v>
      </c>
      <c r="APX13" s="1051">
        <f xml:space="preserve"> APW13+APX10-(APX11*(1-APX6))+0.0001</f>
        <v>6220.5781461996694</v>
      </c>
      <c r="APY13" s="1051">
        <f t="shared" ref="APY13:APZ13" si="421" xml:space="preserve"> APX13+APY10-(APY11*(1-APY6))+0.0001</f>
        <v>4198.8742461996708</v>
      </c>
      <c r="APZ13" s="1051">
        <f t="shared" si="421"/>
        <v>5395.4543461996718</v>
      </c>
      <c r="AQA13" s="1051">
        <f t="shared" ref="AQA13:AQF13" si="422" xml:space="preserve"> APZ13+AQA10-(AQA11*(1-AQA6))+1000</f>
        <v>4205.0203461996725</v>
      </c>
      <c r="AQB13" s="1051">
        <f t="shared" si="422"/>
        <v>4388.0103461996732</v>
      </c>
      <c r="AQC13" s="1051">
        <f t="shared" si="422"/>
        <v>5829.3343461996737</v>
      </c>
      <c r="AQD13" s="1051">
        <f t="shared" si="422"/>
        <v>8446.2483461996744</v>
      </c>
      <c r="AQE13" s="1051">
        <f t="shared" si="422"/>
        <v>8015.7683461996749</v>
      </c>
      <c r="AQF13" s="1051">
        <f t="shared" si="422"/>
        <v>7899.3433461996756</v>
      </c>
      <c r="AQG13" s="1051">
        <f t="shared" ref="AQG13" si="423" xml:space="preserve"> AQF13+AQG10-(AQG11*(1-AQG6))+1000</f>
        <v>8285.9773461996774</v>
      </c>
      <c r="AQH13" s="1051">
        <f xml:space="preserve"> AQG13+AQH10-(AQH11*(1-AQH6))+500</f>
        <v>6928.0173461996765</v>
      </c>
      <c r="AQI13" s="1051">
        <f xml:space="preserve"> AQH13+AQI10-(AQI11*(1-AQI6))+500</f>
        <v>8208.2413461996766</v>
      </c>
      <c r="AQJ13" s="1051">
        <f xml:space="preserve"> AQI13+AQJ10-(AQJ11*(1-AQJ6))+0.001</f>
        <v>7273.2903461996766</v>
      </c>
      <c r="AQK13" s="1051">
        <f xml:space="preserve"> AQJ13+AQK10-(AQK11*(1-AQK6))+0.001</f>
        <v>7613.9303461996769</v>
      </c>
      <c r="AQL13" s="1051">
        <f t="shared" ref="AQL13:AQN13" si="424" xml:space="preserve"> AQK13+AQL10-(AQL11*(1-AQL6))+0.001</f>
        <v>6346.8683461996779</v>
      </c>
      <c r="AQM13" s="1051">
        <f t="shared" si="424"/>
        <v>5048.4753461996797</v>
      </c>
      <c r="AQN13" s="1051">
        <f t="shared" si="424"/>
        <v>5963.5923461996817</v>
      </c>
      <c r="AQO13" s="1051">
        <f xml:space="preserve"> AQN13+AQO10-(AQO11*(1-AQO6))+1000</f>
        <v>6614.0323461996804</v>
      </c>
      <c r="AQP13" s="1051">
        <f xml:space="preserve"> AQO13+AQP10-(AQP11*(1-AQP6))+1000</f>
        <v>7303.458346199679</v>
      </c>
      <c r="AQQ13" s="1051">
        <f xml:space="preserve"> AQP13+AQQ10-(AQQ11*(1-AQQ6))+1000</f>
        <v>7074.0393461996791</v>
      </c>
      <c r="AQR13" s="1051">
        <f xml:space="preserve"> AQQ13+AQR10-(AQR11*(1-AQR6))+1000</f>
        <v>8328.1593461996781</v>
      </c>
      <c r="AQS13" s="1051">
        <f t="shared" ref="AQS13:AQU13" si="425" xml:space="preserve"> AQR13+AQS10-(AQS11*(1-AQS6))+1000</f>
        <v>10101.374346199678</v>
      </c>
      <c r="AQT13" s="1051">
        <f t="shared" si="425"/>
        <v>8899.0843461996774</v>
      </c>
      <c r="AQU13" s="1051">
        <f t="shared" si="425"/>
        <v>8553.2093461996774</v>
      </c>
      <c r="AQV13" s="1051">
        <f xml:space="preserve"> AQU13+AQV10-(AQV11*(1-AQV6))-1500</f>
        <v>9188.8893461996777</v>
      </c>
      <c r="AQW13" s="1051">
        <f xml:space="preserve"> AQV13+AQW10-(AQW11*(1-AQW6))+1000</f>
        <v>8388.9073461996777</v>
      </c>
      <c r="AQX13" s="1051">
        <f xml:space="preserve"> AQW13+AQX10-(AQX11*(1-AQX6))+1000</f>
        <v>9816.3363461996778</v>
      </c>
      <c r="AQY13" s="1051">
        <f xml:space="preserve"> AQX13+AQY10-(AQY11*(1-AQY6))+0.1</f>
        <v>10728.306346199677</v>
      </c>
      <c r="AQZ13" s="1051">
        <f t="shared" ref="AQZ13:ARD13" si="426" xml:space="preserve"> AQY13+AQZ10-(AQZ11*(1-AQZ6))+0.1</f>
        <v>9638.5793461996764</v>
      </c>
      <c r="ARA13" s="1051">
        <f t="shared" si="426"/>
        <v>9658.8373461996798</v>
      </c>
      <c r="ARB13" s="1051">
        <f t="shared" si="426"/>
        <v>8880.2473461996797</v>
      </c>
      <c r="ARC13" s="1051">
        <f t="shared" si="426"/>
        <v>8651.1923461996794</v>
      </c>
      <c r="ARD13" s="1051">
        <f t="shared" si="426"/>
        <v>8752.306346199679</v>
      </c>
      <c r="ARE13" s="1051">
        <f xml:space="preserve"> ARD13+ARE10-(ARE11*(1-ARE6))+500</f>
        <v>9675.1663461996777</v>
      </c>
      <c r="ARF13" s="1051">
        <f xml:space="preserve"> ARE13+ARF10-(ARF11*(1-ARF6))+500</f>
        <v>10010.083346199677</v>
      </c>
      <c r="ARG13" s="1051">
        <f xml:space="preserve"> ARF13+ARG10-(ARG11*(1-ARG6))+0.001</f>
        <v>9895.5283461996769</v>
      </c>
      <c r="ARH13" s="1051">
        <f xml:space="preserve"> ARG13+ARH10-(ARH11*(1-ARH6))+500</f>
        <v>8932.9003461996763</v>
      </c>
      <c r="ARI13" s="1051">
        <f t="shared" ref="ARI13:ARL13" si="427" xml:space="preserve"> ARH13+ARI10-(ARI11*(1-ARI6))+500</f>
        <v>9686.6843461996759</v>
      </c>
      <c r="ARJ13" s="1051">
        <f t="shared" si="427"/>
        <v>9693.0433461996763</v>
      </c>
      <c r="ARK13" s="1051">
        <f t="shared" si="427"/>
        <v>10593.884346199677</v>
      </c>
      <c r="ARL13" s="1051">
        <f t="shared" si="427"/>
        <v>11444.898346199676</v>
      </c>
      <c r="ARM13" s="1051">
        <f xml:space="preserve"> ARL13+ARM10-(ARM11*(1-ARM6))+0.001</f>
        <v>12014.421346199677</v>
      </c>
      <c r="ARN13" s="1051">
        <f xml:space="preserve"> ARM13+ARN10-(ARN11*(1-ARN6))+500</f>
        <v>11565.432346199677</v>
      </c>
      <c r="ARO13" s="1051">
        <f xml:space="preserve"> ARN13+ARO10-(ARO11*(1-ARO6))+500</f>
        <v>11883.304346199679</v>
      </c>
      <c r="ARP13" s="1051">
        <f t="shared" ref="ARP13:ARZ13" si="428" xml:space="preserve"> ARO13+ARP10-(ARP11*(1-ARP6))+0.001</f>
        <v>12099.014346199678</v>
      </c>
      <c r="ARQ13" s="1051">
        <f t="shared" si="428"/>
        <v>12253.805346199679</v>
      </c>
      <c r="ARR13" s="1051">
        <f t="shared" si="428"/>
        <v>11560.138346199681</v>
      </c>
      <c r="ARS13" s="1051">
        <f t="shared" si="428"/>
        <v>12047.609346199679</v>
      </c>
      <c r="ART13" s="1051">
        <f t="shared" si="428"/>
        <v>13327.623346199678</v>
      </c>
      <c r="ARU13" s="1051">
        <f t="shared" si="428"/>
        <v>14094.332346199677</v>
      </c>
      <c r="ARV13" s="1051">
        <f t="shared" si="428"/>
        <v>14123.481346199678</v>
      </c>
      <c r="ARW13" s="1051">
        <f t="shared" si="428"/>
        <v>14862.330346199678</v>
      </c>
      <c r="ARX13" s="1051">
        <f t="shared" si="428"/>
        <v>15651.661346199679</v>
      </c>
      <c r="ARY13" s="1051">
        <f t="shared" si="428"/>
        <v>15702.216346199679</v>
      </c>
      <c r="ARZ13" s="1051">
        <f t="shared" si="428"/>
        <v>16926.319346199682</v>
      </c>
      <c r="ASA13" s="1051">
        <f xml:space="preserve"> ARZ13+ASA10-(ASA11*(1-ASA6))-1500</f>
        <v>15091.647346199683</v>
      </c>
      <c r="ASB13" s="1051">
        <f t="shared" ref="ASB13:ASF13" si="429" xml:space="preserve"> ASA13+ASB10-(ASB11*(1-ASB6))-1500</f>
        <v>14191.448346199682</v>
      </c>
      <c r="ASC13" s="1051">
        <f t="shared" si="429"/>
        <v>12278.397346199683</v>
      </c>
      <c r="ASD13" s="1051">
        <f t="shared" si="429"/>
        <v>11942.797346199681</v>
      </c>
      <c r="ASE13" s="1051">
        <f t="shared" si="429"/>
        <v>9328.1533461996787</v>
      </c>
      <c r="ASF13" s="1051">
        <f t="shared" si="429"/>
        <v>7356.0413461996777</v>
      </c>
      <c r="ASG13" s="1051">
        <f xml:space="preserve"> ASF13+ASG10-(ASG11*(1-ASG6))+500</f>
        <v>7507.7313461996773</v>
      </c>
      <c r="ASH13" s="1051">
        <f xml:space="preserve"> ASG13+ASH10-(ASH11*(1-ASH6))+500</f>
        <v>9141.0313461996757</v>
      </c>
      <c r="ASI13" s="1051">
        <f xml:space="preserve"> ASH13+ASI10-(ASI11*(1-ASI6))+0.001</f>
        <v>9918.7943461996765</v>
      </c>
      <c r="ASJ13" s="1051">
        <f xml:space="preserve"> ASI13+ASJ10-(ASJ11*(1-ASJ6))+0.001</f>
        <v>10282.771346199675</v>
      </c>
      <c r="ASK13" s="1051">
        <f xml:space="preserve"> ASJ13+ASK10-(ASK11*(1-ASK6))+0.001</f>
        <v>12778.577346199676</v>
      </c>
      <c r="ASL13" s="1051">
        <f xml:space="preserve"> ASK13+ASL10-(ASL11*(1-ASL6))+0.001</f>
        <v>12867.217346199675</v>
      </c>
      <c r="ASM13" s="1051">
        <f xml:space="preserve"> ASL13+ASM10-(ASM11*(1-ASM6))-1000</f>
        <v>14471.149346199674</v>
      </c>
      <c r="ASN13" s="1051">
        <f t="shared" ref="ASN13:ASO13" si="430" xml:space="preserve"> ASM13+ASN10-(ASN11*(1-ASN6))-1000</f>
        <v>14159.379346199672</v>
      </c>
      <c r="ASO13" s="1051">
        <f t="shared" si="430"/>
        <v>14211.079346199673</v>
      </c>
      <c r="ASP13" s="1051">
        <f xml:space="preserve"> ASO13+ASP10-(ASP11*(1-ASP6))-1000</f>
        <v>14102.53134619967</v>
      </c>
      <c r="ASQ13" s="1051">
        <f t="shared" ref="ASQ13" si="431" xml:space="preserve"> ASP13+ASQ10-(ASQ11*(1-ASQ6))-1000</f>
        <v>14013.461346199671</v>
      </c>
      <c r="ASR13" s="1051">
        <f t="shared" ref="ASR13:ASV13" si="432" xml:space="preserve"> ASQ13+ASR10-(ASR11*(1-ASR6))-1000</f>
        <v>12858.72734619967</v>
      </c>
      <c r="ASS13" s="1051">
        <f t="shared" si="432"/>
        <v>10933.81434619967</v>
      </c>
      <c r="AST13" s="1051">
        <f t="shared" si="432"/>
        <v>10924.508346199671</v>
      </c>
      <c r="ASU13" s="1051">
        <f t="shared" si="432"/>
        <v>10706.158346199671</v>
      </c>
      <c r="ASV13" s="1051">
        <f t="shared" si="432"/>
        <v>10299.36834619967</v>
      </c>
      <c r="ASW13" s="1051">
        <f t="shared" ref="ASW13" si="433" xml:space="preserve"> ASV13+ASW10-(ASW11*(1-ASW6))-1000</f>
        <v>11240.499346199671</v>
      </c>
      <c r="ASX13" s="1051">
        <f t="shared" ref="ASX13" si="434" xml:space="preserve"> ASW13+ASX10-(ASX11*(1-ASX6))-1000</f>
        <v>13432.024346199672</v>
      </c>
      <c r="ASY13" s="1051">
        <f t="shared" ref="ASY13:ATC13" si="435" xml:space="preserve"> ASX13+ASY10-(ASY11*(1-ASY6))-1000</f>
        <v>15167.696346199673</v>
      </c>
      <c r="ASZ13" s="1051">
        <f t="shared" si="435"/>
        <v>14873.951346199672</v>
      </c>
      <c r="ATA13" s="1051">
        <f t="shared" si="435"/>
        <v>14474.364346199673</v>
      </c>
      <c r="ATB13" s="1051">
        <f t="shared" si="435"/>
        <v>11314.34434619967</v>
      </c>
      <c r="ATC13" s="1051">
        <f t="shared" si="435"/>
        <v>10496.734346199668</v>
      </c>
      <c r="ATD13" s="1051">
        <f t="shared" ref="ATD13" si="436" xml:space="preserve"> ATC13+ATD10-(ATD11*(1-ATD6))-1000</f>
        <v>8048.810346199667</v>
      </c>
      <c r="ATE13" s="1051">
        <f t="shared" ref="ATE13" si="437" xml:space="preserve"> ATD13+ATE10-(ATE11*(1-ATE6))-1000</f>
        <v>8071.1863461996654</v>
      </c>
      <c r="ATF13" s="1051">
        <f t="shared" ref="ATF13:ATJ13" si="438" xml:space="preserve"> ATE13+ATF10-(ATF11*(1-ATF6))-1000</f>
        <v>7139.733346199665</v>
      </c>
      <c r="ATG13" s="1051">
        <f t="shared" si="438"/>
        <v>7411.4333461996648</v>
      </c>
      <c r="ATH13" s="1051">
        <f t="shared" si="438"/>
        <v>6344.1623461996651</v>
      </c>
      <c r="ATI13" s="1051">
        <f t="shared" si="438"/>
        <v>7448.3273461996632</v>
      </c>
      <c r="ATJ13" s="1051">
        <f t="shared" si="438"/>
        <v>5771.0723461996622</v>
      </c>
      <c r="ATK13" s="1051">
        <f t="shared" ref="ATK13" si="439" xml:space="preserve"> ATJ13+ATK10-(ATK11*(1-ATK6))-1000</f>
        <v>5946.4473461996622</v>
      </c>
      <c r="ATL13" s="1051">
        <f t="shared" ref="ATL13" si="440" xml:space="preserve"> ATK13+ATL10-(ATL11*(1-ATL6))-1000</f>
        <v>3967.7823461996613</v>
      </c>
      <c r="ATM13" s="1051">
        <f t="shared" ref="ATM13" si="441" xml:space="preserve"> ATL13+ATM10-(ATM11*(1-ATM6))-1000</f>
        <v>3640.1123461996613</v>
      </c>
      <c r="ATN13" s="1051">
        <f xml:space="preserve"> ATM13+ATN10-(ATN11*(1-ATN6))+1500</f>
        <v>5042.8623461996604</v>
      </c>
      <c r="ATO13" s="1051">
        <f xml:space="preserve"> ATN13+ATO10-(ATO11*(1-ATO6))+500</f>
        <v>9734.8483461996584</v>
      </c>
      <c r="ATP13" s="1051">
        <f xml:space="preserve"> ATO13+ATP10-(ATP11*(1-ATP6))+500</f>
        <v>9700.4363461996581</v>
      </c>
      <c r="ATQ13" s="1051">
        <f xml:space="preserve"> ATP13+ATQ10-(ATQ11*(1-ATQ6))+500</f>
        <v>12134.992346199657</v>
      </c>
      <c r="ATR13" s="1051">
        <f t="shared" ref="ATR13:ATS13" si="442" xml:space="preserve"> ATQ13+ATR10-(ATR11*(1-ATR6))+500</f>
        <v>13590.290346199658</v>
      </c>
      <c r="ATS13" s="1051">
        <f t="shared" si="442"/>
        <v>16054.725346199657</v>
      </c>
      <c r="ATT13" s="1051">
        <f t="shared" ref="ATT13" si="443" xml:space="preserve"> ATS13+ATT10-(ATT11*(1-ATT6))+500</f>
        <v>16661.973346199655</v>
      </c>
      <c r="ATU13" s="1051">
        <f xml:space="preserve"> ATT13+ATU10-(ATU11*(1-ATU6))+1</f>
        <v>16720.313346199655</v>
      </c>
      <c r="ATV13" s="1051">
        <f xml:space="preserve"> ATU13+ATV10-(ATV11*(1-ATV6))+1</f>
        <v>17896.245346199656</v>
      </c>
      <c r="ATW13" s="1051">
        <f xml:space="preserve"> ATV13+ATW10-(ATW11*(1-ATW6))-2000</f>
        <v>18004.110346199654</v>
      </c>
      <c r="ATX13" s="1051">
        <f xml:space="preserve"> ATW13+ATX10-(ATX11*(1-ATX6))-2000</f>
        <v>15460.658346199652</v>
      </c>
      <c r="ATY13" s="1051">
        <f t="shared" ref="ATY13:AUA13" si="444" xml:space="preserve"> ATX13+ATY10-(ATY11*(1-ATY6))-2000</f>
        <v>13813.16234619965</v>
      </c>
      <c r="ATZ13" s="1051">
        <f t="shared" si="444"/>
        <v>11048.922346199652</v>
      </c>
      <c r="AUA13" s="1051">
        <f t="shared" si="444"/>
        <v>8068.3503461996515</v>
      </c>
      <c r="AUB13" s="1051">
        <f xml:space="preserve"> AUA13+AUB10-(AUB11*(1-AUB6))+2000</f>
        <v>9079.2703461996498</v>
      </c>
      <c r="AUC13" s="1051">
        <f xml:space="preserve"> AUB13+AUC10-(AUC11*(1-AUC6))+2000</f>
        <v>11768.125346199651</v>
      </c>
      <c r="AUD13" s="1051">
        <f xml:space="preserve"> AUC13+AUD10-(AUD11*(1-AUD6))+500</f>
        <v>11403.77234619965</v>
      </c>
      <c r="AUE13" s="1051">
        <f xml:space="preserve"> AUD13+AUE10-(AUE11*(1-AUE6))+500</f>
        <v>13244.544346199647</v>
      </c>
      <c r="AUF13" s="1051">
        <f t="shared" ref="AUF13:AUH13" si="445" xml:space="preserve"> AUE13+AUF10-(AUF11*(1-AUF6))+500</f>
        <v>12940.918346199647</v>
      </c>
      <c r="AUG13" s="1051">
        <f t="shared" si="445"/>
        <v>15206.138346199648</v>
      </c>
      <c r="AUH13" s="1051">
        <f t="shared" si="445"/>
        <v>15375.222346199647</v>
      </c>
      <c r="AUI13" s="1051">
        <f xml:space="preserve"> AUH13+AUI10-(AUI11*(1-AUI6))+0.001</f>
        <v>14719.633346199647</v>
      </c>
      <c r="AUJ13" s="1051">
        <f xml:space="preserve"> AUI13+AUJ10-(AUJ11*(1-AUJ6))+0.001</f>
        <v>18624.158346199645</v>
      </c>
      <c r="AUK13" s="1051">
        <f xml:space="preserve"> AUJ13+AUK10-(AUK11*(1-AUK6))+0.001</f>
        <v>17701.11734619964</v>
      </c>
      <c r="AUL13" s="1051">
        <f xml:space="preserve"> AUK13+AUL10-(AUL11*(1-AUL6))+0.001</f>
        <v>19313.415346199639</v>
      </c>
      <c r="AUM13" s="1051">
        <f t="shared" ref="AUM13:AUN13" si="446" xml:space="preserve"> AUL13+AUM10-(AUM11*(1-AUM6))+0.001</f>
        <v>17655.912346199639</v>
      </c>
      <c r="AUN13" s="1051">
        <f t="shared" si="446"/>
        <v>19154.137346199637</v>
      </c>
      <c r="AUO13" s="1051">
        <f xml:space="preserve"> AUN13+AUO10-(AUO11*(1-AUO6))-1000</f>
        <v>19094.189346199637</v>
      </c>
      <c r="AUP13" s="1051">
        <f xml:space="preserve"> AUO13+AUP10-(AUP11*(1-AUP6))-500</f>
        <v>16862.944346199634</v>
      </c>
      <c r="AUQ13" s="1051">
        <f xml:space="preserve"> AUP13+AUQ10-(AUQ11*(1-AUQ6))-500</f>
        <v>17539.598346199633</v>
      </c>
      <c r="AUR13" s="1051">
        <f xml:space="preserve"> AUQ13+AUR10-(AUR11*(1-AUR6))-500</f>
        <v>18310.888346199634</v>
      </c>
      <c r="AUS13" s="1051">
        <f xml:space="preserve"> AUR13+AUS10-(AUS11*(1-AUS6))-500</f>
        <v>17122.56834619963</v>
      </c>
      <c r="AUT13" s="1051">
        <f xml:space="preserve"> AUS13+AUT10-(AUT11*(1-AUT6))-500</f>
        <v>18172.493346199626</v>
      </c>
      <c r="AUU13" s="1051">
        <f t="shared" ref="AUU13:AUX13" si="447" xml:space="preserve"> AUT13+AUU10-(AUU11*(1-AUU6))-500</f>
        <v>19150.887346199626</v>
      </c>
      <c r="AUV13" s="1051">
        <f t="shared" si="447"/>
        <v>18731.637346199626</v>
      </c>
      <c r="AUW13" s="1051">
        <f t="shared" si="447"/>
        <v>18618.397346199628</v>
      </c>
      <c r="AUX13" s="1051">
        <f t="shared" si="447"/>
        <v>18532.47734619963</v>
      </c>
      <c r="AUY13" s="1051">
        <f xml:space="preserve"> AUX13+AUY10-(AUY11*(1-AUY6))-2000</f>
        <v>17823.716346199632</v>
      </c>
      <c r="AUZ13" s="1051">
        <f xml:space="preserve"> AUY13+AUZ10-(AUZ11*(1-AUZ6))-2500</f>
        <v>15854.198346199631</v>
      </c>
      <c r="AVA13" s="1051">
        <f xml:space="preserve"> AUZ13+AVA10-(AVA11*(1-AVA6))-1000</f>
        <v>12914.57634619963</v>
      </c>
      <c r="AVB13" s="1051">
        <f xml:space="preserve"> AVA13+AVB10-(AVB11*(1-AVB6))+0</f>
        <v>13011.432346199632</v>
      </c>
      <c r="AVC13" s="1051">
        <f xml:space="preserve"> AVB13+AVC10-(AVC11*(1-AVC6))+0</f>
        <v>11869.250346199633</v>
      </c>
      <c r="AVD13" s="1051">
        <f xml:space="preserve"> AVC13+AVD10-(AVD11*(1-AVD6))-2000</f>
        <v>10743.590346199631</v>
      </c>
      <c r="AVE13" s="1051">
        <f xml:space="preserve"> AVD13+AVE10-(AVE11*(1-AVE6))-3000</f>
        <v>6195.5803461996311</v>
      </c>
      <c r="AVF13" s="1051">
        <f xml:space="preserve"> AVE13+AVF10-(AVF11*(1-AVF6))-3000</f>
        <v>5376.9203461996312</v>
      </c>
      <c r="AVG13" s="1051">
        <f xml:space="preserve"> AVF13+AVG10-(AVG11*(1-AVG6))-2000</f>
        <v>5181.5203461996307</v>
      </c>
      <c r="AVH13" s="1051">
        <f xml:space="preserve"> AVG13+AVH10-(AVH11*(1-AVH6))+1000</f>
        <v>5313.1983461996297</v>
      </c>
      <c r="AVI13" s="1051">
        <f xml:space="preserve"> AVH13+AVI10-(AVI11*(1-AVI6))+500</f>
        <v>6085.9563461996304</v>
      </c>
      <c r="AVJ13" s="1051">
        <f xml:space="preserve"> AVI13+AVJ10-(AVJ11*(1-AVJ6))+500</f>
        <v>6514.1653461996302</v>
      </c>
      <c r="AVK13" s="1051">
        <f xml:space="preserve"> AVJ13+AVK10-(AVK11*(1-AVK6))+500</f>
        <v>6317.1113461996292</v>
      </c>
      <c r="AVL13" s="1051">
        <f xml:space="preserve"> AVK13+AVL10-(AVL11*(1-AVL6))-1000</f>
        <v>6619.4153461996293</v>
      </c>
      <c r="AVM13" s="1051">
        <f xml:space="preserve"> AVL13+AVM10-(AVM11*(1-AVM6))-1000</f>
        <v>6710.2393461996289</v>
      </c>
      <c r="AVN13" s="1051">
        <f xml:space="preserve"> AVM13+AVN10-(AVN11*(1-AVN6))-600</f>
        <v>5991.8453461996278</v>
      </c>
      <c r="AVO13" s="1051">
        <f xml:space="preserve"> AVN13+AVO10-(AVO11*(1-AVO6))+1000</f>
        <v>6548.8153461996271</v>
      </c>
      <c r="AVP13" s="1051">
        <f xml:space="preserve"> AVO13+AVP10-(AVP11*(1-AVP6))-13000</f>
        <v>6457.3353461996267</v>
      </c>
      <c r="AVQ13" s="1051">
        <f t="shared" ref="AVQ13" si="448" xml:space="preserve"> AVP13+AVQ10-(AVQ11*(1-AVQ6))-600</f>
        <v>5318.7193461996258</v>
      </c>
      <c r="AVR13" s="1051">
        <f xml:space="preserve"> AVQ13+AVR10-(AVR11*(1-AVR6))+1000</f>
        <v>5220.7033461996252</v>
      </c>
      <c r="AVS13" s="1051">
        <f xml:space="preserve"> AVR13+AVS10-(AVS11*(1-AVS6))+500</f>
        <v>5677.4733461996257</v>
      </c>
      <c r="AVT13" s="1051">
        <f xml:space="preserve"> AVS13+AVT10-(AVT11*(1-AVT6))-1000</f>
        <v>5459.6033461996258</v>
      </c>
      <c r="AVU13" s="1051">
        <f xml:space="preserve"> AVT13+AVU10-(AVU11*(1-AVU6))-1000</f>
        <v>3450.2173461996244</v>
      </c>
      <c r="AVV13" s="1051">
        <f t="shared" ref="AVV13:AVW13" si="449" xml:space="preserve"> AVU13+AVV10-(AVV11*(1-AVV6))-1000</f>
        <v>3180.9633461996236</v>
      </c>
      <c r="AVW13" s="1051">
        <f t="shared" si="449"/>
        <v>3110.813346199624</v>
      </c>
      <c r="AVX13" s="1051">
        <f xml:space="preserve"> AVW13+AVX10-(AVX11*(1-AVX6))-500</f>
        <v>3065.0393461996246</v>
      </c>
      <c r="AVY13" s="1051">
        <f xml:space="preserve"> AVX13+AVY10-(AVY11*(1-AVY6))-500</f>
        <v>3019.7963461996242</v>
      </c>
      <c r="AVZ13" s="1051">
        <f xml:space="preserve"> AVY13+AVZ10-(AVZ11*(1-AVZ6))+500</f>
        <v>3018.8703461996238</v>
      </c>
      <c r="AWA13" s="1051">
        <f xml:space="preserve"> AVZ13+AWA10-(AWA11*(1-AWA6))-1000</f>
        <v>4099.6403461996233</v>
      </c>
      <c r="AWB13" s="1051">
        <f xml:space="preserve"> AWA13+AWB10-(AWB11*(1-AWB6))-1000</f>
        <v>1992.308346199623</v>
      </c>
      <c r="AWC13" s="1051">
        <f t="shared" ref="AWC13:AWE13" si="450" xml:space="preserve"> AWB13+AWC10-(AWC11*(1-AWC6))-1000</f>
        <v>3211.2143461996229</v>
      </c>
      <c r="AWD13" s="1051">
        <f t="shared" si="450"/>
        <v>1986.0713461996229</v>
      </c>
      <c r="AWE13" s="1051">
        <f t="shared" si="450"/>
        <v>1153.3273461996223</v>
      </c>
      <c r="AWF13" s="1051">
        <f xml:space="preserve"> AWE13+AWF10-(AWF11*(1-AWF6))+0</f>
        <v>1263.2423461996223</v>
      </c>
      <c r="AWG13" s="1051">
        <f t="shared" ref="AWG13" si="451" xml:space="preserve"> AWF13+AWG10-(AWG11*(1-AWG6))+0</f>
        <v>918.07634619962209</v>
      </c>
      <c r="AWH13" s="1051">
        <f xml:space="preserve"> AWG13+AWH10-(AWH11*(1-AWH6))+1000</f>
        <v>906.7063461996222</v>
      </c>
      <c r="AWI13" s="1051">
        <f xml:space="preserve"> AWH13+AWI10-(AWI11*(1-AWI6))+0</f>
        <v>4820.0823461996206</v>
      </c>
      <c r="AWJ13" s="1051">
        <f t="shared" ref="AWJ13:AWP13" si="452" xml:space="preserve"> AWI13+AWJ10-(AWJ11*(1-AWJ6))+0</f>
        <v>3173.6213461996213</v>
      </c>
      <c r="AWK13" s="1051">
        <f t="shared" si="452"/>
        <v>1778.9463461996211</v>
      </c>
      <c r="AWL13" s="1051">
        <f t="shared" si="452"/>
        <v>3358.0513461996215</v>
      </c>
      <c r="AWM13" s="1051">
        <f t="shared" si="452"/>
        <v>3185.4693461996212</v>
      </c>
      <c r="AWN13" s="1051">
        <f t="shared" si="452"/>
        <v>3474.5273461996203</v>
      </c>
      <c r="AWO13" s="1051">
        <f t="shared" si="452"/>
        <v>2467.7563461996197</v>
      </c>
      <c r="AWP13" s="1051">
        <f t="shared" si="452"/>
        <v>3211.0963461996207</v>
      </c>
      <c r="AWQ13" s="1051">
        <f t="shared" ref="AWQ13" si="453" xml:space="preserve"> AWP13+AWQ10-(AWQ11*(1-AWQ6))+0</f>
        <v>3582.1613461996203</v>
      </c>
      <c r="AWR13" s="1051">
        <f xml:space="preserve"> AWQ13+AWR10-(AWR11*(1-AWR6))+500</f>
        <v>3339.1813461996198</v>
      </c>
      <c r="AWS13" s="1051">
        <f t="shared" ref="AWS13" si="454" xml:space="preserve"> AWR13+AWS10-(AWS11*(1-AWS6))+0</f>
        <v>4758.6253461996193</v>
      </c>
      <c r="AWT13" s="1051">
        <f xml:space="preserve"> AWS13+AWT10-(AWT11*(1-AWT6))-0</f>
        <v>6076.1253461996184</v>
      </c>
      <c r="AWU13" s="1051">
        <f xml:space="preserve"> AWT13+AWU10-(AWU11*(1-AWU6))-1000</f>
        <v>5463.6503461996181</v>
      </c>
      <c r="AWV13" s="1051">
        <f xml:space="preserve"> AWU13+AWV10-(AWV11*(1-AWV6))-1000</f>
        <v>3786.7743461996188</v>
      </c>
      <c r="AWW13" s="1051">
        <f xml:space="preserve"> AWV13+AWW10-(AWW11*(1-AWW6))-1000</f>
        <v>5423.5203461996189</v>
      </c>
      <c r="AWX13" s="1051">
        <f t="shared" ref="AWX13:AXI13" si="455" xml:space="preserve"> AWW13+AWX10-(AWX11*(1-AWX6))-1000</f>
        <v>4104.0063461996169</v>
      </c>
      <c r="AWY13" s="1051">
        <f t="shared" si="455"/>
        <v>5783.9383461996167</v>
      </c>
      <c r="AWZ13" s="1051">
        <f t="shared" si="455"/>
        <v>5814.1503461996163</v>
      </c>
      <c r="AXA13" s="1051">
        <f t="shared" si="455"/>
        <v>5819.6233461996153</v>
      </c>
      <c r="AXB13" s="1051">
        <f t="shared" si="455"/>
        <v>5101.0023461996152</v>
      </c>
      <c r="AXC13" s="1051">
        <f t="shared" si="455"/>
        <v>4177.7873461996151</v>
      </c>
      <c r="AXD13" s="1051">
        <f t="shared" si="455"/>
        <v>3026.0073461996162</v>
      </c>
      <c r="AXE13" s="1051">
        <f t="shared" si="455"/>
        <v>1939.8423461996172</v>
      </c>
      <c r="AXF13" s="1051">
        <f t="shared" si="455"/>
        <v>918.9823461996175</v>
      </c>
      <c r="AXG13" s="1051">
        <f t="shared" si="455"/>
        <v>1547.8933461996176</v>
      </c>
      <c r="AXH13" s="1051">
        <f t="shared" si="455"/>
        <v>1476.2533461996163</v>
      </c>
      <c r="AXI13" s="1051">
        <f t="shared" si="455"/>
        <v>672.72734619961648</v>
      </c>
      <c r="AXJ13" s="1051">
        <f xml:space="preserve"> AXI13+AXJ10-(AXJ11*(1-AXJ6))+850</f>
        <v>467.78534619961647</v>
      </c>
      <c r="AXK13" s="1051">
        <f t="shared" ref="AXK13:AXW13" si="456" xml:space="preserve"> AXJ13+AXK10-(AXK11*(1-AXK6))-450</f>
        <v>943.247346199616</v>
      </c>
      <c r="AXL13" s="1051">
        <f t="shared" si="456"/>
        <v>3595.4573461996142</v>
      </c>
      <c r="AXM13" s="1051">
        <f t="shared" si="456"/>
        <v>4053.8133461996131</v>
      </c>
      <c r="AXN13" s="1051">
        <f t="shared" si="456"/>
        <v>3465.0353461996128</v>
      </c>
      <c r="AXO13" s="1051">
        <f t="shared" si="456"/>
        <v>3857.375346199613</v>
      </c>
      <c r="AXP13" s="1051">
        <f t="shared" si="456"/>
        <v>5069.9133461996125</v>
      </c>
      <c r="AXQ13" s="1051">
        <f t="shared" si="456"/>
        <v>4641.0433461996126</v>
      </c>
      <c r="AXR13" s="1051">
        <f t="shared" si="456"/>
        <v>3649.3673461996113</v>
      </c>
      <c r="AXS13" s="1051">
        <f t="shared" si="456"/>
        <v>3923.8173461996103</v>
      </c>
      <c r="AXT13" s="1051">
        <f t="shared" si="456"/>
        <v>2066.767346199611</v>
      </c>
      <c r="AXU13" s="1051">
        <f t="shared" si="456"/>
        <v>2689.2823461996113</v>
      </c>
      <c r="AXV13" s="1051">
        <f t="shared" si="456"/>
        <v>2992.4403461996098</v>
      </c>
      <c r="AXW13" s="1051">
        <f t="shared" si="456"/>
        <v>1545.5463461996105</v>
      </c>
      <c r="AXX13" s="1051">
        <f t="shared" ref="AXX13:AYB13" si="457" xml:space="preserve"> AXW13+AXX10-(AXX11*(1-AXX6))</f>
        <v>2111.874346199611</v>
      </c>
      <c r="AXY13" s="1051">
        <f t="shared" si="457"/>
        <v>2365.3143461996106</v>
      </c>
      <c r="AXZ13" s="1051">
        <f t="shared" si="457"/>
        <v>3458.1643461996109</v>
      </c>
      <c r="AYA13" s="1051">
        <f t="shared" si="457"/>
        <v>1893.7843461996099</v>
      </c>
      <c r="AYB13" s="1051">
        <f t="shared" si="457"/>
        <v>1998.8643461996098</v>
      </c>
      <c r="AYC13" s="1051">
        <f xml:space="preserve"> AYB13+AYC10-(AYC11*(1-AYC6))+2200</f>
        <v>1612.3943461996105</v>
      </c>
      <c r="AYD13" s="1051">
        <f xml:space="preserve"> AYC13+AYD10-(AYD11*(1-AYD6))+1200</f>
        <v>1745.0243461996106</v>
      </c>
      <c r="AYE13" s="1051">
        <f xml:space="preserve"> AYD13+AYE10-(AYE11*(1-AYE6))+500</f>
        <v>3400.3243461996099</v>
      </c>
      <c r="AYF13" s="1051">
        <f xml:space="preserve"> AYE13+AYF10-(AYF11*(1-AYF6))+500</f>
        <v>2012.3283461996098</v>
      </c>
      <c r="AYG13" s="1051">
        <f t="shared" ref="AYG13:AYL13" si="458" xml:space="preserve"> AYF13+AYG10-(AYG11*(1-AYG6))+500</f>
        <v>3457.0593461996086</v>
      </c>
      <c r="AYH13" s="1051">
        <f t="shared" si="458"/>
        <v>2120.0783461996079</v>
      </c>
      <c r="AYI13" s="1051">
        <f t="shared" si="458"/>
        <v>2109.4043461996071</v>
      </c>
      <c r="AYJ13" s="1051">
        <f t="shared" si="458"/>
        <v>1689.7843461996044</v>
      </c>
      <c r="AYK13" s="1051">
        <f t="shared" si="458"/>
        <v>1525.2323461996029</v>
      </c>
      <c r="AYL13" s="1051">
        <f t="shared" si="458"/>
        <v>480.83434619960281</v>
      </c>
      <c r="AYM13" s="1051">
        <f xml:space="preserve"> AYL13+AYM10-(AYM11*(1-AYM6))+1500</f>
        <v>1760.9543461996018</v>
      </c>
      <c r="AYN13" s="1051">
        <f t="shared" ref="AYN13:AYP13" si="459" xml:space="preserve"> AYM13+AYN10-(AYN11*(1-AYN6))+1500</f>
        <v>3221.5393461996018</v>
      </c>
      <c r="AYO13" s="1051">
        <f t="shared" si="459"/>
        <v>4437.3893461996022</v>
      </c>
      <c r="AYP13" s="1051">
        <f t="shared" si="459"/>
        <v>5640.8773461996016</v>
      </c>
      <c r="AYQ13" s="1051">
        <f xml:space="preserve"> AYP13+AYQ10-(AYQ11*(1-AYQ6))-1000</f>
        <v>7183.0123461996009</v>
      </c>
      <c r="AYR13" s="1051">
        <f xml:space="preserve"> AYQ13+AYR10-(AYR11*(1-AYR6))-3500</f>
        <v>5011.8593461996006</v>
      </c>
      <c r="AYS13" s="1051">
        <f xml:space="preserve"> AYR13+AYS10-(AYS11*(1-AYS6))-1500</f>
        <v>5103.3393461996011</v>
      </c>
      <c r="AYT13" s="1051">
        <f xml:space="preserve"> AYS13+AYT10-(AYT11*(1-AYT6))-1700</f>
        <v>4579.9793461996005</v>
      </c>
      <c r="AYU13" s="1051">
        <f xml:space="preserve"> AYT13+AYU10-(AYU11*(1-AYU6))-1000</f>
        <v>3165.909346199599</v>
      </c>
      <c r="AYV13" s="1051">
        <f xml:space="preserve"> AYU13+AYV10-(AYV11*(1-AYV6))-1500</f>
        <v>2605.909346199599</v>
      </c>
      <c r="AYW13" s="1051">
        <f xml:space="preserve"> AYV13+AYW10-(AYW11*(1-AYW6))-1000</f>
        <v>2289.5793461995972</v>
      </c>
      <c r="AYX13" s="1051">
        <f xml:space="preserve"> AYW13+AYX10-(AYX11*(1-AYX6))-500</f>
        <v>3591.0593461995968</v>
      </c>
      <c r="AYY13" s="1051">
        <f xml:space="preserve"> AYX13+AYY10-(AYY11*(1-AYY6))+1000</f>
        <v>4482.5893461995965</v>
      </c>
      <c r="AYZ13" s="1051">
        <f xml:space="preserve"> AYY13+AYZ10-(AYZ11*(1-AYZ6))+1700</f>
        <v>4134.0313461995956</v>
      </c>
      <c r="AZA13" s="1051">
        <f xml:space="preserve"> AYZ13+AZA10-(AZA11*(1-AZA6))+2000</f>
        <v>5641.3933461995957</v>
      </c>
      <c r="AZB13" s="1051">
        <f xml:space="preserve"> AZA13+AZB10-(AZB11*(1-AZB6))+1000</f>
        <v>5577.8713461995958</v>
      </c>
      <c r="AZC13" s="1051">
        <f xml:space="preserve"> AZB13+AZC10-(AZC11*(1-AZC6))+500</f>
        <v>4570.1593461995944</v>
      </c>
      <c r="AZD13" s="1051">
        <f xml:space="preserve"> AZC13+AZD10-(AZD11*(1-AZD6))+2500</f>
        <v>4696.5993461995949</v>
      </c>
      <c r="AZE13" s="1051">
        <f xml:space="preserve"> AZD13+AZE10-(AZE11*(1-AZE6))+2000</f>
        <v>3629.9293461995949</v>
      </c>
      <c r="AZF13" s="1051">
        <f xml:space="preserve"> AZE13+AZF10-(AZF11*(1-AZF6))+1000</f>
        <v>3262.6473461995947</v>
      </c>
      <c r="AZG13" s="1051">
        <f xml:space="preserve"> AZF13+AZG10-(AZG11*(1-AZG6))+1500</f>
        <v>2649.2133461995945</v>
      </c>
      <c r="AZH13" s="1051">
        <f xml:space="preserve"> AZG13+AZH10-(AZH11*(1-AZH6))+1000</f>
        <v>2924.7653461995942</v>
      </c>
      <c r="AZI13" s="1051">
        <f xml:space="preserve"> AZH13+AZI10-(AZI11*(1-AZI6))+500</f>
        <v>1851.4213461995932</v>
      </c>
      <c r="AZJ13" s="1051">
        <f xml:space="preserve"> AZI13+AZJ10-(AZJ11*(1-AZJ6))+500</f>
        <v>2441.7813461995929</v>
      </c>
      <c r="AZK13" s="1051">
        <f xml:space="preserve"> AZJ13+AZK10-(AZK11*(1-AZK6))+1500</f>
        <v>752.25134619959317</v>
      </c>
      <c r="AZL13" s="1051">
        <f xml:space="preserve"> AZK13+AZL10-(AZL11*(1-AZL6))+0</f>
        <v>2594.7793461995925</v>
      </c>
      <c r="AZM13" s="1051">
        <f xml:space="preserve"> AZL13+AZM10-(AZM11*(1-AZM6))+0</f>
        <v>1494.8973461995929</v>
      </c>
      <c r="AZN13" s="1051">
        <f xml:space="preserve"> AZM13+AZN10-(AZN11*(1-AZN6))+0</f>
        <v>2490.8693461995917</v>
      </c>
      <c r="AZO13" s="1051">
        <f xml:space="preserve"> AZN13+AZO10-(AZO11*(1-AZO6))+0</f>
        <v>3353.9493461995908</v>
      </c>
      <c r="AZP13" s="1051">
        <f xml:space="preserve"> AZO13+AZP10-(AZP11*(1-AZP6))-500</f>
        <v>3441.0733461995906</v>
      </c>
      <c r="AZQ13" s="1051">
        <f xml:space="preserve"> AZP13+AZQ10-(AZQ11*(1-AZQ6))+0</f>
        <v>3297.2433461995915</v>
      </c>
      <c r="AZR13" s="1051">
        <f t="shared" ref="AZR13:AZS13" si="460" xml:space="preserve"> AZQ13+AZR10-(AZR11*(1-AZR6))+0</f>
        <v>3920.437346199592</v>
      </c>
      <c r="AZS13" s="1051">
        <f t="shared" si="460"/>
        <v>3092.321346199592</v>
      </c>
      <c r="AZT13" s="1051">
        <f xml:space="preserve"> AZS13+AZT10-(AZT11*(1-AZT6))-1000</f>
        <v>3410.2693461995896</v>
      </c>
      <c r="AZU13" s="1051">
        <f xml:space="preserve"> AZT13+AZU10-(AZU11*(1-AZU6))+0</f>
        <v>2009.2413461995902</v>
      </c>
      <c r="AZV13" s="1051">
        <f xml:space="preserve"> AZU13+AZV10-(AZV11*(1-AZV6))+0</f>
        <v>4704.4113461995894</v>
      </c>
      <c r="AZW13" s="1051">
        <f t="shared" ref="AZW13" si="461" xml:space="preserve"> AZV13+AZW10-(AZW11*(1-AZW6))+0</f>
        <v>3061.2313461995891</v>
      </c>
      <c r="AZX13" s="1051">
        <f xml:space="preserve"> AZW13+AZX10-(AZX11*(1-AZX6))-1000</f>
        <v>3850.7813461995893</v>
      </c>
      <c r="AZY13" s="1051">
        <f xml:space="preserve"> AZX13+AZY10-(AZY11*(1-AZY6))-1400</f>
        <v>3065.1073461995866</v>
      </c>
      <c r="AZZ13" s="1051">
        <f xml:space="preserve"> AZY13+AZZ10-(AZZ11*(1-AZZ6))-300</f>
        <v>2772.5573461995864</v>
      </c>
      <c r="BAA13" s="1051">
        <f xml:space="preserve"> AZZ13+BAA10-(BAA11*(1-BAA6))+1000</f>
        <v>2018.3873461995872</v>
      </c>
      <c r="BAB13" s="1051">
        <f xml:space="preserve"> BAA13+BAB10-(BAB11*(1-BAB6))+500</f>
        <v>3685.1573461995877</v>
      </c>
      <c r="BAC13" s="1051">
        <f xml:space="preserve"> BAB13+BAC10-(BAC11*(1-BAC6))-500</f>
        <v>4627.9393461995878</v>
      </c>
      <c r="BAD13" s="1051">
        <f t="shared" ref="BAD13:BAI13" si="462" xml:space="preserve"> BAC13+BAD10-(BAD11*(1-BAD6))+500</f>
        <v>4578.3393461995875</v>
      </c>
      <c r="BAE13" s="1051">
        <f t="shared" si="462"/>
        <v>3543.9293461995876</v>
      </c>
      <c r="BAF13" s="1051">
        <f t="shared" si="462"/>
        <v>5863.1513461995874</v>
      </c>
      <c r="BAG13" s="1051">
        <f t="shared" si="462"/>
        <v>6623.2063461995867</v>
      </c>
      <c r="BAH13" s="1051">
        <f t="shared" si="462"/>
        <v>4723.5683461995868</v>
      </c>
      <c r="BAI13" s="1051">
        <f t="shared" si="462"/>
        <v>3773.3323461995869</v>
      </c>
      <c r="BAJ13" s="1051">
        <f t="shared" ref="BAJ13" si="463" xml:space="preserve"> BAI13+BAJ10-(BAJ11*(1-BAJ6))+500</f>
        <v>2893.7023461995868</v>
      </c>
      <c r="BAK13" s="1051">
        <f xml:space="preserve"> BAJ13+BAK10-(BAK11*(1-BAK6))+0</f>
        <v>2590.1443461995868</v>
      </c>
      <c r="BAL13" s="1051">
        <f xml:space="preserve"> BAK13+BAL10-(BAL11*(1-BAL6))+200</f>
        <v>3181.9443461995861</v>
      </c>
      <c r="BAM13" s="1051">
        <f xml:space="preserve"> BAL13+BAM10-(BAM11*(1-BAM6))+0</f>
        <v>3192.6763461995861</v>
      </c>
      <c r="BAN13" s="1051">
        <f xml:space="preserve"> BAM13+BAN10-(BAN11*(1-BAN6))+0</f>
        <v>3542.2103461995866</v>
      </c>
      <c r="BAO13" s="1051">
        <f xml:space="preserve"> BAN13+BAO10-(BAO11*(1-BAO6))+0</f>
        <v>2023.0043461995874</v>
      </c>
      <c r="BAP13" s="1051">
        <f xml:space="preserve"> BAO13+BAP10-(BAP11*(1-BAP6))+500</f>
        <v>2228.4143461995864</v>
      </c>
      <c r="BAQ13" s="1051">
        <f xml:space="preserve"> BAP13+BAQ10-(BAQ11*(1-BAQ6))+700</f>
        <v>1254.9003461995871</v>
      </c>
      <c r="BAR13" s="1051">
        <f xml:space="preserve"> BAQ13+BAR10-(BAR11*(1-BAR6))+700</f>
        <v>1755.1143461995871</v>
      </c>
      <c r="BAS13" s="1051">
        <f xml:space="preserve"> BAR13+BAS10-(BAS11*(1-BAS6))+0</f>
        <v>3300.3823461995862</v>
      </c>
      <c r="BAT13" s="1051">
        <f xml:space="preserve"> BAS13+BAT10-(BAT11*(1-BAT6))+500</f>
        <v>3967.8363461995859</v>
      </c>
      <c r="BAU13" s="1051">
        <f xml:space="preserve"> BAT13+BAU10-(BAU11*(1-BAU6))+0</f>
        <v>2311.8163461995855</v>
      </c>
      <c r="BAV13" s="1051">
        <f xml:space="preserve"> BAU13+BAV10-(BAV11*(1-BAV6))+0</f>
        <v>2318.1223461995851</v>
      </c>
      <c r="BAW13" s="1051">
        <f xml:space="preserve"> BAV13+BAW10-(BAW11*(1-BAW6))+500</f>
        <v>1840.862346199583</v>
      </c>
      <c r="BAX13" s="1051">
        <f xml:space="preserve"> BAW13+BAX10-(BAX11*(1-BAX6))+1200</f>
        <v>1160.652346199583</v>
      </c>
      <c r="BAY13" s="1051">
        <f xml:space="preserve"> BAX13+BAY10-(BAY11*(1-BAY6))+500</f>
        <v>1030.5263461995828</v>
      </c>
      <c r="BAZ13" s="1051">
        <f xml:space="preserve"> BAY13+BAZ10-(BAZ11*(1-BAZ6))-500</f>
        <v>2120.0323461995827</v>
      </c>
      <c r="BBA13" s="1051">
        <f xml:space="preserve"> BAZ13+BBA10-(BBA11*(1-BBA6))+700</f>
        <v>1735.0363461995821</v>
      </c>
      <c r="BBB13" s="1051">
        <f xml:space="preserve"> BBA13+BBB10-(BBB11*(1-BBB6))+1000</f>
        <v>3579.1403461995815</v>
      </c>
      <c r="BBC13" s="1051">
        <f xml:space="preserve"> BBB13+BBC10-(BBC11*(1-BBC6))+0</f>
        <v>3957.8963461995809</v>
      </c>
      <c r="BBD13" s="1051">
        <f xml:space="preserve"> BBC13+BBD10-(BBD11*(1-BBD6))+0</f>
        <v>2801.5483461995818</v>
      </c>
      <c r="BBE13" s="1051">
        <f xml:space="preserve"> BBD13+BBE10-(BBE11*(1-BBE6))-300</f>
        <v>3187.1623461995814</v>
      </c>
      <c r="BBF13" s="1051">
        <f t="shared" ref="BBF13:BBG13" si="464" xml:space="preserve"> BBE13+BBF10-(BBF11*(1-BBF6))-300</f>
        <v>5751.5923461995799</v>
      </c>
      <c r="BBG13" s="1051">
        <f t="shared" si="464"/>
        <v>2722.2743461995788</v>
      </c>
      <c r="BBH13" s="1051">
        <f xml:space="preserve"> BBG13+BBH10-(BBH11*(1-BBH6))-1000</f>
        <v>3582.0263461995783</v>
      </c>
      <c r="BBI13" s="1051">
        <f xml:space="preserve"> BBH13+BBI10-(BBI11*(1-BBI6))-500</f>
        <v>4493.0363461995785</v>
      </c>
      <c r="BBJ13" s="1051">
        <f xml:space="preserve"> BBI13+BBJ10-(BBJ11*(1-BBJ6))+0</f>
        <v>3981.7653461995778</v>
      </c>
      <c r="BBK13" s="1051">
        <f xml:space="preserve"> BBJ13+BBK10-(BBK11*(1-BBK6))-500</f>
        <v>6376.0803461995783</v>
      </c>
      <c r="BBL13" s="1051">
        <f xml:space="preserve"> BBK13+BBL10-(BBL11*(1-BBL6))-1000</f>
        <v>6890.4943461995772</v>
      </c>
      <c r="BBM13" s="1051">
        <f t="shared" ref="BBM13:BBS13" si="465" xml:space="preserve"> BBL13+BBM10-(BBM11*(1-BBM6))-1000</f>
        <v>7007.6443461995759</v>
      </c>
      <c r="BBN13" s="1051">
        <f xml:space="preserve"> BBM13+BBN10-(BBN11*(1-BBN6))-1000</f>
        <v>6753.1543461995752</v>
      </c>
      <c r="BBO13" s="1051">
        <f t="shared" si="465"/>
        <v>4718.7243461995758</v>
      </c>
      <c r="BBP13" s="1051">
        <f t="shared" si="465"/>
        <v>6070.1443461995741</v>
      </c>
      <c r="BBQ13" s="1051">
        <f t="shared" si="465"/>
        <v>6964.8303461995738</v>
      </c>
      <c r="BBR13" s="1051">
        <f t="shared" si="465"/>
        <v>9238.7303461995743</v>
      </c>
      <c r="BBS13" s="1051">
        <f t="shared" si="465"/>
        <v>8359.2963461995751</v>
      </c>
      <c r="BBT13" s="1051">
        <f xml:space="preserve"> BBS13+BBT10-(BBT11*(1-BBT6))-700</f>
        <v>5656.7443461995754</v>
      </c>
      <c r="BBU13" s="1051">
        <f xml:space="preserve"> BBT13+BBU10-(BBU11*(1-BBU6))-700</f>
        <v>2813.1183461995752</v>
      </c>
      <c r="BBV13" s="1051">
        <f xml:space="preserve"> BBU13+BBV10-(BBV11*(1-BBV6))-700</f>
        <v>1325.8383461995745</v>
      </c>
      <c r="BBW13" s="1051">
        <f xml:space="preserve"> BBV13+BBW10-(BBW11*(1-BBW6))-500</f>
        <v>3802.8483461995738</v>
      </c>
      <c r="BBX13" s="1051">
        <f xml:space="preserve"> BBW13+BBX10-(BBX11*(1-BBX6))-500</f>
        <v>3275.8763461995713</v>
      </c>
      <c r="BBY13" s="1051">
        <f xml:space="preserve"> BBX13+BBY10-(BBY11*(1-BBY6))-300</f>
        <v>1507.5763461995703</v>
      </c>
      <c r="BBZ13" s="1051">
        <f xml:space="preserve"> BBY13+BBZ10-(BBZ11*(1-BBZ6))+1500</f>
        <v>1250.3763461995695</v>
      </c>
      <c r="BCA13" s="1051">
        <f xml:space="preserve"> BBZ13+BCA10-(BCA11*(1-BCA6))+1700</f>
        <v>2938.400346199569</v>
      </c>
      <c r="BCB13" s="1051">
        <f t="shared" ref="BCB13" si="466" xml:space="preserve"> BCA13+BCB10-(BCB11*(1-BCB6))+1500</f>
        <v>3850.0163461995689</v>
      </c>
      <c r="BCC13" s="1051">
        <f xml:space="preserve"> BCB13+BCC10-(BCC11*(1-BCC6))+1000</f>
        <v>3671.3493461995695</v>
      </c>
      <c r="BCD13" s="1051">
        <f xml:space="preserve"> BCC13+BCD10-(BCD11*(1-BCD6))+1100</f>
        <v>3061.1243461995691</v>
      </c>
      <c r="BCE13" s="1051">
        <f xml:space="preserve"> BCD13+BCE10-(BCE11*(1-BCE6))+500</f>
        <v>4152.0983461995675</v>
      </c>
      <c r="BCF13" s="1051">
        <f xml:space="preserve"> BCE13+BCF10-(BCF11*(1-BCF6))+500</f>
        <v>3203.2583461995673</v>
      </c>
      <c r="BCG13" s="1051">
        <f xml:space="preserve"> BCF13+BCG10-(BCG11*(1-BCG6))+100</f>
        <v>4525.8163461995682</v>
      </c>
      <c r="BCH13" s="1051">
        <f t="shared" ref="BCH13:BCK13" si="467" xml:space="preserve"> BCG13+BCH10-(BCH11*(1-BCH6))+100</f>
        <v>3578.5363461995676</v>
      </c>
      <c r="BCI13" s="1051">
        <f t="shared" si="467"/>
        <v>5844.0763461995666</v>
      </c>
      <c r="BCJ13" s="1051">
        <f t="shared" si="467"/>
        <v>13405.726346199564</v>
      </c>
      <c r="BCK13" s="1051">
        <f t="shared" si="467"/>
        <v>9858.0203461995661</v>
      </c>
      <c r="BCL13" s="1051">
        <f xml:space="preserve"> BCK13+BCL10-(BCL11*(1-BCL6))+1000</f>
        <v>8576.2703461995661</v>
      </c>
      <c r="BCM13" s="1051">
        <f xml:space="preserve"> BCL13+BCM10-(BCM11*(1-BCM6))+500</f>
        <v>7927.4603461995648</v>
      </c>
      <c r="BCN13" s="1051">
        <f xml:space="preserve"> BCM13+BCN10-(BCN11*(1-BCN6))+500</f>
        <v>6407.7043461995654</v>
      </c>
      <c r="BCO13" s="1051">
        <f xml:space="preserve"> BCN13+BCO10-(BCO11*(1-BCO6))+500</f>
        <v>4665.322346199564</v>
      </c>
      <c r="BCP13" s="1051">
        <f xml:space="preserve"> BCO13+BCP10-(BCP11*(1-BCP6))+500</f>
        <v>3844.2743461995633</v>
      </c>
      <c r="BCQ13" s="1051">
        <f xml:space="preserve"> BCP13+BCQ10-(BCQ11*(1-BCQ6))+1000</f>
        <v>2340.804346199563</v>
      </c>
      <c r="BCR13" s="1051">
        <f xml:space="preserve"> BCQ13+BCR10-(BCR11*(1-BCR6))</f>
        <v>3020.6943461995634</v>
      </c>
      <c r="BCS13" s="1051">
        <f xml:space="preserve"> BCR13+BCS10-(BCS11*(1-BCS6))+1350</f>
        <v>1529.094346199563</v>
      </c>
      <c r="BCT13" s="1051">
        <v>2500</v>
      </c>
      <c r="BCU13" s="1051">
        <v>3000</v>
      </c>
      <c r="BCV13" s="1051">
        <f xml:space="preserve"> BCU13+BCV10-(BCV11*(1-BCV6))+500</f>
        <v>2003.33</v>
      </c>
      <c r="BCW13" s="1051">
        <f xml:space="preserve"> BCV13+BCW10-(BCW11*(1-BCW6))+500</f>
        <v>3179.4179999999988</v>
      </c>
      <c r="BCX13" s="1051">
        <f xml:space="preserve"> BCW13+BCX10-(BCX11*(1-BCX6))+1500</f>
        <v>1914.159999999998</v>
      </c>
      <c r="BCY13" s="1051">
        <f xml:space="preserve"> BCX13+BCY10-(BCY11*(1-BCY6))-1380</f>
        <v>2531.2999999999965</v>
      </c>
      <c r="BCZ13" s="1051">
        <f t="shared" ref="BCZ13" si="468" xml:space="preserve"> BCY13+BCZ10-(BCZ11*(1-BCZ6))-1380</f>
        <v>3182.3399999999956</v>
      </c>
      <c r="BDA13" s="1051">
        <f xml:space="preserve"> BCZ13+BDA10-(BDA11*(1-BDA6))-876</f>
        <v>1766.3199999999943</v>
      </c>
      <c r="BDB13" s="1051">
        <f xml:space="preserve"> BDA13+BDB10-(BDB11*(1-BDB6))+3500</f>
        <v>1504.6719999999941</v>
      </c>
      <c r="BDC13" s="1051">
        <f xml:space="preserve"> BDB13+BDC10-(BDC11*(1-BDC6))-620</f>
        <v>3562.5119999999943</v>
      </c>
      <c r="BDD13" s="1051">
        <f xml:space="preserve"> BDC13+BDD10-(BDD11*(1-BDD6))-180</f>
        <v>2499.6099999999933</v>
      </c>
      <c r="BDE13" s="1051">
        <f xml:space="preserve"> BDD13+BDE10-(BDE11*(1-BDE6))+410</f>
        <v>1214.9079999999931</v>
      </c>
      <c r="BDF13" s="1051">
        <f xml:space="preserve"> BDE13+BDF10-(BDF11*(1-BDF6))+950</f>
        <v>2779.737999999993</v>
      </c>
      <c r="BDG13" s="1051">
        <f xml:space="preserve"> BDF13+BDG10-(BDG11*(1-BDG6))+1200</f>
        <v>1936.5379999999932</v>
      </c>
      <c r="BDH13" s="1051">
        <f xml:space="preserve"> BDG13+BDH10-(BDH11*(1-BDH6))+1800</f>
        <v>2892.487999999993</v>
      </c>
      <c r="BDI13" s="1051">
        <f xml:space="preserve"> BDH13+BDI10-(BDI11*(1-BDI6))</f>
        <v>3709.8619999999928</v>
      </c>
      <c r="BDJ13" s="1051">
        <f xml:space="preserve"> BDI13+BDJ10-(BDJ11*(1-BDJ6))+500</f>
        <v>2881.0219999999927</v>
      </c>
      <c r="BDK13" s="1051">
        <f xml:space="preserve"> BDJ13+BDK10-(BDK11*(1-BDK6))+500</f>
        <v>1435.5919999999915</v>
      </c>
      <c r="BDL13" s="1051">
        <f xml:space="preserve"> BDK13+BDL10-(BDL11*(1-BDL6))+1500</f>
        <v>997.51999999999134</v>
      </c>
      <c r="BDM13" s="1051">
        <f xml:space="preserve"> BDL13+BDM10-(BDM11*(1-BDM6))+1500</f>
        <v>2953.1799999999903</v>
      </c>
      <c r="BDN13" s="1051">
        <f xml:space="preserve"> BDM13+BDN10-(BDN11*(1-BDN6))+200</f>
        <v>1195.5299999999888</v>
      </c>
      <c r="BDO13" s="1051">
        <f xml:space="preserve"> BDN13+BDO10-(BDO11*(1-BDO6))+500</f>
        <v>1614.6499999999887</v>
      </c>
      <c r="BDP13" s="1051">
        <f xml:space="preserve"> BDO13+BDP10-(BDP11*(1-BDP6))-1000</f>
        <v>2216.8099999999877</v>
      </c>
      <c r="BDQ13" s="1051">
        <f xml:space="preserve"> BDP13+BDQ10-(BDQ11*(1-BDQ6))+1500</f>
        <v>1802.2839999999869</v>
      </c>
      <c r="BDR13" s="1051">
        <f xml:space="preserve"> BDQ13+BDR10-(BDR11*(1-BDR6))-600</f>
        <v>1621.8639999999859</v>
      </c>
      <c r="BDS13" s="1051">
        <f xml:space="preserve"> BDR13+BDS10-(BDS11*(1-BDS6))+1200</f>
        <v>1794.8839999999864</v>
      </c>
      <c r="BDT13" s="1051">
        <f xml:space="preserve"> BDS13+BDT10-(BDT11*(1-BDT6))+100</f>
        <v>1696.6339999999868</v>
      </c>
      <c r="BDU13" s="1051">
        <f xml:space="preserve"> BDT13+BDU10-(BDU11*(1-BDU6))+1300</f>
        <v>934.75399999998626</v>
      </c>
      <c r="BDV13" s="1051">
        <f xml:space="preserve"> BDU13+BDV10-(BDV11*(1-BDV6))-800</f>
        <v>1580.7919999999858</v>
      </c>
      <c r="BDW13" s="1051">
        <f xml:space="preserve"> BDV13+BDW10-(BDW11*(1-BDW6))+2800</f>
        <v>897.47399999998652</v>
      </c>
      <c r="BDX13" s="1051">
        <f xml:space="preserve"> BDW13+BDX10-(BDX11*(1-BDX6))-500</f>
        <v>1222.9039999999859</v>
      </c>
      <c r="BDY13" s="1051">
        <f xml:space="preserve"> BDX13+BDY10-(BDY11*(1-BDY6))-500</f>
        <v>1107.9339999999856</v>
      </c>
      <c r="BDZ13" s="1051">
        <f xml:space="preserve"> BDY13+BDZ10-(BDZ11*(1-BDZ6))-500</f>
        <v>682.18799999998464</v>
      </c>
      <c r="BEA13" s="1051">
        <f xml:space="preserve"> BDZ13+BEA10-(BEA11*(1-BEA6))-900</f>
        <v>926.52199999998356</v>
      </c>
      <c r="BEB13" s="1051">
        <f xml:space="preserve"> BEA13+BEB10-(BEB11*(1-BEB6))-900</f>
        <v>1284.6559999999836</v>
      </c>
      <c r="BEC13" s="1051">
        <f xml:space="preserve"> BEB13+BEC10-(BEC11*(1-BEC6))-900</f>
        <v>1607.2659999999833</v>
      </c>
      <c r="BED13" s="1051">
        <f xml:space="preserve"> BEC13+BED10-(BED11*(1-BED6))+800</f>
        <v>1314.3519999999826</v>
      </c>
      <c r="BEE13" s="1051">
        <f xml:space="preserve"> BED13+BEE10-(BEE11*(1-BEE6))+800</f>
        <v>1526.1699999999828</v>
      </c>
      <c r="BEF13" s="1051">
        <f xml:space="preserve"> BEE13+BEF10-(BEF11*(1-BEF6))+800</f>
        <v>2925.9959999999819</v>
      </c>
      <c r="BEG13" s="1051">
        <f xml:space="preserve"> BEF13+BEG10-(BEG11*(1-BEG6))+800</f>
        <v>3167.1739999999818</v>
      </c>
      <c r="BEH13" s="1051">
        <f t="shared" ref="BEH13:BEL13" si="469" xml:space="preserve"> BEG13+BEH10-(BEH11*(1-BEH6))-700</f>
        <v>3642.8199999999806</v>
      </c>
      <c r="BEI13" s="1051">
        <f t="shared" si="469"/>
        <v>5010.5419999999813</v>
      </c>
      <c r="BEJ13" s="1051">
        <f t="shared" si="469"/>
        <v>3021.2019999999811</v>
      </c>
      <c r="BEK13" s="1051">
        <f t="shared" si="469"/>
        <v>1302.9819999999809</v>
      </c>
      <c r="BEL13" s="1051">
        <f t="shared" si="469"/>
        <v>1215.8019999999806</v>
      </c>
      <c r="BEM13" s="1051">
        <f xml:space="preserve"> BEL13+BEM10-(BEM11*(1-BEM6))+1000</f>
        <v>1027.0499999999793</v>
      </c>
      <c r="BEN13" s="1051">
        <f xml:space="preserve"> BEM13+BEN10-(BEN11*(1-BEN6))+500</f>
        <v>1764.3599999999778</v>
      </c>
      <c r="BEO13" s="1051">
        <f xml:space="preserve"> BEN13+BEO10-(BEO11*(1-BEO6))+1500</f>
        <v>1908.3299999999781</v>
      </c>
      <c r="BEP13" s="1051">
        <f xml:space="preserve"> BEO13+BEP10-(BEP11*(1-BEP6))</f>
        <v>2265.8699999999772</v>
      </c>
      <c r="BEQ13" s="1051">
        <f xml:space="preserve"> BEP13+BEQ10-(BEQ11*(1-BEQ6))</f>
        <v>1410.1299999999774</v>
      </c>
      <c r="BER13" s="1051">
        <f xml:space="preserve"> BEQ13+BER10-(BER11*(1-BER6))</f>
        <v>1970.0599999999758</v>
      </c>
      <c r="BES13" s="1051">
        <f xml:space="preserve"> BER13+BES10-(BES11*(1-BES6))-3000</f>
        <v>1531.2139999999754</v>
      </c>
      <c r="BET13" s="1051">
        <f xml:space="preserve"> BES13+BET10-(BET11*(1-BET6))+4000</f>
        <v>1128.943999999974</v>
      </c>
      <c r="BEU13" s="1051">
        <f xml:space="preserve"> BET13+BEU10-(BEU11*(1-BEU6))+500</f>
        <v>1435.2539999999726</v>
      </c>
      <c r="BEV13" s="1051">
        <f xml:space="preserve"> BEU13+BEV10-(BEV11*(1-BEV6))+500</f>
        <v>1390.9899999999725</v>
      </c>
      <c r="BEW13" s="1051">
        <f xml:space="preserve"> BEV13+BEW10-(BEW11*(1-BEW6))</f>
        <v>1731.2339999999713</v>
      </c>
      <c r="BEX13" s="1051">
        <f>BEW13+BEX10-(BEX11*(1-BEX6)-700)</f>
        <v>1373.2409999999709</v>
      </c>
      <c r="BEY13" s="1051">
        <f>BEX13+BEY10-(BEY11*(1-BEY6)-800)</f>
        <v>1802.156999999972</v>
      </c>
      <c r="BEZ13" s="1051">
        <f>BEY13+BEZ10-(BEZ11*(1-BEZ6)-700)</f>
        <v>2744.1869999999708</v>
      </c>
      <c r="BFA13" s="1051">
        <f>BEZ13+BFA10-(BFA11*(1-BFA6)+2000)</f>
        <v>2705.1349999999711</v>
      </c>
      <c r="BFB13" s="1051">
        <f>BFA13+BFB10-(BFB11*(1-BFB6)-700)</f>
        <v>3572.852999999971</v>
      </c>
      <c r="BFC13" s="1051">
        <f>BFB13+BFC10-(BFC11*(1-BFC6)-700)</f>
        <v>2157.7289999999721</v>
      </c>
      <c r="BFD13" s="1051">
        <v>1900</v>
      </c>
      <c r="BFE13" s="1051">
        <v>2300</v>
      </c>
      <c r="BFF13" s="1051">
        <v>1700</v>
      </c>
      <c r="BFG13" s="1051">
        <v>1400</v>
      </c>
      <c r="BFH13" s="1051">
        <v>2000</v>
      </c>
      <c r="BFI13" s="1051">
        <v>1350</v>
      </c>
      <c r="BFJ13" s="1051">
        <v>1400</v>
      </c>
      <c r="BFK13" s="1051">
        <v>1400</v>
      </c>
      <c r="BFL13" s="1051">
        <v>1400</v>
      </c>
      <c r="BFM13" s="1051">
        <v>1400</v>
      </c>
      <c r="BFN13" s="1051">
        <v>1400</v>
      </c>
      <c r="BFO13" s="1051">
        <v>1400</v>
      </c>
      <c r="BFP13" s="1051">
        <v>1400</v>
      </c>
      <c r="BFQ13" s="1051">
        <v>1400</v>
      </c>
      <c r="BFR13" s="1051">
        <f>BFB13+BFC10-(BFC11*(1-BFC6)-450)</f>
        <v>1907.7289999999721</v>
      </c>
      <c r="BFS13" s="1051">
        <f>BFC13+BFD10-(BFD11*(1-BFD6))-1000</f>
        <v>2146.1889999999712</v>
      </c>
      <c r="BFT13" s="1051">
        <f>BFD13+BFE10-(BFE11*(1-BFE6))</f>
        <v>1268.7569999999996</v>
      </c>
      <c r="BFU13" s="1051">
        <f>BFE13+BFF10-(BFF11*(1-BFF6))-500</f>
        <v>1903.8200000000006</v>
      </c>
      <c r="BFV13" s="1051">
        <f>BFF13+BFG10-(BFG11*(1-BFG6))+1000</f>
        <v>1157.3800000000001</v>
      </c>
      <c r="BFW13" s="1051">
        <f>BFG13+BFH10-(BFH11*(1-BFH6))+1000</f>
        <v>1580.6179999999995</v>
      </c>
      <c r="BFX13" s="1051">
        <f>BFH13+BFI10-(BFI11*(1-BFI6))-1200</f>
        <v>1925.3499999999995</v>
      </c>
      <c r="BFY13" s="1051">
        <f>BFI13+BFJ10-(BFJ11*(1-BFJ6))+2500</f>
        <v>2046.3849999999993</v>
      </c>
      <c r="BFZ13" s="1051">
        <f>BFJ13+BFK10-(BFK11*(1-BFK6))-1500</f>
        <v>1869.6420000000007</v>
      </c>
      <c r="BGA13" s="1051">
        <f t="shared" ref="BGA13" si="470">BFK13+BFL10-(BFL11*(1-BFL6))-1500</f>
        <v>1835.3449999999984</v>
      </c>
      <c r="BGB13" s="1051">
        <f>BFL13+BFM10-(BFM11*(1-BFM6))+3500</f>
        <v>2908.079999999999</v>
      </c>
      <c r="BGC13" s="1051">
        <f>BFM13+BFN10-(BFN11*(1-BFN6))+2000</f>
        <v>3040.83</v>
      </c>
      <c r="BGD13" s="1051">
        <f t="shared" ref="BGD13:BGG13" si="471">BFN13+BFO10-(BFO11*(1-BFO6))+2000</f>
        <v>2690.4830000000002</v>
      </c>
      <c r="BGE13" s="1051">
        <f>BFO13+BFP10-(BFP11*(1-BFP6))</f>
        <v>2874.0699999999997</v>
      </c>
      <c r="BGF13" s="1051">
        <f t="shared" si="471"/>
        <v>3060.674</v>
      </c>
      <c r="BGG13" s="1051">
        <f t="shared" si="471"/>
        <v>3105.6679999999997</v>
      </c>
      <c r="BGH13" s="1051">
        <f>BFR13+BFS10-(BFS11*(1-BFS6))-1800</f>
        <v>3715.0119999999715</v>
      </c>
      <c r="BGI13" s="1051">
        <f>BFS13+BFT10-(BFT11*(1-BFT6))+1500</f>
        <v>4874.7669999999707</v>
      </c>
      <c r="BGJ13" s="1051">
        <f t="shared" ref="BGJ13:BGL13" si="472">BFT13+BFU10-(BFU11*(1-BFU6))+1500</f>
        <v>4961.5709999999981</v>
      </c>
      <c r="BGK13" s="1051">
        <f t="shared" si="472"/>
        <v>6711.9249999999993</v>
      </c>
      <c r="BGL13" s="1051">
        <f t="shared" si="472"/>
        <v>4610.2659999999996</v>
      </c>
      <c r="BGM13" s="1051" t="e">
        <f>#REF!+BGM10-(BGM11*(1-BGM6))-0</f>
        <v>#REF!</v>
      </c>
      <c r="BGN13" s="1051" t="e">
        <f t="shared" ref="BGN13:BHU13" si="473">BGM13+BGN10-(BGN11*(1-BGN6))-0</f>
        <v>#REF!</v>
      </c>
      <c r="BGO13" s="1051" t="e">
        <f t="shared" si="473"/>
        <v>#REF!</v>
      </c>
      <c r="BGP13" s="1051" t="e">
        <f t="shared" si="473"/>
        <v>#REF!</v>
      </c>
      <c r="BGQ13" s="1051" t="e">
        <f t="shared" si="473"/>
        <v>#REF!</v>
      </c>
      <c r="BGR13" s="1051" t="e">
        <f t="shared" si="473"/>
        <v>#REF!</v>
      </c>
      <c r="BGS13" s="1051" t="e">
        <f t="shared" si="473"/>
        <v>#REF!</v>
      </c>
      <c r="BGT13" s="1051" t="e">
        <f t="shared" si="473"/>
        <v>#REF!</v>
      </c>
      <c r="BGU13" s="1051" t="e">
        <f t="shared" si="473"/>
        <v>#REF!</v>
      </c>
      <c r="BGV13" s="1051" t="e">
        <f t="shared" si="473"/>
        <v>#REF!</v>
      </c>
      <c r="BGW13" s="1051" t="e">
        <f t="shared" si="473"/>
        <v>#REF!</v>
      </c>
      <c r="BGX13" s="1051" t="e">
        <f t="shared" si="473"/>
        <v>#REF!</v>
      </c>
      <c r="BGY13" s="1051" t="e">
        <f t="shared" si="473"/>
        <v>#REF!</v>
      </c>
      <c r="BGZ13" s="1051" t="e">
        <f t="shared" si="473"/>
        <v>#REF!</v>
      </c>
      <c r="BHA13" s="1051" t="e">
        <f t="shared" si="473"/>
        <v>#REF!</v>
      </c>
      <c r="BHB13" s="1051" t="e">
        <f t="shared" si="473"/>
        <v>#REF!</v>
      </c>
      <c r="BHC13" s="1051" t="e">
        <f t="shared" si="473"/>
        <v>#REF!</v>
      </c>
      <c r="BHD13" s="1051" t="e">
        <f t="shared" si="473"/>
        <v>#REF!</v>
      </c>
      <c r="BHE13" s="1051" t="e">
        <f t="shared" si="473"/>
        <v>#REF!</v>
      </c>
      <c r="BHF13" s="1051" t="e">
        <f t="shared" si="473"/>
        <v>#REF!</v>
      </c>
      <c r="BHG13" s="1051" t="e">
        <f t="shared" si="473"/>
        <v>#REF!</v>
      </c>
      <c r="BHH13" s="1051" t="e">
        <f t="shared" si="473"/>
        <v>#REF!</v>
      </c>
      <c r="BHI13" s="1051" t="e">
        <f t="shared" si="473"/>
        <v>#REF!</v>
      </c>
      <c r="BHJ13" s="1051" t="e">
        <f t="shared" si="473"/>
        <v>#REF!</v>
      </c>
      <c r="BHK13" s="1051" t="e">
        <f t="shared" si="473"/>
        <v>#REF!</v>
      </c>
      <c r="BHL13" s="1051" t="e">
        <f t="shared" si="473"/>
        <v>#REF!</v>
      </c>
      <c r="BHM13" s="1051" t="e">
        <f t="shared" si="473"/>
        <v>#REF!</v>
      </c>
      <c r="BHN13" s="1051" t="e">
        <f t="shared" si="473"/>
        <v>#REF!</v>
      </c>
      <c r="BHO13" s="1051" t="e">
        <f t="shared" si="473"/>
        <v>#REF!</v>
      </c>
      <c r="BHP13" s="1051" t="e">
        <f t="shared" si="473"/>
        <v>#REF!</v>
      </c>
      <c r="BHQ13" s="1051" t="e">
        <f t="shared" si="473"/>
        <v>#REF!</v>
      </c>
      <c r="BHR13" s="1051" t="e">
        <f t="shared" si="473"/>
        <v>#REF!</v>
      </c>
      <c r="BHS13" s="1051" t="e">
        <f t="shared" si="473"/>
        <v>#REF!</v>
      </c>
      <c r="BHT13" s="1051" t="e">
        <f t="shared" si="473"/>
        <v>#REF!</v>
      </c>
      <c r="BHU13" s="1051" t="e">
        <f t="shared" si="473"/>
        <v>#REF!</v>
      </c>
    </row>
    <row r="14" spans="1:1615" s="831" customFormat="1" ht="39" hidden="1" customHeight="1" x14ac:dyDescent="0.2">
      <c r="A14" s="830"/>
      <c r="B14" s="830"/>
      <c r="C14" s="830"/>
      <c r="D14" s="830"/>
      <c r="E14" s="1148"/>
      <c r="F14" s="1148"/>
      <c r="G14" s="1148"/>
      <c r="H14" s="1140">
        <f t="shared" ref="H14:BS14" si="474">H13-H13*(H6+1-0.96)</f>
        <v>1436.2252799999999</v>
      </c>
      <c r="I14" s="1045">
        <f t="shared" si="474"/>
        <v>4174.8940799999991</v>
      </c>
      <c r="J14" s="1045">
        <f t="shared" si="474"/>
        <v>6018.1094399999993</v>
      </c>
      <c r="K14" s="1045">
        <f t="shared" si="474"/>
        <v>7495.0713599999981</v>
      </c>
      <c r="L14" s="1045">
        <f t="shared" si="474"/>
        <v>10268.549759999998</v>
      </c>
      <c r="M14" s="1045">
        <f t="shared" si="474"/>
        <v>11716.440959999998</v>
      </c>
      <c r="N14" s="1045">
        <f t="shared" si="474"/>
        <v>13809.720959999999</v>
      </c>
      <c r="O14" s="1045">
        <f t="shared" si="474"/>
        <v>13801.421087999999</v>
      </c>
      <c r="P14" s="1045">
        <f t="shared" si="474"/>
        <v>13713.153215999997</v>
      </c>
      <c r="Q14" s="1045">
        <f t="shared" si="474"/>
        <v>13409.442143999999</v>
      </c>
      <c r="R14" s="1045">
        <f t="shared" si="474"/>
        <v>14151.900672</v>
      </c>
      <c r="S14" s="1045">
        <f t="shared" si="474"/>
        <v>14371.2744</v>
      </c>
      <c r="T14" s="1045">
        <f t="shared" si="474"/>
        <v>15078.923328000001</v>
      </c>
      <c r="U14" s="1045">
        <f t="shared" si="474"/>
        <v>16780.997856000002</v>
      </c>
      <c r="V14" s="1045">
        <f t="shared" si="474"/>
        <v>16337.107584000005</v>
      </c>
      <c r="W14" s="1045">
        <f t="shared" si="474"/>
        <v>16673.140512000005</v>
      </c>
      <c r="X14" s="1045">
        <f t="shared" si="474"/>
        <v>17270.715840000008</v>
      </c>
      <c r="Y14" s="1045">
        <f t="shared" si="474"/>
        <v>18210.74236800001</v>
      </c>
      <c r="Z14" s="1045">
        <f t="shared" si="474"/>
        <v>17970.064896000011</v>
      </c>
      <c r="AA14" s="1045">
        <f t="shared" si="474"/>
        <v>19485.861024000013</v>
      </c>
      <c r="AB14" s="1045">
        <f t="shared" si="474"/>
        <v>20315.813952000015</v>
      </c>
      <c r="AC14" s="1045">
        <f t="shared" si="474"/>
        <v>20953.843680000016</v>
      </c>
      <c r="AD14" s="1045">
        <f t="shared" si="474"/>
        <v>20266.28620800002</v>
      </c>
      <c r="AE14" s="1045">
        <f t="shared" si="474"/>
        <v>19688.802336000022</v>
      </c>
      <c r="AF14" s="1045">
        <f t="shared" si="474"/>
        <v>18884.58566400002</v>
      </c>
      <c r="AG14" s="1045">
        <f t="shared" si="474"/>
        <v>19074.794592000024</v>
      </c>
      <c r="AH14" s="1045">
        <f t="shared" si="474"/>
        <v>20020.465920000024</v>
      </c>
      <c r="AI14" s="1045">
        <f t="shared" si="474"/>
        <v>21106.316448000027</v>
      </c>
      <c r="AJ14" s="1045">
        <f t="shared" si="474"/>
        <v>21959.789376000026</v>
      </c>
      <c r="AK14" s="1045">
        <f t="shared" si="474"/>
        <v>23283.66230400003</v>
      </c>
      <c r="AL14" s="1045">
        <f t="shared" si="474"/>
        <v>24793.81363200003</v>
      </c>
      <c r="AM14" s="1045">
        <f t="shared" si="474"/>
        <v>26414.038560000034</v>
      </c>
      <c r="AN14" s="1045">
        <f t="shared" si="474"/>
        <v>27853.629888000032</v>
      </c>
      <c r="AO14" s="1045">
        <f t="shared" si="474"/>
        <v>28590.443616000033</v>
      </c>
      <c r="AP14" s="1045">
        <f t="shared" si="474"/>
        <v>27972.317184000032</v>
      </c>
      <c r="AQ14" s="1045">
        <f t="shared" si="474"/>
        <v>27150.789792000032</v>
      </c>
      <c r="AR14" s="1045">
        <f t="shared" si="474"/>
        <v>27385.593904640038</v>
      </c>
      <c r="AS14" s="1045">
        <f t="shared" si="474"/>
        <v>28658.529097440034</v>
      </c>
      <c r="AT14" s="1045">
        <f t="shared" si="474"/>
        <v>29878.339921600033</v>
      </c>
      <c r="AU14" s="1045">
        <f t="shared" si="474"/>
        <v>30851.501891360032</v>
      </c>
      <c r="AV14" s="1045">
        <f t="shared" si="474"/>
        <v>32000.164007520034</v>
      </c>
      <c r="AW14" s="1045">
        <f t="shared" si="474"/>
        <v>32938.225948000036</v>
      </c>
      <c r="AX14" s="1045">
        <f t="shared" si="474"/>
        <v>34218.620642240036</v>
      </c>
      <c r="AY14" s="1045">
        <f t="shared" si="474"/>
        <v>35234.134353280031</v>
      </c>
      <c r="AZ14" s="1045">
        <f t="shared" si="474"/>
        <v>36883.158670560035</v>
      </c>
      <c r="BA14" s="1045">
        <f t="shared" si="474"/>
        <v>38140.259331840025</v>
      </c>
      <c r="BB14" s="1045">
        <f t="shared" si="474"/>
        <v>37938.317630560021</v>
      </c>
      <c r="BC14" s="1045">
        <f t="shared" si="474"/>
        <v>38068.350937280025</v>
      </c>
      <c r="BD14" s="1045">
        <f t="shared" si="474"/>
        <v>39484.621796000029</v>
      </c>
      <c r="BE14" s="1045">
        <f t="shared" si="474"/>
        <v>41691.608174720022</v>
      </c>
      <c r="BF14" s="1045">
        <f t="shared" si="474"/>
        <v>42353.66612144003</v>
      </c>
      <c r="BG14" s="1045">
        <f t="shared" si="474"/>
        <v>44181.855140160027</v>
      </c>
      <c r="BH14" s="1045">
        <f t="shared" si="474"/>
        <v>45531.500894880024</v>
      </c>
      <c r="BI14" s="1045">
        <f t="shared" si="474"/>
        <v>46951.188425600027</v>
      </c>
      <c r="BJ14" s="1045">
        <f t="shared" si="474"/>
        <v>46852.444164320026</v>
      </c>
      <c r="BK14" s="1045">
        <f t="shared" si="474"/>
        <v>48927.295983040021</v>
      </c>
      <c r="BL14" s="1045">
        <f t="shared" si="474"/>
        <v>48859.685273760027</v>
      </c>
      <c r="BM14" s="1045">
        <f t="shared" si="474"/>
        <v>48279.481152000022</v>
      </c>
      <c r="BN14" s="1045">
        <f t="shared" si="474"/>
        <v>49855.144080000013</v>
      </c>
      <c r="BO14" s="1045">
        <f t="shared" si="474"/>
        <v>49937.051808000018</v>
      </c>
      <c r="BP14" s="1045">
        <f t="shared" si="474"/>
        <v>48385.562736000014</v>
      </c>
      <c r="BQ14" s="1045">
        <f t="shared" si="474"/>
        <v>48056.508864000018</v>
      </c>
      <c r="BR14" s="1045">
        <f t="shared" si="474"/>
        <v>47481.301392000016</v>
      </c>
      <c r="BS14" s="1045">
        <f t="shared" si="474"/>
        <v>48174.225120000017</v>
      </c>
      <c r="BT14" s="1045">
        <f t="shared" ref="BT14:EE14" si="475">BT13-BT13*(BT6+1-0.96)</f>
        <v>48804.048048000019</v>
      </c>
      <c r="BU14" s="1045">
        <f t="shared" si="475"/>
        <v>48466.056576000017</v>
      </c>
      <c r="BV14" s="1045">
        <f t="shared" si="475"/>
        <v>49807.964304000016</v>
      </c>
      <c r="BW14" s="1045">
        <f t="shared" si="475"/>
        <v>50152.019232000021</v>
      </c>
      <c r="BX14" s="1045">
        <f t="shared" si="475"/>
        <v>50236.614960000014</v>
      </c>
      <c r="BY14" s="1045">
        <f t="shared" si="475"/>
        <v>49660.231488000019</v>
      </c>
      <c r="BZ14" s="1045">
        <f t="shared" si="475"/>
        <v>51578.076816000015</v>
      </c>
      <c r="CA14" s="1045">
        <f t="shared" si="475"/>
        <v>51835.275744000013</v>
      </c>
      <c r="CB14" s="1045">
        <f t="shared" si="475"/>
        <v>50035.079472000019</v>
      </c>
      <c r="CC14" s="1045">
        <f t="shared" si="475"/>
        <v>52314.259200000015</v>
      </c>
      <c r="CD14" s="1045">
        <f t="shared" si="475"/>
        <v>52534.027728000015</v>
      </c>
      <c r="CE14" s="1045">
        <f t="shared" si="475"/>
        <v>53259.879456000017</v>
      </c>
      <c r="CF14" s="1045">
        <f t="shared" si="475"/>
        <v>53382.006384000015</v>
      </c>
      <c r="CG14" s="1045">
        <f t="shared" si="475"/>
        <v>52170.75091200001</v>
      </c>
      <c r="CH14" s="1045">
        <f t="shared" si="475"/>
        <v>53680.08744000001</v>
      </c>
      <c r="CI14" s="1045">
        <f t="shared" si="475"/>
        <v>54474.348768000003</v>
      </c>
      <c r="CJ14" s="1045">
        <f t="shared" si="475"/>
        <v>54643.717296000003</v>
      </c>
      <c r="CK14" s="1045">
        <f t="shared" si="475"/>
        <v>54005.543423999996</v>
      </c>
      <c r="CL14" s="1045">
        <f t="shared" si="475"/>
        <v>54689.059151999994</v>
      </c>
      <c r="CM14" s="1045">
        <f t="shared" si="475"/>
        <v>54336.888480000001</v>
      </c>
      <c r="CN14" s="1045">
        <f t="shared" si="475"/>
        <v>54839.636208000004</v>
      </c>
      <c r="CO14" s="1045">
        <f t="shared" si="475"/>
        <v>55927.897535999997</v>
      </c>
      <c r="CP14" s="1045">
        <f t="shared" si="475"/>
        <v>54571.221263999993</v>
      </c>
      <c r="CQ14" s="1045">
        <f t="shared" si="475"/>
        <v>55590.938591999991</v>
      </c>
      <c r="CR14" s="1045">
        <f t="shared" si="475"/>
        <v>57158.537519999983</v>
      </c>
      <c r="CS14" s="1045">
        <f t="shared" si="475"/>
        <v>57565.189247999981</v>
      </c>
      <c r="CT14" s="1045">
        <f t="shared" si="475"/>
        <v>59161.146575999985</v>
      </c>
      <c r="CU14" s="1045">
        <f t="shared" si="475"/>
        <v>59270.169503999983</v>
      </c>
      <c r="CV14" s="1045">
        <f t="shared" si="475"/>
        <v>59928.485231999977</v>
      </c>
      <c r="CW14" s="1045">
        <f t="shared" si="475"/>
        <v>59588.343359999977</v>
      </c>
      <c r="CX14" s="1045">
        <f t="shared" si="475"/>
        <v>57786.33268799998</v>
      </c>
      <c r="CY14" s="1045">
        <f t="shared" si="475"/>
        <v>57662.440415999983</v>
      </c>
      <c r="CZ14" s="1045">
        <f t="shared" si="475"/>
        <v>58539.223343999984</v>
      </c>
      <c r="DA14" s="1045">
        <f t="shared" si="475"/>
        <v>58140.348671999986</v>
      </c>
      <c r="DB14" s="1045">
        <f t="shared" si="475"/>
        <v>58607.816399999982</v>
      </c>
      <c r="DC14" s="1045">
        <f t="shared" si="475"/>
        <v>59075.62012799998</v>
      </c>
      <c r="DD14" s="1045">
        <f t="shared" si="475"/>
        <v>58884.595055999976</v>
      </c>
      <c r="DE14" s="1045">
        <f t="shared" si="475"/>
        <v>59054.568383999977</v>
      </c>
      <c r="DF14" s="1045">
        <f t="shared" si="475"/>
        <v>60139.738511999982</v>
      </c>
      <c r="DG14" s="1045">
        <f t="shared" si="475"/>
        <v>59646.582239999974</v>
      </c>
      <c r="DH14" s="1045">
        <f t="shared" si="475"/>
        <v>60016.206767999975</v>
      </c>
      <c r="DI14" s="1045">
        <f t="shared" si="475"/>
        <v>60745.687295999975</v>
      </c>
      <c r="DJ14" s="1045">
        <f t="shared" si="475"/>
        <v>60672.127823999974</v>
      </c>
      <c r="DK14" s="1045">
        <f t="shared" si="475"/>
        <v>61479.896351999974</v>
      </c>
      <c r="DL14" s="1045">
        <f t="shared" si="475"/>
        <v>60458.212079999968</v>
      </c>
      <c r="DM14" s="1045">
        <f t="shared" si="475"/>
        <v>59710.838207999965</v>
      </c>
      <c r="DN14" s="1045">
        <f t="shared" si="475"/>
        <v>59480.769935999961</v>
      </c>
      <c r="DO14" s="1045">
        <f t="shared" si="475"/>
        <v>60889.172063999962</v>
      </c>
      <c r="DP14" s="1045">
        <f t="shared" si="475"/>
        <v>62520.073391999955</v>
      </c>
      <c r="DQ14" s="1045">
        <f t="shared" si="475"/>
        <v>62379.045119999966</v>
      </c>
      <c r="DR14" s="1045">
        <f t="shared" si="475"/>
        <v>62863.178447999962</v>
      </c>
      <c r="DS14" s="1045">
        <f t="shared" si="475"/>
        <v>63939.343775999958</v>
      </c>
      <c r="DT14" s="1045">
        <f t="shared" si="475"/>
        <v>63713.441903999956</v>
      </c>
      <c r="DU14" s="1045">
        <f t="shared" si="475"/>
        <v>65895.450431999954</v>
      </c>
      <c r="DV14" s="1045">
        <f t="shared" si="475"/>
        <v>68295.758159999954</v>
      </c>
      <c r="DW14" s="1045">
        <f t="shared" si="475"/>
        <v>67118.875487999961</v>
      </c>
      <c r="DX14" s="1045">
        <f t="shared" si="475"/>
        <v>66970.354415999958</v>
      </c>
      <c r="DY14" s="1045">
        <f t="shared" si="475"/>
        <v>69555.865343999947</v>
      </c>
      <c r="DZ14" s="1045">
        <f t="shared" si="475"/>
        <v>69980.728271999949</v>
      </c>
      <c r="EA14" s="1045">
        <f t="shared" si="475"/>
        <v>69912.074399999939</v>
      </c>
      <c r="EB14" s="1045">
        <f t="shared" si="475"/>
        <v>68401.913327999937</v>
      </c>
      <c r="EC14" s="1045">
        <f t="shared" si="475"/>
        <v>72409.477055999931</v>
      </c>
      <c r="ED14" s="1045">
        <f t="shared" si="475"/>
        <v>69829.458383999925</v>
      </c>
      <c r="EE14" s="1045">
        <f t="shared" si="475"/>
        <v>65664.158111999932</v>
      </c>
      <c r="EF14" s="1045">
        <f t="shared" ref="EF14:GQ14" si="476">EF13-EF13*(EF6+1-0.96)</f>
        <v>68140.637039999929</v>
      </c>
      <c r="EG14" s="1045">
        <f t="shared" si="476"/>
        <v>67004.94796799992</v>
      </c>
      <c r="EH14" s="1045">
        <f t="shared" si="476"/>
        <v>65352.222095999918</v>
      </c>
      <c r="EI14" s="1045">
        <f t="shared" si="476"/>
        <v>65625.045023999919</v>
      </c>
      <c r="EJ14" s="1045">
        <f t="shared" si="476"/>
        <v>63753.919151999908</v>
      </c>
      <c r="EK14" s="1045">
        <f t="shared" si="476"/>
        <v>62301.9532799999</v>
      </c>
      <c r="EL14" s="1045">
        <f t="shared" si="476"/>
        <v>59639.749007999897</v>
      </c>
      <c r="EM14" s="1045">
        <f t="shared" si="476"/>
        <v>58133.149535999903</v>
      </c>
      <c r="EN14" s="1045">
        <f t="shared" si="476"/>
        <v>58509.796463999905</v>
      </c>
      <c r="EO14" s="1045">
        <f t="shared" si="476"/>
        <v>56959.550591999898</v>
      </c>
      <c r="EP14" s="1045">
        <f t="shared" si="476"/>
        <v>53439.6727199999</v>
      </c>
      <c r="EQ14" s="1045">
        <f t="shared" si="476"/>
        <v>51343.930847999902</v>
      </c>
      <c r="ER14" s="1045">
        <f t="shared" si="476"/>
        <v>51259.417775999907</v>
      </c>
      <c r="ES14" s="1045">
        <f t="shared" si="476"/>
        <v>52240.528703999902</v>
      </c>
      <c r="ET14" s="1045">
        <f t="shared" si="476"/>
        <v>54433.289231999901</v>
      </c>
      <c r="EU14" s="1045">
        <f t="shared" si="476"/>
        <v>56119.630559999896</v>
      </c>
      <c r="EV14" s="1045">
        <f t="shared" si="476"/>
        <v>57143.783087999895</v>
      </c>
      <c r="EW14" s="1045">
        <f t="shared" si="476"/>
        <v>58070.663615999896</v>
      </c>
      <c r="EX14" s="1045">
        <f t="shared" si="476"/>
        <v>61837.315343999901</v>
      </c>
      <c r="EY14" s="1045">
        <f t="shared" si="476"/>
        <v>60346.709471999893</v>
      </c>
      <c r="EZ14" s="1045">
        <f t="shared" si="476"/>
        <v>63091.249199999897</v>
      </c>
      <c r="FA14" s="1045">
        <f t="shared" si="476"/>
        <v>62032.336127999901</v>
      </c>
      <c r="FB14" s="1045">
        <f t="shared" si="476"/>
        <v>64526.085455999906</v>
      </c>
      <c r="FC14" s="1045">
        <f t="shared" si="476"/>
        <v>64486.193183999902</v>
      </c>
      <c r="FD14" s="1045">
        <f t="shared" si="476"/>
        <v>66033.4641119999</v>
      </c>
      <c r="FE14" s="1045">
        <f t="shared" si="476"/>
        <v>62725.2326399999</v>
      </c>
      <c r="FF14" s="1045">
        <f t="shared" si="476"/>
        <v>59921.505167999901</v>
      </c>
      <c r="FG14" s="1045">
        <f t="shared" si="476"/>
        <v>57759.369695999907</v>
      </c>
      <c r="FH14" s="1045">
        <f t="shared" si="476"/>
        <v>54989.175023999902</v>
      </c>
      <c r="FI14" s="1045">
        <f t="shared" si="476"/>
        <v>54718.6187519999</v>
      </c>
      <c r="FJ14" s="1045">
        <f t="shared" si="476"/>
        <v>53861.104079999903</v>
      </c>
      <c r="FK14" s="1045">
        <f t="shared" si="476"/>
        <v>51290.661407999905</v>
      </c>
      <c r="FL14" s="1045">
        <f t="shared" si="476"/>
        <v>46726.663535999898</v>
      </c>
      <c r="FM14" s="1045">
        <f t="shared" si="476"/>
        <v>44239.212863999899</v>
      </c>
      <c r="FN14" s="1045">
        <f t="shared" si="476"/>
        <v>43273.875791999897</v>
      </c>
      <c r="FO14" s="1045">
        <f t="shared" si="476"/>
        <v>42042.863519999897</v>
      </c>
      <c r="FP14" s="1045">
        <f t="shared" si="476"/>
        <v>42768.816047999899</v>
      </c>
      <c r="FQ14" s="1045">
        <f t="shared" si="476"/>
        <v>45110.861375999899</v>
      </c>
      <c r="FR14" s="1045">
        <f t="shared" si="476"/>
        <v>42676.666703999901</v>
      </c>
      <c r="FS14" s="1045">
        <f t="shared" si="476"/>
        <v>42498.678431999899</v>
      </c>
      <c r="FT14" s="1045">
        <f t="shared" si="476"/>
        <v>41352.102959999902</v>
      </c>
      <c r="FU14" s="1045">
        <f t="shared" si="476"/>
        <v>40164.300287999897</v>
      </c>
      <c r="FV14" s="1045">
        <f t="shared" si="476"/>
        <v>40872.680015999897</v>
      </c>
      <c r="FW14" s="1045">
        <f t="shared" si="476"/>
        <v>40486.472543999902</v>
      </c>
      <c r="FX14" s="1045">
        <f t="shared" si="476"/>
        <v>40501.213871999898</v>
      </c>
      <c r="FY14" s="1045">
        <f t="shared" si="476"/>
        <v>41556.614399999897</v>
      </c>
      <c r="FZ14" s="1045">
        <f t="shared" si="476"/>
        <v>43204.651727999903</v>
      </c>
      <c r="GA14" s="1045">
        <f t="shared" si="476"/>
        <v>43535.3002559999</v>
      </c>
      <c r="GB14" s="1045">
        <f t="shared" si="476"/>
        <v>44243.343983999897</v>
      </c>
      <c r="GC14" s="1045">
        <f t="shared" si="476"/>
        <v>43697.704511999895</v>
      </c>
      <c r="GD14" s="1045">
        <f t="shared" si="476"/>
        <v>43676.426639999896</v>
      </c>
      <c r="GE14" s="1045">
        <f t="shared" si="476"/>
        <v>45699.238367999889</v>
      </c>
      <c r="GF14" s="1045">
        <f t="shared" si="476"/>
        <v>45242.638895999888</v>
      </c>
      <c r="GG14" s="1045">
        <f t="shared" si="476"/>
        <v>47343.06662399989</v>
      </c>
      <c r="GH14" s="1045">
        <f t="shared" si="476"/>
        <v>51136.76635199989</v>
      </c>
      <c r="GI14" s="1045">
        <f t="shared" si="476"/>
        <v>52192.267679999881</v>
      </c>
      <c r="GJ14" s="1045">
        <f t="shared" si="476"/>
        <v>51900.476207999876</v>
      </c>
      <c r="GK14" s="1045">
        <f t="shared" si="476"/>
        <v>51168.255935999885</v>
      </c>
      <c r="GL14" s="1045">
        <f t="shared" si="476"/>
        <v>48698.680463999888</v>
      </c>
      <c r="GM14" s="1045">
        <f t="shared" si="476"/>
        <v>50382.132191999888</v>
      </c>
      <c r="GN14" s="1045">
        <f t="shared" si="476"/>
        <v>47838.804719999884</v>
      </c>
      <c r="GO14" s="1045">
        <f t="shared" si="476"/>
        <v>47397.224447999884</v>
      </c>
      <c r="GP14" s="1045">
        <f t="shared" si="476"/>
        <v>46812.81057599988</v>
      </c>
      <c r="GQ14" s="1045">
        <f t="shared" si="476"/>
        <v>47061.945503999879</v>
      </c>
      <c r="GR14" s="1045">
        <f t="shared" ref="GR14:JC14" si="477">GR13-GR13*(GR6+1-0.96)</f>
        <v>46199.659631999879</v>
      </c>
      <c r="GS14" s="1045">
        <f t="shared" si="477"/>
        <v>46871.751359999878</v>
      </c>
      <c r="GT14" s="1045">
        <f t="shared" si="477"/>
        <v>45627.803087999884</v>
      </c>
      <c r="GU14" s="1045">
        <f t="shared" si="477"/>
        <v>43608.820415999879</v>
      </c>
      <c r="GV14" s="1045">
        <f t="shared" si="477"/>
        <v>42331.443511999874</v>
      </c>
      <c r="GW14" s="1045">
        <f t="shared" si="477"/>
        <v>41970.86425599987</v>
      </c>
      <c r="GX14" s="1045">
        <f t="shared" si="477"/>
        <v>41738.598599999867</v>
      </c>
      <c r="GY14" s="1045">
        <f t="shared" si="477"/>
        <v>41843.057743999867</v>
      </c>
      <c r="GZ14" s="1045">
        <f t="shared" si="477"/>
        <v>40145.320887999864</v>
      </c>
      <c r="HA14" s="1045">
        <f t="shared" si="477"/>
        <v>39618.478431999865</v>
      </c>
      <c r="HB14" s="1045">
        <f t="shared" si="477"/>
        <v>41221.22491199986</v>
      </c>
      <c r="HC14" s="1045">
        <f t="shared" si="477"/>
        <v>40773.193439999864</v>
      </c>
      <c r="HD14" s="1045">
        <f t="shared" si="477"/>
        <v>40724.766767999856</v>
      </c>
      <c r="HE14" s="1045">
        <f t="shared" si="477"/>
        <v>37568.877695999858</v>
      </c>
      <c r="HF14" s="1045">
        <f t="shared" si="477"/>
        <v>36078.843023999856</v>
      </c>
      <c r="HG14" s="1045">
        <f t="shared" si="477"/>
        <v>33927.392351999857</v>
      </c>
      <c r="HH14" s="1045">
        <f t="shared" si="477"/>
        <v>32996.024879999859</v>
      </c>
      <c r="HI14" s="1045">
        <f t="shared" si="477"/>
        <v>31359.383983999858</v>
      </c>
      <c r="HJ14" s="1045">
        <f t="shared" si="477"/>
        <v>32714.228327999856</v>
      </c>
      <c r="HK14" s="1045">
        <f t="shared" si="477"/>
        <v>31613.976271999851</v>
      </c>
      <c r="HL14" s="1045">
        <f t="shared" si="477"/>
        <v>32088.845815999848</v>
      </c>
      <c r="HM14" s="1045">
        <f t="shared" si="477"/>
        <v>31758.229359999845</v>
      </c>
      <c r="HN14" s="1045">
        <f t="shared" si="477"/>
        <v>31860.687703999844</v>
      </c>
      <c r="HO14" s="1045">
        <f t="shared" si="477"/>
        <v>32150.483247999844</v>
      </c>
      <c r="HP14" s="1045">
        <f t="shared" si="477"/>
        <v>31967.893191999843</v>
      </c>
      <c r="HQ14" s="1045">
        <f t="shared" si="477"/>
        <v>31943.628735999846</v>
      </c>
      <c r="HR14" s="1045">
        <f t="shared" si="477"/>
        <v>31097.379879999844</v>
      </c>
      <c r="HS14" s="1045">
        <f t="shared" si="477"/>
        <v>29961.359423999842</v>
      </c>
      <c r="HT14" s="1045">
        <f t="shared" si="477"/>
        <v>28509.819367999844</v>
      </c>
      <c r="HU14" s="1045">
        <f t="shared" si="477"/>
        <v>27393.347711999839</v>
      </c>
      <c r="HV14" s="1045">
        <f t="shared" si="477"/>
        <v>26185.200055999841</v>
      </c>
      <c r="HW14" s="1045">
        <f t="shared" si="477"/>
        <v>26949.611599999836</v>
      </c>
      <c r="HX14" s="1045">
        <f t="shared" si="477"/>
        <v>26053.031143999837</v>
      </c>
      <c r="HY14" s="1045">
        <f t="shared" si="477"/>
        <v>25539.439887999833</v>
      </c>
      <c r="HZ14" s="1045">
        <f t="shared" si="477"/>
        <v>25486.787031999833</v>
      </c>
      <c r="IA14" s="1045">
        <f t="shared" si="477"/>
        <v>25779.960975999831</v>
      </c>
      <c r="IB14" s="1045">
        <f t="shared" si="477"/>
        <v>26126.05771999983</v>
      </c>
      <c r="IC14" s="1045">
        <f t="shared" si="477"/>
        <v>26951.428063999832</v>
      </c>
      <c r="ID14" s="1045">
        <f t="shared" si="477"/>
        <v>25836.973607999833</v>
      </c>
      <c r="IE14" s="1045">
        <f t="shared" si="477"/>
        <v>25401.036351999832</v>
      </c>
      <c r="IF14" s="1045">
        <f t="shared" si="477"/>
        <v>25863.507495999831</v>
      </c>
      <c r="IG14" s="1045">
        <f t="shared" si="477"/>
        <v>24785.067439999832</v>
      </c>
      <c r="IH14" s="1045">
        <f t="shared" si="477"/>
        <v>26255.367783999831</v>
      </c>
      <c r="II14" s="1045">
        <f t="shared" si="477"/>
        <v>26828.210927999833</v>
      </c>
      <c r="IJ14" s="1045">
        <f t="shared" si="477"/>
        <v>29703.860071999829</v>
      </c>
      <c r="IK14" s="1045">
        <f t="shared" si="477"/>
        <v>30346.403215999824</v>
      </c>
      <c r="IL14" s="1045">
        <f t="shared" si="477"/>
        <v>30640.757959999824</v>
      </c>
      <c r="IM14" s="1045">
        <f t="shared" si="477"/>
        <v>30892.489103999822</v>
      </c>
      <c r="IN14" s="1045">
        <f t="shared" si="477"/>
        <v>31229.451047999821</v>
      </c>
      <c r="IO14" s="1045">
        <f t="shared" si="477"/>
        <v>31466.258191999819</v>
      </c>
      <c r="IP14" s="1045">
        <f t="shared" si="477"/>
        <v>32138.124535999817</v>
      </c>
      <c r="IQ14" s="1045">
        <f t="shared" si="477"/>
        <v>31923.062479999811</v>
      </c>
      <c r="IR14" s="1045">
        <f t="shared" si="477"/>
        <v>31026.400023999813</v>
      </c>
      <c r="IS14" s="1045">
        <f t="shared" si="477"/>
        <v>31043.348767999811</v>
      </c>
      <c r="IT14" s="1045">
        <f t="shared" si="477"/>
        <v>30608.723511999811</v>
      </c>
      <c r="IU14" s="1045">
        <f t="shared" si="477"/>
        <v>29033.724255999809</v>
      </c>
      <c r="IV14" s="1045">
        <f t="shared" si="477"/>
        <v>27819.098599999808</v>
      </c>
      <c r="IW14" s="1045">
        <f t="shared" si="477"/>
        <v>25761.775343999805</v>
      </c>
      <c r="IX14" s="1045">
        <f t="shared" si="477"/>
        <v>25735.411687999804</v>
      </c>
      <c r="IY14" s="1045">
        <f t="shared" si="477"/>
        <v>25127.4712319998</v>
      </c>
      <c r="IZ14" s="1045">
        <f t="shared" si="477"/>
        <v>24641.3007759998</v>
      </c>
      <c r="JA14" s="1045">
        <f t="shared" si="477"/>
        <v>25744.749519999797</v>
      </c>
      <c r="JB14" s="1045">
        <f t="shared" si="477"/>
        <v>25608.915863999795</v>
      </c>
      <c r="JC14" s="1045">
        <f t="shared" si="477"/>
        <v>23189.693807999796</v>
      </c>
      <c r="JD14" s="1045">
        <f t="shared" ref="JD14:LO14" si="478">JD13-JD13*(JD6+1-0.96)</f>
        <v>21956.454151999798</v>
      </c>
      <c r="JE14" s="1045">
        <f t="shared" si="478"/>
        <v>19217.120495999796</v>
      </c>
      <c r="JF14" s="1045">
        <f t="shared" si="478"/>
        <v>17745.326439999797</v>
      </c>
      <c r="JG14" s="1045">
        <f t="shared" si="478"/>
        <v>15782.631183999796</v>
      </c>
      <c r="JH14" s="1045">
        <f t="shared" si="478"/>
        <v>14175.471527999794</v>
      </c>
      <c r="JI14" s="1045">
        <f t="shared" si="478"/>
        <v>14049.100671999793</v>
      </c>
      <c r="JJ14" s="1045">
        <f t="shared" si="478"/>
        <v>13574.623415999791</v>
      </c>
      <c r="JK14" s="1045">
        <f t="shared" si="478"/>
        <v>13132.700159999789</v>
      </c>
      <c r="JL14" s="1045">
        <f t="shared" si="478"/>
        <v>13454.574103999788</v>
      </c>
      <c r="JM14" s="1045">
        <f t="shared" si="478"/>
        <v>16896.925247999789</v>
      </c>
      <c r="JN14" s="1045">
        <f t="shared" si="478"/>
        <v>19960.185079199789</v>
      </c>
      <c r="JO14" s="1045">
        <f t="shared" si="478"/>
        <v>21931.935549599788</v>
      </c>
      <c r="JP14" s="1045">
        <f t="shared" si="478"/>
        <v>20127.168131999788</v>
      </c>
      <c r="JQ14" s="1045">
        <f t="shared" si="478"/>
        <v>20527.733006399787</v>
      </c>
      <c r="JR14" s="1045">
        <f t="shared" si="478"/>
        <v>19368.802768799786</v>
      </c>
      <c r="JS14" s="1045">
        <f t="shared" si="478"/>
        <v>19212.123979199783</v>
      </c>
      <c r="JT14" s="1045">
        <f t="shared" si="478"/>
        <v>17980.729509599783</v>
      </c>
      <c r="JU14" s="1045">
        <f t="shared" si="478"/>
        <v>18924.636383999783</v>
      </c>
      <c r="JV14" s="1045">
        <f t="shared" si="478"/>
        <v>22317.435794399782</v>
      </c>
      <c r="JW14" s="1045">
        <f t="shared" si="478"/>
        <v>21361.427764799777</v>
      </c>
      <c r="JX14" s="1045">
        <f t="shared" si="478"/>
        <v>22529.579527199778</v>
      </c>
      <c r="JY14" s="1045">
        <f t="shared" si="478"/>
        <v>22627.227537599778</v>
      </c>
      <c r="JZ14" s="1045">
        <f t="shared" si="478"/>
        <v>23674.089911999774</v>
      </c>
      <c r="KA14" s="1045">
        <f t="shared" si="478"/>
        <v>23733.944006399772</v>
      </c>
      <c r="KB14" s="1045">
        <f t="shared" si="478"/>
        <v>23369.444995499769</v>
      </c>
      <c r="KC14" s="1045">
        <f t="shared" si="478"/>
        <v>23695.388891999766</v>
      </c>
      <c r="KD14" s="1045">
        <f t="shared" si="478"/>
        <v>23516.531844749767</v>
      </c>
      <c r="KE14" s="1045">
        <f t="shared" si="478"/>
        <v>23464.046216249768</v>
      </c>
      <c r="KF14" s="1045">
        <f t="shared" si="478"/>
        <v>21400.273887749769</v>
      </c>
      <c r="KG14" s="1045">
        <f t="shared" si="478"/>
        <v>21482.830165499763</v>
      </c>
      <c r="KH14" s="1045">
        <f t="shared" si="478"/>
        <v>20856.381574499763</v>
      </c>
      <c r="KI14" s="1045">
        <f t="shared" si="478"/>
        <v>20955.621152249762</v>
      </c>
      <c r="KJ14" s="1045">
        <f t="shared" si="478"/>
        <v>20652.257486249764</v>
      </c>
      <c r="KK14" s="1045">
        <f t="shared" si="478"/>
        <v>19435.329132749761</v>
      </c>
      <c r="KL14" s="1045">
        <f t="shared" si="478"/>
        <v>17567.999747999758</v>
      </c>
      <c r="KM14" s="1045">
        <f t="shared" si="478"/>
        <v>16453.92260699976</v>
      </c>
      <c r="KN14" s="1045">
        <f t="shared" si="478"/>
        <v>15568.955709749758</v>
      </c>
      <c r="KO14" s="1045">
        <f t="shared" si="478"/>
        <v>14078.750906249757</v>
      </c>
      <c r="KP14" s="1045">
        <f t="shared" si="478"/>
        <v>12614.070552749758</v>
      </c>
      <c r="KQ14" s="1045">
        <f t="shared" si="478"/>
        <v>12205.599599249756</v>
      </c>
      <c r="KR14" s="1045">
        <f t="shared" si="478"/>
        <v>9186.1089457497546</v>
      </c>
      <c r="KS14" s="1045">
        <f t="shared" si="478"/>
        <v>7722.5025172497553</v>
      </c>
      <c r="KT14" s="1045">
        <f t="shared" si="478"/>
        <v>5847.5599199997541</v>
      </c>
      <c r="KU14" s="1045">
        <f t="shared" si="478"/>
        <v>4069.1789977497529</v>
      </c>
      <c r="KV14" s="1045">
        <f t="shared" si="478"/>
        <v>4781.4486817497527</v>
      </c>
      <c r="KW14" s="1045">
        <f t="shared" si="478"/>
        <v>3287.7179909997585</v>
      </c>
      <c r="KX14" s="1045">
        <f t="shared" si="478"/>
        <v>3390.9543829197578</v>
      </c>
      <c r="KY14" s="1045">
        <f t="shared" si="478"/>
        <v>5013.875999999751</v>
      </c>
      <c r="KZ14" s="1045">
        <f t="shared" si="478"/>
        <v>8884.857111999745</v>
      </c>
      <c r="LA14" s="1045">
        <f t="shared" si="478"/>
        <v>9831.1349069997468</v>
      </c>
      <c r="LB14" s="1045">
        <f t="shared" si="478"/>
        <v>13060.216061999739</v>
      </c>
      <c r="LC14" s="1045">
        <f t="shared" si="478"/>
        <v>12221.143865999738</v>
      </c>
      <c r="LD14" s="1045">
        <f t="shared" si="478"/>
        <v>12378.613169999737</v>
      </c>
      <c r="LE14" s="1045">
        <f t="shared" si="478"/>
        <v>9143.1186699997434</v>
      </c>
      <c r="LF14" s="1045">
        <f t="shared" si="478"/>
        <v>8080.7083809997366</v>
      </c>
      <c r="LG14" s="1045">
        <f t="shared" si="478"/>
        <v>9489.3601889997353</v>
      </c>
      <c r="LH14" s="1045">
        <f t="shared" si="478"/>
        <v>8641.3598864797332</v>
      </c>
      <c r="LI14" s="1045">
        <f t="shared" si="478"/>
        <v>7390.8132143697321</v>
      </c>
      <c r="LJ14" s="1045">
        <f t="shared" si="478"/>
        <v>7698.7942179997317</v>
      </c>
      <c r="LK14" s="1045">
        <f t="shared" si="478"/>
        <v>6993.3613299997314</v>
      </c>
      <c r="LL14" s="1045">
        <f t="shared" si="478"/>
        <v>6866.1924419997304</v>
      </c>
      <c r="LM14" s="1045">
        <f t="shared" si="478"/>
        <v>9475.2359477997252</v>
      </c>
      <c r="LN14" s="1045">
        <f t="shared" si="478"/>
        <v>4361.2987769997289</v>
      </c>
      <c r="LO14" s="1045">
        <f t="shared" si="478"/>
        <v>5408.8120179997331</v>
      </c>
      <c r="LP14" s="1045">
        <f t="shared" ref="LP14:OA14" si="479">LP13-LP13*(LP6+1-0.96)</f>
        <v>5213.1763089997476</v>
      </c>
      <c r="LQ14" s="1045">
        <f t="shared" si="479"/>
        <v>5934.7194139997464</v>
      </c>
      <c r="LR14" s="1045">
        <f t="shared" si="479"/>
        <v>6259.1394769997451</v>
      </c>
      <c r="LS14" s="1045">
        <f t="shared" si="479"/>
        <v>7154.5337019997469</v>
      </c>
      <c r="LT14" s="1045">
        <f t="shared" si="479"/>
        <v>7562.4912459997468</v>
      </c>
      <c r="LU14" s="1045">
        <f t="shared" si="479"/>
        <v>9782.3539799997397</v>
      </c>
      <c r="LV14" s="1045">
        <f t="shared" si="479"/>
        <v>10250.742814499741</v>
      </c>
      <c r="LW14" s="1045">
        <f t="shared" si="479"/>
        <v>11680.719517499743</v>
      </c>
      <c r="LX14" s="1045">
        <f t="shared" si="479"/>
        <v>11692.864763999736</v>
      </c>
      <c r="LY14" s="1045">
        <f t="shared" si="479"/>
        <v>11993.296559499744</v>
      </c>
      <c r="LZ14" s="1045">
        <f t="shared" si="479"/>
        <v>10679.044173499744</v>
      </c>
      <c r="MA14" s="1045">
        <f t="shared" si="479"/>
        <v>10011.507812999753</v>
      </c>
      <c r="MB14" s="1045">
        <f t="shared" si="479"/>
        <v>10397.749683599737</v>
      </c>
      <c r="MC14" s="1045">
        <f t="shared" si="479"/>
        <v>10609.191733999742</v>
      </c>
      <c r="MD14" s="1045">
        <f t="shared" si="479"/>
        <v>8928.499697299756</v>
      </c>
      <c r="ME14" s="1045">
        <f t="shared" si="479"/>
        <v>9107.893172999753</v>
      </c>
      <c r="MF14" s="1045">
        <f t="shared" si="479"/>
        <v>8088.4100989997596</v>
      </c>
      <c r="MG14" s="1045">
        <f t="shared" si="479"/>
        <v>9022.1701517997535</v>
      </c>
      <c r="MH14" s="1045">
        <f t="shared" si="479"/>
        <v>10301.579456599757</v>
      </c>
      <c r="MI14" s="1045">
        <f t="shared" si="479"/>
        <v>10945.312340899749</v>
      </c>
      <c r="MJ14" s="1045">
        <f t="shared" si="479"/>
        <v>12396.551759999749</v>
      </c>
      <c r="MK14" s="1045">
        <f t="shared" si="479"/>
        <v>11159.807759999749</v>
      </c>
      <c r="ML14" s="1045">
        <f t="shared" si="479"/>
        <v>10989.890557599747</v>
      </c>
      <c r="MM14" s="1045">
        <f t="shared" si="479"/>
        <v>10128.07975999975</v>
      </c>
      <c r="MN14" s="1045">
        <f t="shared" si="479"/>
        <v>10614.476183499746</v>
      </c>
      <c r="MO14" s="1045">
        <f t="shared" si="479"/>
        <v>10383.278453999741</v>
      </c>
      <c r="MP14" s="1045">
        <f t="shared" si="479"/>
        <v>10632.313512999754</v>
      </c>
      <c r="MQ14" s="1045">
        <f t="shared" si="479"/>
        <v>12170.063662799759</v>
      </c>
      <c r="MR14" s="1045">
        <f t="shared" si="479"/>
        <v>10784.037421399747</v>
      </c>
      <c r="MS14" s="1045">
        <f t="shared" si="479"/>
        <v>10581.139405199749</v>
      </c>
      <c r="MT14" s="1045">
        <f t="shared" si="479"/>
        <v>9497.5499414997466</v>
      </c>
      <c r="MU14" s="1045">
        <f t="shared" si="479"/>
        <v>9697.9560229997514</v>
      </c>
      <c r="MV14" s="1045">
        <f t="shared" si="479"/>
        <v>8016.7060622997506</v>
      </c>
      <c r="MW14" s="1045">
        <f t="shared" si="479"/>
        <v>8340.1263542997458</v>
      </c>
      <c r="MX14" s="1045">
        <f t="shared" si="479"/>
        <v>7919.8017820997484</v>
      </c>
      <c r="MY14" s="1045">
        <f t="shared" si="479"/>
        <v>9538.4849312997449</v>
      </c>
      <c r="MZ14" s="1045">
        <f t="shared" si="479"/>
        <v>7721.9566729997478</v>
      </c>
      <c r="NA14" s="1045">
        <f t="shared" si="479"/>
        <v>8645.4515953997488</v>
      </c>
      <c r="NB14" s="1045">
        <f t="shared" si="479"/>
        <v>8629.3223887497479</v>
      </c>
      <c r="NC14" s="1045">
        <f t="shared" si="479"/>
        <v>8709.4890629997462</v>
      </c>
      <c r="ND14" s="1045">
        <f t="shared" si="479"/>
        <v>7431.9208995997478</v>
      </c>
      <c r="NE14" s="1045">
        <f t="shared" si="479"/>
        <v>8747.4960092997462</v>
      </c>
      <c r="NF14" s="1045">
        <f t="shared" si="479"/>
        <v>7870.1093229997459</v>
      </c>
      <c r="NG14" s="1045">
        <f t="shared" si="479"/>
        <v>9158.5894918997456</v>
      </c>
      <c r="NH14" s="1045">
        <f t="shared" si="479"/>
        <v>9010.2069602997362</v>
      </c>
      <c r="NI14" s="1045">
        <f t="shared" si="479"/>
        <v>9063.4121308997364</v>
      </c>
      <c r="NJ14" s="1045">
        <f t="shared" si="479"/>
        <v>10234.272055299738</v>
      </c>
      <c r="NK14" s="1045">
        <f t="shared" si="479"/>
        <v>10866.354588599743</v>
      </c>
      <c r="NL14" s="1045">
        <f t="shared" si="479"/>
        <v>10039.822510999731</v>
      </c>
      <c r="NM14" s="1045">
        <f t="shared" si="479"/>
        <v>10172.76091079974</v>
      </c>
      <c r="NN14" s="1045">
        <f t="shared" si="479"/>
        <v>9963.1974411997417</v>
      </c>
      <c r="NO14" s="1045">
        <f t="shared" si="479"/>
        <v>10762.121675799735</v>
      </c>
      <c r="NP14" s="1045">
        <f t="shared" si="479"/>
        <v>10717.717254399729</v>
      </c>
      <c r="NQ14" s="1045">
        <f t="shared" si="479"/>
        <v>10980.273085559738</v>
      </c>
      <c r="NR14" s="1045">
        <f t="shared" si="479"/>
        <v>11544.837718699737</v>
      </c>
      <c r="NS14" s="1045">
        <f t="shared" si="479"/>
        <v>13159.008766599742</v>
      </c>
      <c r="NT14" s="1045">
        <f t="shared" si="479"/>
        <v>12901.907994499736</v>
      </c>
      <c r="NU14" s="1045">
        <f t="shared" si="479"/>
        <v>12808.818050299738</v>
      </c>
      <c r="NV14" s="1045">
        <f t="shared" si="479"/>
        <v>13230.816258479734</v>
      </c>
      <c r="NW14" s="1045">
        <f t="shared" si="479"/>
        <v>12450.321643759737</v>
      </c>
      <c r="NX14" s="1045">
        <f t="shared" si="479"/>
        <v>11724.569281439743</v>
      </c>
      <c r="NY14" s="1045">
        <f t="shared" si="479"/>
        <v>13341.986618149727</v>
      </c>
      <c r="NZ14" s="1045">
        <f t="shared" si="479"/>
        <v>12817.280328899731</v>
      </c>
      <c r="OA14" s="1045">
        <f t="shared" si="479"/>
        <v>14510.66502229973</v>
      </c>
      <c r="OB14" s="1045">
        <f t="shared" ref="OB14:QM14" si="480">OB13-OB13*(OB6+1-0.96)</f>
        <v>16033.699887399736</v>
      </c>
      <c r="OC14" s="1045">
        <f t="shared" si="480"/>
        <v>15629.001350699733</v>
      </c>
      <c r="OD14" s="1045">
        <f t="shared" si="480"/>
        <v>14630.748731699732</v>
      </c>
      <c r="OE14" s="1045">
        <f t="shared" si="480"/>
        <v>15036.318342899725</v>
      </c>
      <c r="OF14" s="1045">
        <f t="shared" si="480"/>
        <v>14308.152436499724</v>
      </c>
      <c r="OG14" s="1045">
        <f t="shared" si="480"/>
        <v>13843.190381239718</v>
      </c>
      <c r="OH14" s="1045">
        <f t="shared" si="480"/>
        <v>12599.987248199726</v>
      </c>
      <c r="OI14" s="1045">
        <f t="shared" si="480"/>
        <v>12698.67683751973</v>
      </c>
      <c r="OJ14" s="1045">
        <f t="shared" si="480"/>
        <v>10433.538939599735</v>
      </c>
      <c r="OK14" s="1045">
        <f t="shared" si="480"/>
        <v>6554.366405599736</v>
      </c>
      <c r="OL14" s="1045">
        <f t="shared" si="480"/>
        <v>8438.2027715997301</v>
      </c>
      <c r="OM14" s="1045">
        <f t="shared" si="480"/>
        <v>7684.705828799727</v>
      </c>
      <c r="ON14" s="1045">
        <f t="shared" si="480"/>
        <v>5872.2865203997271</v>
      </c>
      <c r="OO14" s="1045">
        <f t="shared" si="480"/>
        <v>5923.8500045997316</v>
      </c>
      <c r="OP14" s="1045">
        <f t="shared" si="480"/>
        <v>5844.3869779997367</v>
      </c>
      <c r="OQ14" s="1045">
        <f t="shared" si="480"/>
        <v>5444.6847335997227</v>
      </c>
      <c r="OR14" s="1045">
        <f t="shared" si="480"/>
        <v>4897.2581875997275</v>
      </c>
      <c r="OS14" s="1045">
        <f t="shared" si="480"/>
        <v>5080.4688695997284</v>
      </c>
      <c r="OT14" s="1045">
        <f t="shared" si="480"/>
        <v>4327.1919711997243</v>
      </c>
      <c r="OU14" s="1045">
        <f t="shared" si="480"/>
        <v>4422.6702561997299</v>
      </c>
      <c r="OV14" s="1045">
        <f t="shared" si="480"/>
        <v>5252.4457569997212</v>
      </c>
      <c r="OW14" s="1045">
        <f t="shared" si="480"/>
        <v>4576.2732887997317</v>
      </c>
      <c r="OX14" s="1045">
        <f t="shared" si="480"/>
        <v>6894.3777731997316</v>
      </c>
      <c r="OY14" s="1045">
        <f t="shared" si="480"/>
        <v>6397.5145783997268</v>
      </c>
      <c r="OZ14" s="1045">
        <f t="shared" si="480"/>
        <v>7130.8252315997261</v>
      </c>
      <c r="PA14" s="1045">
        <f t="shared" si="480"/>
        <v>8151.2107973997281</v>
      </c>
      <c r="PB14" s="1045">
        <f t="shared" si="480"/>
        <v>8180.6804441997356</v>
      </c>
      <c r="PC14" s="1045">
        <f t="shared" si="480"/>
        <v>9283.1385899997294</v>
      </c>
      <c r="PD14" s="1045">
        <f t="shared" si="480"/>
        <v>8883.8493743997351</v>
      </c>
      <c r="PE14" s="1045">
        <f t="shared" si="480"/>
        <v>9860.6770333997392</v>
      </c>
      <c r="PF14" s="1045">
        <f t="shared" si="480"/>
        <v>8772.8780373997415</v>
      </c>
      <c r="PG14" s="1045">
        <f t="shared" si="480"/>
        <v>8225.9808147997373</v>
      </c>
      <c r="PH14" s="1045">
        <f t="shared" si="480"/>
        <v>9155.5799087997366</v>
      </c>
      <c r="PI14" s="1045">
        <f t="shared" si="480"/>
        <v>9123.6948843997288</v>
      </c>
      <c r="PJ14" s="1045">
        <f t="shared" si="480"/>
        <v>9066.3105255997307</v>
      </c>
      <c r="PK14" s="1045">
        <f t="shared" si="480"/>
        <v>9110.6690295997287</v>
      </c>
      <c r="PL14" s="1045">
        <f t="shared" si="480"/>
        <v>10295.28487359973</v>
      </c>
      <c r="PM14" s="1045">
        <f t="shared" si="480"/>
        <v>7935.3587519997291</v>
      </c>
      <c r="PN14" s="1045">
        <f t="shared" si="480"/>
        <v>9235.4946809997291</v>
      </c>
      <c r="PO14" s="1045">
        <f t="shared" si="480"/>
        <v>8720.5774281997365</v>
      </c>
      <c r="PP14" s="1045">
        <f t="shared" si="480"/>
        <v>10597.896543599738</v>
      </c>
      <c r="PQ14" s="1045">
        <f t="shared" si="480"/>
        <v>10042.460375999739</v>
      </c>
      <c r="PR14" s="1045">
        <f t="shared" si="480"/>
        <v>11321.06498039974</v>
      </c>
      <c r="PS14" s="1045">
        <f t="shared" si="480"/>
        <v>10823.498649599744</v>
      </c>
      <c r="PT14" s="1045">
        <f t="shared" si="480"/>
        <v>11711.775424199741</v>
      </c>
      <c r="PU14" s="1045">
        <f t="shared" si="480"/>
        <v>11283.078607199743</v>
      </c>
      <c r="PV14" s="1045">
        <f t="shared" si="480"/>
        <v>12294.28092059974</v>
      </c>
      <c r="PW14" s="1045">
        <f t="shared" si="480"/>
        <v>11451.045995999742</v>
      </c>
      <c r="PX14" s="1045">
        <f t="shared" si="480"/>
        <v>11802.261797999745</v>
      </c>
      <c r="PY14" s="1045">
        <f t="shared" si="480"/>
        <v>12550.626912799746</v>
      </c>
      <c r="PZ14" s="1045">
        <f t="shared" si="480"/>
        <v>11631.039374399748</v>
      </c>
      <c r="QA14" s="1045">
        <f t="shared" si="480"/>
        <v>11556.492542999746</v>
      </c>
      <c r="QB14" s="1045">
        <f t="shared" si="480"/>
        <v>10686.036633599746</v>
      </c>
      <c r="QC14" s="1045">
        <f t="shared" si="480"/>
        <v>9895.0434871997568</v>
      </c>
      <c r="QD14" s="1045">
        <f t="shared" si="480"/>
        <v>11639.028511999746</v>
      </c>
      <c r="QE14" s="1045">
        <f t="shared" si="480"/>
        <v>12686.711126399747</v>
      </c>
      <c r="QF14" s="1045">
        <f t="shared" si="480"/>
        <v>12545.140746399757</v>
      </c>
      <c r="QG14" s="1045">
        <f t="shared" si="480"/>
        <v>12919.540380599741</v>
      </c>
      <c r="QH14" s="1045">
        <f t="shared" si="480"/>
        <v>11103.606222799746</v>
      </c>
      <c r="QI14" s="1045">
        <f t="shared" si="480"/>
        <v>13771.507706599741</v>
      </c>
      <c r="QJ14" s="1045">
        <f t="shared" si="480"/>
        <v>14909.754506799751</v>
      </c>
      <c r="QK14" s="1045">
        <f t="shared" si="480"/>
        <v>15811.795604799749</v>
      </c>
      <c r="QL14" s="1045">
        <f t="shared" si="480"/>
        <v>17035.609475799742</v>
      </c>
      <c r="QM14" s="1045">
        <f t="shared" si="480"/>
        <v>16116.225319599751</v>
      </c>
      <c r="QN14" s="1045">
        <f t="shared" ref="QN14:SY14" si="481">QN13-QN13*(QN6+1-0.96)</f>
        <v>16265.79586124975</v>
      </c>
      <c r="QO14" s="1045">
        <f t="shared" si="481"/>
        <v>16868.77591199975</v>
      </c>
      <c r="QP14" s="1045">
        <f t="shared" si="481"/>
        <v>17699.86741935974</v>
      </c>
      <c r="QQ14" s="1045">
        <f t="shared" si="481"/>
        <v>17516.185118399746</v>
      </c>
      <c r="QR14" s="1045">
        <f t="shared" si="481"/>
        <v>18710.784643199746</v>
      </c>
      <c r="QS14" s="1045">
        <f t="shared" si="481"/>
        <v>17843.139322279745</v>
      </c>
      <c r="QT14" s="1045">
        <f t="shared" si="481"/>
        <v>15461.792272799743</v>
      </c>
      <c r="QU14" s="1045">
        <f t="shared" si="481"/>
        <v>15500.522679439742</v>
      </c>
      <c r="QV14" s="1045">
        <f t="shared" si="481"/>
        <v>14662.859733439744</v>
      </c>
      <c r="QW14" s="1045">
        <f t="shared" si="481"/>
        <v>14122.322847359745</v>
      </c>
      <c r="QX14" s="1045">
        <f t="shared" si="481"/>
        <v>12173.840382559742</v>
      </c>
      <c r="QY14" s="1045">
        <f t="shared" si="481"/>
        <v>10884.035501799743</v>
      </c>
      <c r="QZ14" s="1045">
        <f t="shared" si="481"/>
        <v>12193.465601999736</v>
      </c>
      <c r="RA14" s="1045">
        <f t="shared" si="481"/>
        <v>12701.779381759728</v>
      </c>
      <c r="RB14" s="1045">
        <f t="shared" si="481"/>
        <v>11313.324287999742</v>
      </c>
      <c r="RC14" s="1045">
        <f t="shared" si="481"/>
        <v>10272.897412799744</v>
      </c>
      <c r="RD14" s="1045">
        <f t="shared" si="481"/>
        <v>10453.08294655974</v>
      </c>
      <c r="RE14" s="1045">
        <f t="shared" si="481"/>
        <v>10572.179808479734</v>
      </c>
      <c r="RF14" s="1045">
        <f t="shared" si="481"/>
        <v>10367.872035199747</v>
      </c>
      <c r="RG14" s="1045">
        <f t="shared" si="481"/>
        <v>10485.45475199974</v>
      </c>
      <c r="RH14" s="1045">
        <f t="shared" si="481"/>
        <v>11889.473274599733</v>
      </c>
      <c r="RI14" s="1045">
        <f t="shared" si="481"/>
        <v>12920.459014599734</v>
      </c>
      <c r="RJ14" s="1045">
        <f t="shared" si="481"/>
        <v>15030.940639999732</v>
      </c>
      <c r="RK14" s="1045">
        <f t="shared" si="481"/>
        <v>15974.798876399744</v>
      </c>
      <c r="RL14" s="1045">
        <f t="shared" si="481"/>
        <v>14971.998413679734</v>
      </c>
      <c r="RM14" s="1045">
        <f t="shared" si="481"/>
        <v>14501.82579359973</v>
      </c>
      <c r="RN14" s="1045">
        <f t="shared" si="481"/>
        <v>13952.005507799735</v>
      </c>
      <c r="RO14" s="1045">
        <f t="shared" si="481"/>
        <v>14016.076947599733</v>
      </c>
      <c r="RP14" s="1045">
        <f t="shared" si="481"/>
        <v>17341.527809599724</v>
      </c>
      <c r="RQ14" s="1045">
        <f t="shared" si="481"/>
        <v>17298.130171199737</v>
      </c>
      <c r="RR14" s="1045">
        <f t="shared" si="481"/>
        <v>16092.793772789737</v>
      </c>
      <c r="RS14" s="1045">
        <f t="shared" si="481"/>
        <v>15523.236686599739</v>
      </c>
      <c r="RT14" s="1045">
        <f t="shared" si="481"/>
        <v>14385.360450999746</v>
      </c>
      <c r="RU14" s="1045">
        <f t="shared" si="481"/>
        <v>12924.22936439974</v>
      </c>
      <c r="RV14" s="1045">
        <f t="shared" si="481"/>
        <v>13334.933412899742</v>
      </c>
      <c r="RW14" s="1045">
        <f t="shared" si="481"/>
        <v>12256.471407599745</v>
      </c>
      <c r="RX14" s="1045">
        <f t="shared" si="481"/>
        <v>11288.162293799745</v>
      </c>
      <c r="RY14" s="1045">
        <f t="shared" si="481"/>
        <v>12474.761828759749</v>
      </c>
      <c r="RZ14" s="1045">
        <f t="shared" si="481"/>
        <v>13018.597691699741</v>
      </c>
      <c r="SA14" s="1045">
        <f t="shared" si="481"/>
        <v>13927.21209989974</v>
      </c>
      <c r="SB14" s="1045">
        <f t="shared" si="481"/>
        <v>13790.399032399735</v>
      </c>
      <c r="SC14" s="1045">
        <f t="shared" si="481"/>
        <v>13738.811999399746</v>
      </c>
      <c r="SD14" s="1045">
        <f t="shared" si="481"/>
        <v>14393.581500899742</v>
      </c>
      <c r="SE14" s="1045">
        <f t="shared" si="481"/>
        <v>13282.440773299746</v>
      </c>
      <c r="SF14" s="1045">
        <f t="shared" si="481"/>
        <v>13691.875812999744</v>
      </c>
      <c r="SG14" s="1045">
        <f t="shared" si="481"/>
        <v>14569.580730399743</v>
      </c>
      <c r="SH14" s="1045">
        <f t="shared" si="481"/>
        <v>13274.532092579748</v>
      </c>
      <c r="SI14" s="1045">
        <f t="shared" si="481"/>
        <v>14789.507379899747</v>
      </c>
      <c r="SJ14" s="1045">
        <f t="shared" si="481"/>
        <v>15977.606783999741</v>
      </c>
      <c r="SK14" s="1045">
        <f t="shared" si="481"/>
        <v>14901.616173499735</v>
      </c>
      <c r="SL14" s="1045">
        <f t="shared" si="481"/>
        <v>14725.134363599735</v>
      </c>
      <c r="SM14" s="1045">
        <f t="shared" si="481"/>
        <v>14759.31554399973</v>
      </c>
      <c r="SN14" s="1045">
        <f t="shared" si="481"/>
        <v>15330.198799999735</v>
      </c>
      <c r="SO14" s="1045">
        <f t="shared" si="481"/>
        <v>13800.602513499734</v>
      </c>
      <c r="SP14" s="1045">
        <f t="shared" si="481"/>
        <v>14223.599450849737</v>
      </c>
      <c r="SQ14" s="1045">
        <f t="shared" si="481"/>
        <v>14521.451917719738</v>
      </c>
      <c r="SR14" s="1045">
        <f t="shared" si="481"/>
        <v>15659.154979719748</v>
      </c>
      <c r="SS14" s="1045">
        <f t="shared" si="481"/>
        <v>16970.25455009974</v>
      </c>
      <c r="ST14" s="1045">
        <f t="shared" si="481"/>
        <v>19326.933776699741</v>
      </c>
      <c r="SU14" s="1045">
        <f t="shared" si="481"/>
        <v>18799.523902799745</v>
      </c>
      <c r="SV14" s="1045">
        <f t="shared" si="481"/>
        <v>19140.432877439755</v>
      </c>
      <c r="SW14" s="1045">
        <f t="shared" si="481"/>
        <v>18450.186453449751</v>
      </c>
      <c r="SX14" s="1045">
        <f t="shared" si="481"/>
        <v>18142.249343999752</v>
      </c>
      <c r="SY14" s="1045">
        <f t="shared" si="481"/>
        <v>17566.556779999752</v>
      </c>
      <c r="SZ14" s="1045">
        <f t="shared" ref="SZ14:TJ14" si="482">SZ13-SZ13*(SZ6+1-0.96)</f>
        <v>18525.894417499741</v>
      </c>
      <c r="TA14" s="1045">
        <f t="shared" si="482"/>
        <v>16063.493004999749</v>
      </c>
      <c r="TB14" s="1045">
        <f t="shared" si="482"/>
        <v>16345.527610499748</v>
      </c>
      <c r="TC14" s="1045">
        <f t="shared" si="482"/>
        <v>17112.230487369743</v>
      </c>
      <c r="TD14" s="1045">
        <f t="shared" si="482"/>
        <v>17902.639741499741</v>
      </c>
      <c r="TE14" s="1045">
        <f t="shared" si="482"/>
        <v>16848.464238599747</v>
      </c>
      <c r="TF14" s="1045">
        <f t="shared" si="482"/>
        <v>17004.728285999747</v>
      </c>
      <c r="TG14" s="1045">
        <f t="shared" si="482"/>
        <v>15220.863291349746</v>
      </c>
      <c r="TH14" s="1045">
        <f t="shared" si="482"/>
        <v>15396.394725879742</v>
      </c>
      <c r="TI14" s="1045">
        <f t="shared" si="482"/>
        <v>15636.670879049743</v>
      </c>
      <c r="TJ14" s="1045">
        <f t="shared" si="482"/>
        <v>16118.345114999738</v>
      </c>
      <c r="TK14" s="1045">
        <f t="shared" ref="TK14:TL14" si="483">TK13-TK13*(TK6+1-0.96)</f>
        <v>14567.365210319744</v>
      </c>
      <c r="TL14" s="1045">
        <f t="shared" si="483"/>
        <v>14452.873218299746</v>
      </c>
      <c r="TM14" s="1045">
        <f t="shared" ref="TM14:UR14" si="484">TM13-TM13*(TM6+1-0.96)</f>
        <v>14169.542848999743</v>
      </c>
      <c r="TN14" s="1045">
        <f t="shared" si="484"/>
        <v>14567.183644839741</v>
      </c>
      <c r="TO14" s="1045">
        <f t="shared" si="484"/>
        <v>12722.533200719739</v>
      </c>
      <c r="TP14" s="1045">
        <f t="shared" si="484"/>
        <v>13140.359416799742</v>
      </c>
      <c r="TQ14" s="1045">
        <f t="shared" si="484"/>
        <v>13218.867142799749</v>
      </c>
      <c r="TR14" s="1045">
        <f t="shared" si="484"/>
        <v>11667.696221999746</v>
      </c>
      <c r="TS14" s="1045">
        <f t="shared" si="484"/>
        <v>10805.967506299752</v>
      </c>
      <c r="TT14" s="1045">
        <f t="shared" si="484"/>
        <v>11246.878557199754</v>
      </c>
      <c r="TU14" s="1045">
        <f t="shared" si="484"/>
        <v>12736.164336539736</v>
      </c>
      <c r="TV14" s="1045">
        <f t="shared" si="484"/>
        <v>12694.045609599754</v>
      </c>
      <c r="TW14" s="1045">
        <f t="shared" si="484"/>
        <v>12137.018231599748</v>
      </c>
      <c r="TX14" s="1045">
        <f t="shared" si="484"/>
        <v>13304.733288799744</v>
      </c>
      <c r="TY14" s="1045">
        <f t="shared" si="484"/>
        <v>13281.843916799746</v>
      </c>
      <c r="TZ14" s="1045">
        <f t="shared" si="484"/>
        <v>13928.697936199736</v>
      </c>
      <c r="UA14" s="1045">
        <f t="shared" si="484"/>
        <v>13012.461960799734</v>
      </c>
      <c r="UB14" s="1045">
        <f t="shared" si="484"/>
        <v>12567.102823199737</v>
      </c>
      <c r="UC14" s="1045">
        <f t="shared" si="484"/>
        <v>12462.811794719735</v>
      </c>
      <c r="UD14" s="1045">
        <f t="shared" si="484"/>
        <v>13854.787612049739</v>
      </c>
      <c r="UE14" s="1045">
        <f t="shared" si="484"/>
        <v>13807.813555699733</v>
      </c>
      <c r="UF14" s="1045">
        <f t="shared" si="484"/>
        <v>14189.474309799745</v>
      </c>
      <c r="UG14" s="1045">
        <f t="shared" si="484"/>
        <v>13624.189529499738</v>
      </c>
      <c r="UH14" s="1045">
        <f t="shared" si="484"/>
        <v>13568.98273739974</v>
      </c>
      <c r="UI14" s="1045">
        <f t="shared" si="484"/>
        <v>13834.984633399745</v>
      </c>
      <c r="UJ14" s="1045">
        <f t="shared" si="484"/>
        <v>13683.584914299745</v>
      </c>
      <c r="UK14" s="1045">
        <f t="shared" si="484"/>
        <v>15944.833586479728</v>
      </c>
      <c r="UL14" s="1045">
        <f t="shared" si="484"/>
        <v>15145.661722999732</v>
      </c>
      <c r="UM14" s="1045">
        <f t="shared" si="484"/>
        <v>15363.012598559731</v>
      </c>
      <c r="UN14" s="1045">
        <f t="shared" si="484"/>
        <v>15256.540956519737</v>
      </c>
      <c r="UO14" s="1045">
        <f t="shared" si="484"/>
        <v>14348.688186139736</v>
      </c>
      <c r="UP14" s="1045">
        <f t="shared" si="484"/>
        <v>13175.786608359735</v>
      </c>
      <c r="UQ14" s="1045">
        <f t="shared" si="484"/>
        <v>14547.552758075724</v>
      </c>
      <c r="UR14" s="1045">
        <f t="shared" si="484"/>
        <v>15049.66699213173</v>
      </c>
      <c r="US14" s="1045">
        <f t="shared" ref="US14:VX14" si="485">US13-US13*(US6+1-0.96)</f>
        <v>14702.700654179735</v>
      </c>
      <c r="UT14" s="1045">
        <f t="shared" si="485"/>
        <v>14742.367961219737</v>
      </c>
      <c r="UU14" s="1045">
        <f t="shared" si="485"/>
        <v>16629.428050379713</v>
      </c>
      <c r="UV14" s="1045">
        <f t="shared" si="485"/>
        <v>20036.12434667971</v>
      </c>
      <c r="UW14" s="1045">
        <f t="shared" si="485"/>
        <v>22088.801058479712</v>
      </c>
      <c r="UX14" s="1045">
        <f t="shared" si="485"/>
        <v>21645.767982779711</v>
      </c>
      <c r="UY14" s="1045">
        <f t="shared" si="485"/>
        <v>20967.38828657971</v>
      </c>
      <c r="UZ14" s="1045">
        <f t="shared" si="485"/>
        <v>19255.513523399735</v>
      </c>
      <c r="VA14" s="1045">
        <f t="shared" si="485"/>
        <v>18557.550631799731</v>
      </c>
      <c r="VB14" s="1045">
        <f t="shared" si="485"/>
        <v>15942.019589679736</v>
      </c>
      <c r="VC14" s="1045">
        <f t="shared" si="485"/>
        <v>14033.70758719974</v>
      </c>
      <c r="VD14" s="1045">
        <f t="shared" si="485"/>
        <v>14274.491466239733</v>
      </c>
      <c r="VE14" s="1045">
        <f t="shared" si="485"/>
        <v>14033.026565119731</v>
      </c>
      <c r="VF14" s="1045">
        <f t="shared" si="485"/>
        <v>14434.999790519734</v>
      </c>
      <c r="VG14" s="1045">
        <f t="shared" si="485"/>
        <v>14852.048779619723</v>
      </c>
      <c r="VH14" s="1045">
        <f t="shared" si="485"/>
        <v>13569.066564559731</v>
      </c>
      <c r="VI14" s="1045">
        <f t="shared" si="485"/>
        <v>12759.713529815726</v>
      </c>
      <c r="VJ14" s="1045">
        <f t="shared" si="485"/>
        <v>11480.526175079725</v>
      </c>
      <c r="VK14" s="1045">
        <f t="shared" si="485"/>
        <v>11558.197527679731</v>
      </c>
      <c r="VL14" s="1045">
        <f t="shared" si="485"/>
        <v>11262.663134639737</v>
      </c>
      <c r="VM14" s="1045">
        <f t="shared" si="485"/>
        <v>11453.290046639737</v>
      </c>
      <c r="VN14" s="1045">
        <f t="shared" si="485"/>
        <v>11471.669357759738</v>
      </c>
      <c r="VO14" s="1045">
        <f t="shared" si="485"/>
        <v>13562.183102159726</v>
      </c>
      <c r="VP14" s="1045">
        <f t="shared" si="485"/>
        <v>13176.693028889331</v>
      </c>
      <c r="VQ14" s="1045">
        <f t="shared" si="485"/>
        <v>12874.438626316532</v>
      </c>
      <c r="VR14" s="1045">
        <f t="shared" si="485"/>
        <v>13632.43356327173</v>
      </c>
      <c r="VS14" s="1045">
        <f t="shared" si="485"/>
        <v>12800.49212648773</v>
      </c>
      <c r="VT14" s="1045">
        <f t="shared" si="485"/>
        <v>11621.74380537933</v>
      </c>
      <c r="VU14" s="1045">
        <f t="shared" si="485"/>
        <v>11081.473650658534</v>
      </c>
      <c r="VV14" s="1045">
        <f t="shared" si="485"/>
        <v>9469.1023729757344</v>
      </c>
      <c r="VW14" s="1045">
        <f t="shared" si="485"/>
        <v>10643.695050583734</v>
      </c>
      <c r="VX14" s="1045">
        <f t="shared" si="485"/>
        <v>9859.6940122881388</v>
      </c>
      <c r="VY14" s="1045">
        <f t="shared" ref="VY14:WG14" si="486">VY13-VY13*(VY6+1-0.96)</f>
        <v>10873.761447281737</v>
      </c>
      <c r="VZ14" s="1045">
        <f t="shared" si="486"/>
        <v>11966.341893659739</v>
      </c>
      <c r="WA14" s="1045">
        <f t="shared" si="486"/>
        <v>10001.767316094139</v>
      </c>
      <c r="WB14" s="1045">
        <f t="shared" si="486"/>
        <v>10622.304650314945</v>
      </c>
      <c r="WC14" s="1045">
        <f t="shared" si="486"/>
        <v>9818.9272768161463</v>
      </c>
      <c r="WD14" s="1045">
        <f t="shared" si="486"/>
        <v>10099.834596159732</v>
      </c>
      <c r="WE14" s="1045">
        <f t="shared" si="486"/>
        <v>8794.0974597417189</v>
      </c>
      <c r="WF14" s="1045">
        <f t="shared" si="486"/>
        <v>7016.2780000141383</v>
      </c>
      <c r="WG14" s="1045">
        <f t="shared" si="486"/>
        <v>7345.9648084245364</v>
      </c>
      <c r="WH14" s="1045">
        <f t="shared" ref="WH14:XM14" si="487">WH13-WH13*(WH6+1-0.96)</f>
        <v>8395.6634891337289</v>
      </c>
      <c r="WI14" s="1045">
        <f t="shared" si="487"/>
        <v>7478.6958721065403</v>
      </c>
      <c r="WJ14" s="1045">
        <f t="shared" si="487"/>
        <v>7601.6594104869328</v>
      </c>
      <c r="WK14" s="1045">
        <f t="shared" si="487"/>
        <v>9084.9664159269341</v>
      </c>
      <c r="WL14" s="1045">
        <f t="shared" si="487"/>
        <v>8761.269144411348</v>
      </c>
      <c r="WM14" s="1045">
        <f t="shared" si="487"/>
        <v>7170.8636026661334</v>
      </c>
      <c r="WN14" s="1045">
        <f t="shared" si="487"/>
        <v>11426.802118055733</v>
      </c>
      <c r="WO14" s="1045">
        <f t="shared" si="487"/>
        <v>14505.084885957334</v>
      </c>
      <c r="WP14" s="1045">
        <f t="shared" si="487"/>
        <v>16413.155737055731</v>
      </c>
      <c r="WQ14" s="1045">
        <f t="shared" si="487"/>
        <v>16181.383862604536</v>
      </c>
      <c r="WR14" s="1045">
        <f t="shared" si="487"/>
        <v>15795.527256433325</v>
      </c>
      <c r="WS14" s="1045">
        <f t="shared" si="487"/>
        <v>13983.476113407727</v>
      </c>
      <c r="WT14" s="1045">
        <f t="shared" si="487"/>
        <v>13022.83497538003</v>
      </c>
      <c r="WU14" s="1045">
        <f t="shared" si="487"/>
        <v>11204.374479007924</v>
      </c>
      <c r="WV14" s="1045">
        <f t="shared" si="487"/>
        <v>10423.240016757327</v>
      </c>
      <c r="WW14" s="1045">
        <f t="shared" si="487"/>
        <v>8889.7982854725342</v>
      </c>
      <c r="WX14" s="1045">
        <f t="shared" si="487"/>
        <v>9418.2202253613195</v>
      </c>
      <c r="WY14" s="1045">
        <f t="shared" si="487"/>
        <v>7717.9194441501368</v>
      </c>
      <c r="WZ14" s="1045">
        <f t="shared" si="487"/>
        <v>12361.726866238339</v>
      </c>
      <c r="XA14" s="1045">
        <f t="shared" si="487"/>
        <v>13290.01883650353</v>
      </c>
      <c r="XB14" s="1045">
        <f t="shared" si="487"/>
        <v>13018.475261025236</v>
      </c>
      <c r="XC14" s="1045">
        <f t="shared" si="487"/>
        <v>11672.807269172132</v>
      </c>
      <c r="XD14" s="1045">
        <f t="shared" si="487"/>
        <v>11552.08138218752</v>
      </c>
      <c r="XE14" s="1045">
        <f t="shared" si="487"/>
        <v>10030.72169545772</v>
      </c>
      <c r="XF14" s="1045">
        <f t="shared" si="487"/>
        <v>10096.40967539253</v>
      </c>
      <c r="XG14" s="1045">
        <f t="shared" si="487"/>
        <v>9561.1543388439241</v>
      </c>
      <c r="XH14" s="1045">
        <f t="shared" si="487"/>
        <v>9623.5276637499119</v>
      </c>
      <c r="XI14" s="1045">
        <f t="shared" si="487"/>
        <v>8839.26653989031</v>
      </c>
      <c r="XJ14" s="1045">
        <f t="shared" si="487"/>
        <v>9283.0957084373149</v>
      </c>
      <c r="XK14" s="1045">
        <f t="shared" si="487"/>
        <v>13153.036459921306</v>
      </c>
      <c r="XL14" s="1045">
        <f t="shared" si="487"/>
        <v>12735.235660727114</v>
      </c>
      <c r="XM14" s="1045">
        <f t="shared" si="487"/>
        <v>12244.315544920508</v>
      </c>
      <c r="XN14" s="1045">
        <f t="shared" ref="XN14:YM14" si="488">XN13-XN13*(XN6+1-0.96)</f>
        <v>12211.26613914751</v>
      </c>
      <c r="XO14" s="1045">
        <f t="shared" si="488"/>
        <v>9884.7812561866212</v>
      </c>
      <c r="XP14" s="1045">
        <f t="shared" si="488"/>
        <v>9461.2259859047117</v>
      </c>
      <c r="XQ14" s="1045">
        <f t="shared" si="488"/>
        <v>7312.8735142537153</v>
      </c>
      <c r="XR14" s="1045">
        <f t="shared" si="488"/>
        <v>8949.7256953839133</v>
      </c>
      <c r="XS14" s="1045">
        <f t="shared" si="488"/>
        <v>10750.580269092916</v>
      </c>
      <c r="XT14" s="1045">
        <f t="shared" si="488"/>
        <v>13232.665490185289</v>
      </c>
      <c r="XU14" s="1045">
        <f t="shared" si="488"/>
        <v>13843.698133667316</v>
      </c>
      <c r="XV14" s="1045">
        <f t="shared" si="488"/>
        <v>18416.807518298519</v>
      </c>
      <c r="XW14" s="1045">
        <f t="shared" si="488"/>
        <v>19705.219281378111</v>
      </c>
      <c r="XX14" s="1045">
        <f t="shared" si="488"/>
        <v>25329.602876915709</v>
      </c>
      <c r="XY14" s="1045">
        <f t="shared" si="488"/>
        <v>26805.773171082303</v>
      </c>
      <c r="XZ14" s="1045">
        <f t="shared" si="488"/>
        <v>23942.596145982912</v>
      </c>
      <c r="YA14" s="1045">
        <f t="shared" si="488"/>
        <v>22119.483793935899</v>
      </c>
      <c r="YB14" s="1045">
        <f t="shared" si="488"/>
        <v>21846.2212818234</v>
      </c>
      <c r="YC14" s="1045">
        <f t="shared" si="488"/>
        <v>21422.714669131092</v>
      </c>
      <c r="YD14" s="1045">
        <f t="shared" si="488"/>
        <v>17747.576103726693</v>
      </c>
      <c r="YE14" s="1045">
        <f t="shared" si="488"/>
        <v>14474.098146502502</v>
      </c>
      <c r="YF14" s="1045">
        <f t="shared" si="488"/>
        <v>11862.493657715699</v>
      </c>
      <c r="YG14" s="1045">
        <f t="shared" si="488"/>
        <v>8183.7796577156987</v>
      </c>
      <c r="YH14" s="1045">
        <f t="shared" si="488"/>
        <v>6724.168109737695</v>
      </c>
      <c r="YI14" s="1045">
        <f t="shared" si="488"/>
        <v>5194.8163698476737</v>
      </c>
      <c r="YJ14" s="1045">
        <f t="shared" si="488"/>
        <v>3975.7747698476742</v>
      </c>
      <c r="YK14" s="1045">
        <f t="shared" si="488"/>
        <v>3254.6515698476742</v>
      </c>
      <c r="YL14" s="1045">
        <f t="shared" si="488"/>
        <v>2334.2383698476742</v>
      </c>
      <c r="YM14" s="1045">
        <f t="shared" si="488"/>
        <v>1444.3507698476744</v>
      </c>
      <c r="YN14" s="1045">
        <f t="shared" ref="YN14:YX14" si="489">YN13-YN13*(YN6+1-0.96)</f>
        <v>35.243209847674734</v>
      </c>
      <c r="YO14" s="1045">
        <f t="shared" si="489"/>
        <v>16.855609847674739</v>
      </c>
      <c r="YP14" s="1045">
        <f t="shared" si="489"/>
        <v>16.855609847674739</v>
      </c>
      <c r="YQ14" s="1045">
        <f t="shared" si="489"/>
        <v>16.855609847674739</v>
      </c>
      <c r="YR14" s="1045">
        <f t="shared" si="489"/>
        <v>16.855609847674739</v>
      </c>
      <c r="YS14" s="1045">
        <f t="shared" si="489"/>
        <v>16.855609847674739</v>
      </c>
      <c r="YT14" s="1045">
        <f t="shared" si="489"/>
        <v>8.4598098476747428</v>
      </c>
      <c r="YU14" s="1045">
        <f t="shared" si="489"/>
        <v>6.4009847674744116E-2</v>
      </c>
      <c r="YV14" s="1045">
        <f t="shared" si="489"/>
        <v>6.4009847674744116E-2</v>
      </c>
      <c r="YW14" s="1045">
        <f t="shared" si="489"/>
        <v>6.4009847674744116E-2</v>
      </c>
      <c r="YX14" s="1045">
        <f t="shared" si="489"/>
        <v>6.4009847674744116E-2</v>
      </c>
      <c r="YY14" s="1045">
        <f t="shared" ref="YY14:ZD14" si="490">YY13-YY13*(YY6+1-0.96)</f>
        <v>6.4009847674744116E-2</v>
      </c>
      <c r="YZ14" s="1045">
        <f t="shared" si="490"/>
        <v>6.4009847674744116E-2</v>
      </c>
      <c r="ZA14" s="1045">
        <f t="shared" si="490"/>
        <v>6.4009847674744116E-2</v>
      </c>
      <c r="ZB14" s="1045">
        <f t="shared" si="490"/>
        <v>6.4009847674744116E-2</v>
      </c>
      <c r="ZC14" s="1045">
        <f t="shared" si="490"/>
        <v>6.4009847674744116E-2</v>
      </c>
      <c r="ZD14" s="1045">
        <f t="shared" si="490"/>
        <v>970.73319973769412</v>
      </c>
      <c r="ZE14" s="1045">
        <f t="shared" ref="ZE14:ABP14" si="491">ZE13-ZE13*(ZE6+1-0.96)</f>
        <v>5201.198999737695</v>
      </c>
      <c r="ZF14" s="1045">
        <f t="shared" si="491"/>
        <v>7526.9317413442932</v>
      </c>
      <c r="ZG14" s="1045">
        <f t="shared" si="491"/>
        <v>6780.9709072893038</v>
      </c>
      <c r="ZH14" s="1045">
        <f t="shared" si="491"/>
        <v>8348.9028713222979</v>
      </c>
      <c r="ZI14" s="1045">
        <f t="shared" si="491"/>
        <v>7473.7692280959845</v>
      </c>
      <c r="ZJ14" s="1045">
        <f t="shared" si="491"/>
        <v>7328.4315029288964</v>
      </c>
      <c r="ZK14" s="1045">
        <f t="shared" si="491"/>
        <v>6951.6130805464936</v>
      </c>
      <c r="ZL14" s="1045">
        <f t="shared" si="491"/>
        <v>6045.4510553332957</v>
      </c>
      <c r="ZM14" s="1045">
        <f t="shared" si="491"/>
        <v>5863.9273753332945</v>
      </c>
      <c r="ZN14" s="1045">
        <f t="shared" si="491"/>
        <v>5383.3487025244958</v>
      </c>
      <c r="ZO14" s="1045">
        <f t="shared" si="491"/>
        <v>5577.137048873903</v>
      </c>
      <c r="ZP14" s="1045">
        <f t="shared" si="491"/>
        <v>5670.2031843662871</v>
      </c>
      <c r="ZQ14" s="1045">
        <f t="shared" si="491"/>
        <v>6362.2164122173863</v>
      </c>
      <c r="ZR14" s="1045">
        <f t="shared" si="491"/>
        <v>6271.1589986090967</v>
      </c>
      <c r="ZS14" s="1045">
        <f t="shared" si="491"/>
        <v>6717.8176810761033</v>
      </c>
      <c r="ZT14" s="1045">
        <f t="shared" si="491"/>
        <v>6981.9431944398912</v>
      </c>
      <c r="ZU14" s="1045">
        <f t="shared" si="491"/>
        <v>6277.6805497101959</v>
      </c>
      <c r="ZV14" s="1045">
        <f t="shared" si="491"/>
        <v>6127.1574823442897</v>
      </c>
      <c r="ZW14" s="1045">
        <f t="shared" si="491"/>
        <v>5456.5966353167951</v>
      </c>
      <c r="ZX14" s="1045">
        <f t="shared" si="491"/>
        <v>4974.1173521420915</v>
      </c>
      <c r="ZY14" s="1045">
        <f t="shared" si="491"/>
        <v>4461.2096766294035</v>
      </c>
      <c r="ZZ14" s="1045">
        <f t="shared" si="491"/>
        <v>4340.293861076103</v>
      </c>
      <c r="AAA14" s="1045">
        <f t="shared" si="491"/>
        <v>4919.2467393849711</v>
      </c>
      <c r="AAB14" s="1045">
        <f t="shared" si="491"/>
        <v>4689.6026896893</v>
      </c>
      <c r="AAC14" s="1045">
        <f t="shared" si="491"/>
        <v>4364.0998936873721</v>
      </c>
      <c r="AAD14" s="1045">
        <f t="shared" si="491"/>
        <v>4605.1414128023825</v>
      </c>
      <c r="AAE14" s="1045">
        <f t="shared" si="491"/>
        <v>4003.8310339239947</v>
      </c>
      <c r="AAF14" s="1045">
        <f t="shared" si="491"/>
        <v>3418.194291461999</v>
      </c>
      <c r="AAG14" s="1045">
        <f t="shared" si="491"/>
        <v>3145.4612023503</v>
      </c>
      <c r="AAH14" s="1045">
        <f t="shared" si="491"/>
        <v>3911.122394812297</v>
      </c>
      <c r="AAI14" s="1045">
        <f t="shared" si="491"/>
        <v>3908.7334147514903</v>
      </c>
      <c r="AAJ14" s="1045">
        <f t="shared" si="491"/>
        <v>4500.5893699748885</v>
      </c>
      <c r="AAK14" s="1045">
        <f t="shared" si="491"/>
        <v>4372.5344814368846</v>
      </c>
      <c r="AAL14" s="1045">
        <f t="shared" si="491"/>
        <v>4854.470540482489</v>
      </c>
      <c r="AAM14" s="1045">
        <f t="shared" si="491"/>
        <v>4499.6973420356935</v>
      </c>
      <c r="AAN14" s="1045">
        <f t="shared" si="491"/>
        <v>5131.8427680599834</v>
      </c>
      <c r="AAO14" s="1045">
        <f t="shared" si="491"/>
        <v>5967.9476032970942</v>
      </c>
      <c r="AAP14" s="1045">
        <f t="shared" si="491"/>
        <v>6246.3040305584964</v>
      </c>
      <c r="AAQ14" s="1045">
        <f t="shared" si="491"/>
        <v>6672.011954005292</v>
      </c>
      <c r="AAR14" s="1045">
        <f t="shared" si="491"/>
        <v>8909.247313512893</v>
      </c>
      <c r="AAS14" s="1045">
        <f t="shared" si="491"/>
        <v>10315.598220728689</v>
      </c>
      <c r="AAT14" s="1045">
        <f t="shared" si="491"/>
        <v>10861.755270728689</v>
      </c>
      <c r="AAU14" s="1045">
        <f t="shared" si="491"/>
        <v>11313.6203739468</v>
      </c>
      <c r="AAV14" s="1045">
        <f t="shared" si="491"/>
        <v>11022.464212005292</v>
      </c>
      <c r="AAW14" s="1045">
        <f t="shared" si="491"/>
        <v>11759.107642512892</v>
      </c>
      <c r="AAX14" s="1045">
        <f t="shared" si="491"/>
        <v>12822.84283478189</v>
      </c>
      <c r="AAY14" s="1045">
        <f t="shared" si="491"/>
        <v>14308.049045792462</v>
      </c>
      <c r="AAZ14" s="1045">
        <f t="shared" si="491"/>
        <v>14424.062021584268</v>
      </c>
      <c r="ABA14" s="1045">
        <f t="shared" si="491"/>
        <v>13658.62914221348</v>
      </c>
      <c r="ABB14" s="1045">
        <f t="shared" si="491"/>
        <v>12924.347315050891</v>
      </c>
      <c r="ABC14" s="1045">
        <f t="shared" si="491"/>
        <v>12451.601907050892</v>
      </c>
      <c r="ABD14" s="1045">
        <f t="shared" si="491"/>
        <v>11314.613340482485</v>
      </c>
      <c r="ABE14" s="1045">
        <f t="shared" si="491"/>
        <v>10950.648015614672</v>
      </c>
      <c r="ABF14" s="1045">
        <f t="shared" si="491"/>
        <v>10812.538875842696</v>
      </c>
      <c r="ABG14" s="1045">
        <f t="shared" si="491"/>
        <v>12176.650930151189</v>
      </c>
      <c r="ABH14" s="1045">
        <f t="shared" si="491"/>
        <v>12304.972233090382</v>
      </c>
      <c r="ABI14" s="1045">
        <f t="shared" si="491"/>
        <v>10498.679008789488</v>
      </c>
      <c r="ABJ14" s="1045">
        <f t="shared" si="491"/>
        <v>9922.7369662970887</v>
      </c>
      <c r="ABK14" s="1045">
        <f t="shared" si="491"/>
        <v>9218.4507157590851</v>
      </c>
      <c r="ABL14" s="1045">
        <f t="shared" si="491"/>
        <v>11263.878085561464</v>
      </c>
      <c r="ABM14" s="1045">
        <f t="shared" si="491"/>
        <v>10553.586621081295</v>
      </c>
      <c r="ABN14" s="1045">
        <f t="shared" si="491"/>
        <v>10787.951893850295</v>
      </c>
      <c r="ABO14" s="1045">
        <f t="shared" si="491"/>
        <v>9660.6491655128866</v>
      </c>
      <c r="ABP14" s="1045">
        <f t="shared" si="491"/>
        <v>9405.0297408046899</v>
      </c>
      <c r="ABQ14" s="1045">
        <f t="shared" ref="ABQ14:ACI14" si="492">ABQ13-ABQ13*(ABQ6+1-0.96)</f>
        <v>8028.042653452082</v>
      </c>
      <c r="ABR14" s="1045">
        <f t="shared" si="492"/>
        <v>7124.19784428189</v>
      </c>
      <c r="ABS14" s="1045">
        <f t="shared" si="492"/>
        <v>6335.263258190681</v>
      </c>
      <c r="ABT14" s="1045">
        <f t="shared" si="492"/>
        <v>6928.2316672818906</v>
      </c>
      <c r="ABU14" s="1045">
        <f t="shared" si="492"/>
        <v>6187.6952772818913</v>
      </c>
      <c r="ABV14" s="1045">
        <f t="shared" si="492"/>
        <v>6920.6605543456726</v>
      </c>
      <c r="ABW14" s="1045">
        <f t="shared" si="492"/>
        <v>7057.4336901602774</v>
      </c>
      <c r="ABX14" s="1045">
        <f t="shared" si="492"/>
        <v>8781.6799994216799</v>
      </c>
      <c r="ABY14" s="1045">
        <f t="shared" si="492"/>
        <v>11300.859873190682</v>
      </c>
      <c r="ABZ14" s="1045">
        <f t="shared" si="492"/>
        <v>11413.655098698284</v>
      </c>
      <c r="ACA14" s="1045">
        <f t="shared" si="492"/>
        <v>11127.702603914082</v>
      </c>
      <c r="ACB14" s="1045">
        <f t="shared" si="492"/>
        <v>9566.0439029292847</v>
      </c>
      <c r="ACC14" s="1046">
        <f t="shared" si="492"/>
        <v>9059.1063381906843</v>
      </c>
      <c r="ACD14" s="1076">
        <f t="shared" si="492"/>
        <v>8153.9225496830823</v>
      </c>
      <c r="ACE14" s="1045">
        <f t="shared" si="492"/>
        <v>8724.0782191754806</v>
      </c>
      <c r="ACF14" s="1045">
        <f t="shared" si="492"/>
        <v>8908.5031955432933</v>
      </c>
      <c r="ACG14" s="1045">
        <f t="shared" si="492"/>
        <v>9536.6199375128926</v>
      </c>
      <c r="ACH14" s="1045">
        <f t="shared" si="492"/>
        <v>9686.0730171421055</v>
      </c>
      <c r="ACI14" s="1046">
        <f t="shared" si="492"/>
        <v>9797.7731594216839</v>
      </c>
      <c r="ACJ14" s="1077">
        <f t="shared" ref="ACJ14:ACK14" si="493">ACJ13-ACJ13*(ACJ6+1-0.96)</f>
        <v>10093.180159421683</v>
      </c>
      <c r="ACK14" s="1077">
        <f t="shared" si="493"/>
        <v>9427.156253266694</v>
      </c>
      <c r="ACL14" s="1077">
        <f t="shared" ref="ACL14:ACM14" si="494">ACL13-ACL13*(ACL6+1-0.96)</f>
        <v>9778.8105034824912</v>
      </c>
      <c r="ACM14" s="1077">
        <f t="shared" si="494"/>
        <v>9641.3322418836779</v>
      </c>
      <c r="ACN14" s="1077">
        <f t="shared" ref="ACN14:ACO14" si="495">ACN13-ACN13*(ACN6+1-0.96)</f>
        <v>11111.597490053871</v>
      </c>
      <c r="ACO14" s="1077">
        <f t="shared" si="495"/>
        <v>9555.7210623122974</v>
      </c>
      <c r="ACP14" s="1077">
        <f t="shared" ref="ACP14:ACQ14" si="496">ACP13-ACP13*(ACP6+1-0.96)</f>
        <v>11001.593539421685</v>
      </c>
      <c r="ACQ14" s="1077">
        <f t="shared" si="496"/>
        <v>10100.27968188368</v>
      </c>
      <c r="ACR14" s="1077">
        <f t="shared" ref="ACR14:ACS14" si="497">ACR13-ACR13*(ACR6+1-0.96)</f>
        <v>10555.520224345679</v>
      </c>
      <c r="ACS14" s="1077">
        <f t="shared" si="497"/>
        <v>11246.192695576674</v>
      </c>
      <c r="ACT14" s="1077">
        <f t="shared" ref="ACT14:ACU14" si="498">ACT13-ACT13*(ACT6+1-0.96)</f>
        <v>11272.039166807672</v>
      </c>
      <c r="ACU14" s="1077">
        <f t="shared" si="498"/>
        <v>11553.26104582287</v>
      </c>
      <c r="ACV14" s="1077">
        <f t="shared" ref="ACV14:ACW14" si="499">ACV13-ACV13*(ACV6+1-0.96)</f>
        <v>10424.845406807668</v>
      </c>
      <c r="ACW14" s="1077">
        <f t="shared" si="499"/>
        <v>9802.3023305614697</v>
      </c>
      <c r="ACX14" s="1077">
        <f t="shared" ref="ACX14:ACY14" si="500">ACX13-ACX13*(ACX6+1-0.96)</f>
        <v>9771.8360823152707</v>
      </c>
      <c r="ACY14" s="1077">
        <f t="shared" si="500"/>
        <v>9134.1880378228689</v>
      </c>
      <c r="ACZ14" s="1077">
        <f t="shared" ref="ACZ14:ADA14" si="501">ACZ13-ACZ13*(ACZ6+1-0.96)</f>
        <v>11210.479286315271</v>
      </c>
      <c r="ADA14" s="1077">
        <f t="shared" si="501"/>
        <v>10991.450606807668</v>
      </c>
      <c r="ADB14" s="1077">
        <f t="shared" ref="ADB14:ADC14" si="502">ADB13-ADB13*(ADB6+1-0.96)</f>
        <v>10377.364826315274</v>
      </c>
      <c r="ADC14" s="1077">
        <f t="shared" si="502"/>
        <v>11383.419806807671</v>
      </c>
      <c r="ADD14" s="1077">
        <f t="shared" ref="ADD14:ADE14" si="503">ADD13-ADD13*(ADD6+1-0.96)</f>
        <v>10441.224322561471</v>
      </c>
      <c r="ADE14" s="1077">
        <f t="shared" si="503"/>
        <v>11309.546963038669</v>
      </c>
      <c r="ADF14" s="1077">
        <f t="shared" ref="ADF14" si="504">ADF13-ADF13*(ADF6+1-0.96)</f>
        <v>12413.015563038671</v>
      </c>
      <c r="ADG14" s="1077">
        <f t="shared" ref="ADG14:ADH14" si="505">ADG13-ADG13*(ADG6+1-0.96)</f>
        <v>11977.374646284869</v>
      </c>
      <c r="ADH14" s="1077">
        <f t="shared" si="505"/>
        <v>12867.893330023469</v>
      </c>
      <c r="ADI14" s="1077">
        <f t="shared" ref="ADI14:ADJ14" si="506">ADI13-ADI13*(ADI6+1-0.96)</f>
        <v>12102.39176680767</v>
      </c>
      <c r="ADJ14" s="1077">
        <f t="shared" si="506"/>
        <v>12590.700859269666</v>
      </c>
      <c r="ADK14" s="1077">
        <f t="shared" ref="ADK14" si="507">ADK13-ADK13*(ADK6+1-0.96)</f>
        <v>12442.729988038669</v>
      </c>
      <c r="ADL14" s="1077">
        <f t="shared" ref="ADL14:ADM14" si="508">ADL13-ADL13*(ADL6+1-0.96)</f>
        <v>11659.972109269665</v>
      </c>
      <c r="ADM14" s="1077">
        <f t="shared" si="508"/>
        <v>13055.228238038668</v>
      </c>
      <c r="ADN14" s="1077">
        <f t="shared" ref="ADN14:ADO14" si="509">ADN13-ADN13*(ADN6+1-0.96)</f>
        <v>13070.811855500662</v>
      </c>
      <c r="ADO14" s="1077">
        <f t="shared" si="509"/>
        <v>13455.679637947458</v>
      </c>
      <c r="ADP14" s="1077">
        <f>ADP13-ADP13*(ADP6+1-0.96)</f>
        <v>14700.349515500664</v>
      </c>
      <c r="ADQ14" s="1077">
        <f t="shared" ref="ADQ14" si="510">ADQ13-ADQ13*(ADQ6+1-0.96)</f>
        <v>15393.277823853274</v>
      </c>
      <c r="ADR14" s="1077">
        <f t="shared" ref="ADR14" si="511">ADR13-ADR13*(ADR6+1-0.96)</f>
        <v>16801.928768777267</v>
      </c>
      <c r="ADS14" s="1077">
        <f t="shared" ref="ADS14" si="512">ADS13-ADS13*(ADS6+1-0.96)</f>
        <v>16204.22298303867</v>
      </c>
      <c r="ADT14" s="1077">
        <f t="shared" ref="ADT14:ADU14" si="513">ADT13-ADT13*(ADT6+1-0.96)</f>
        <v>15162.24404548249</v>
      </c>
      <c r="ADU14" s="1077">
        <f t="shared" si="513"/>
        <v>14244.758871208858</v>
      </c>
      <c r="ADV14" s="1077">
        <f t="shared" ref="ADV14:ADW14" si="514">ADV13-ADV13*(ADV6+1-0.96)</f>
        <v>14513.335290470262</v>
      </c>
      <c r="ADW14" s="1077">
        <f t="shared" si="514"/>
        <v>13111.650578038669</v>
      </c>
      <c r="ADX14" s="1077">
        <f t="shared" ref="ADX14:ADY14" si="515">ADX13-ADX13*(ADX6+1-0.96)</f>
        <v>12702.094835853273</v>
      </c>
      <c r="ADY14" s="1077">
        <f t="shared" si="515"/>
        <v>11447.192318297093</v>
      </c>
      <c r="ADZ14" s="1077">
        <f t="shared" ref="ADZ14:AEA14" si="516">ADZ13-ADZ13*(ADZ6+1-0.96)</f>
        <v>12116.130584898881</v>
      </c>
      <c r="AEA14" s="1077">
        <f t="shared" si="516"/>
        <v>11408.43642894746</v>
      </c>
      <c r="AEB14" s="1077">
        <f t="shared" ref="AEB14:AEC14" si="517">AEB13-AEB13*(AEB6+1-0.96)</f>
        <v>11199.276762746864</v>
      </c>
      <c r="AEC14" s="1077">
        <f t="shared" si="517"/>
        <v>9228.4946684368842</v>
      </c>
      <c r="AED14" s="1077">
        <f t="shared" ref="AED14:AEE14" si="518">AED13-AED13*(AED6+1-0.96)</f>
        <v>9969.0005091602798</v>
      </c>
      <c r="AEE14" s="1077">
        <f t="shared" si="518"/>
        <v>9194.7799004535718</v>
      </c>
      <c r="AEF14" s="1077">
        <f t="shared" ref="AEF14:AEK14" si="519">AEF13-AEF13*(AEF6+1-0.96)</f>
        <v>9928.7175043456737</v>
      </c>
      <c r="AEG14" s="1077">
        <f t="shared" si="519"/>
        <v>8905.1372464854612</v>
      </c>
      <c r="AEH14" s="1077">
        <f t="shared" si="519"/>
        <v>9126.4789319649717</v>
      </c>
      <c r="AEI14" s="1077">
        <f t="shared" si="519"/>
        <v>7863.3597544649747</v>
      </c>
      <c r="AEJ14" s="1077">
        <f t="shared" si="519"/>
        <v>8331.980681964973</v>
      </c>
      <c r="AEK14" s="1077">
        <f t="shared" si="519"/>
        <v>6483.9402895280946</v>
      </c>
      <c r="AEL14" s="1077">
        <f t="shared" ref="AEL14:AEM14" si="520">AEL13-AEL13*(AEL6+1-0.96)</f>
        <v>8045.5567468076697</v>
      </c>
      <c r="AEM14" s="1077">
        <f t="shared" si="520"/>
        <v>8013.9589411465677</v>
      </c>
      <c r="AEN14" s="1077">
        <f t="shared" ref="AEN14:AEO14" si="521">AEN13-AEN13*(AEN6+1-0.96)</f>
        <v>9006.9304468076698</v>
      </c>
      <c r="AEO14" s="1077">
        <f t="shared" si="521"/>
        <v>6969.1912468076689</v>
      </c>
      <c r="AEP14" s="1077">
        <f t="shared" ref="AEP14:AEQ14" si="522">AEP13-AEP13*(AEP6+1-0.96)</f>
        <v>7479.6788298228712</v>
      </c>
      <c r="AEQ14" s="1077">
        <f t="shared" si="522"/>
        <v>6546.9822939930636</v>
      </c>
      <c r="AER14" s="1077">
        <f t="shared" ref="AER14:AES14" si="523">AER13-AER13*(AER6+1-0.96)</f>
        <v>6590.3401013000703</v>
      </c>
      <c r="AES14" s="1077">
        <f t="shared" si="523"/>
        <v>5665.2039275918742</v>
      </c>
      <c r="AET14" s="1077">
        <f t="shared" ref="AET14:AEU14" si="524">AET13-AET13*(AET6+1-0.96)</f>
        <v>5150.234061883677</v>
      </c>
      <c r="AEU14" s="1077">
        <f t="shared" si="524"/>
        <v>2746.2892618836772</v>
      </c>
      <c r="AEV14" s="1077">
        <f t="shared" ref="AEV14" si="525">AEV13-AEV13*(AEV6+1-0.96)</f>
        <v>3621.9002184193678</v>
      </c>
      <c r="AEW14" s="1077">
        <f t="shared" ref="AEW14:AEX14" si="526">AEW13-AEW13*(AEW6+1-0.96)</f>
        <v>3934.9788855386678</v>
      </c>
      <c r="AEX14" s="1077">
        <f t="shared" si="526"/>
        <v>4536.0742893456736</v>
      </c>
      <c r="AEY14" s="1077">
        <f t="shared" ref="AEY14:AEZ14" si="527">AEY13-AEY13*(AEY6+1-0.96)</f>
        <v>3379.660189345675</v>
      </c>
      <c r="AEZ14" s="1077">
        <f t="shared" si="527"/>
        <v>3487.154900237776</v>
      </c>
      <c r="AFA14" s="1077">
        <f t="shared" ref="AFA14" si="528">AFA13-AFA13*(AFA6+1-0.96)</f>
        <v>7013.1551507377762</v>
      </c>
      <c r="AFB14" s="1077">
        <f t="shared" ref="AFB14" si="529">AFB13-AFB13*(AFB6+1-0.96)</f>
        <v>6127.6689549877765</v>
      </c>
      <c r="AFC14" s="1077">
        <f t="shared" ref="AFC14:AFH14" si="530">AFC13-AFC13*(AFC6+1-0.96)</f>
        <v>6282.6062244877767</v>
      </c>
      <c r="AFD14" s="1077">
        <f t="shared" si="530"/>
        <v>6752.3220293456761</v>
      </c>
      <c r="AFE14" s="1077">
        <f t="shared" si="530"/>
        <v>6750.0449068076705</v>
      </c>
      <c r="AFF14" s="1077">
        <f t="shared" si="530"/>
        <v>7294.6337068076709</v>
      </c>
      <c r="AFG14" s="1077">
        <f t="shared" si="530"/>
        <v>6028.9217068076705</v>
      </c>
      <c r="AFH14" s="1077">
        <f t="shared" si="530"/>
        <v>6376.9505068076714</v>
      </c>
      <c r="AFI14" s="1077">
        <f t="shared" ref="AFI14:AFJ14" si="531">AFI13-AFI13*(AFI6+1-0.96)</f>
        <v>7284.2026293456775</v>
      </c>
      <c r="AFJ14" s="1077">
        <f t="shared" si="531"/>
        <v>6703.4921068076728</v>
      </c>
      <c r="AFK14" s="1077">
        <f t="shared" ref="AFK14:AFL14" si="532">AFK13-AFK13*(AFK6+1-0.96)</f>
        <v>6073.6937068076732</v>
      </c>
      <c r="AFL14" s="1077">
        <f t="shared" si="532"/>
        <v>6236.6882680766757</v>
      </c>
      <c r="AFM14" s="1077">
        <f t="shared" ref="AFM14:AFN14" si="533">AFM13-AFM13*(AFM6+1-0.96)</f>
        <v>5204.2107680766749</v>
      </c>
      <c r="AFN14" s="1077">
        <f t="shared" si="533"/>
        <v>4749.5532680766755</v>
      </c>
      <c r="AFO14" s="1077">
        <f t="shared" ref="AFO14:AFU14" si="534">AFO13-AFO13*(AFO6+1-0.96)</f>
        <v>3942.8993068076734</v>
      </c>
      <c r="AFP14" s="1077">
        <f t="shared" si="534"/>
        <v>3816.7985068076732</v>
      </c>
      <c r="AFQ14" s="1077">
        <f t="shared" si="534"/>
        <v>3148.5617068076722</v>
      </c>
      <c r="AFR14" s="1077">
        <f t="shared" si="534"/>
        <v>3067.5619293456766</v>
      </c>
      <c r="AFS14" s="1077">
        <f t="shared" si="534"/>
        <v>1682.1689452828141</v>
      </c>
      <c r="AFT14" s="1077">
        <f t="shared" si="534"/>
        <v>3071.9956228076717</v>
      </c>
      <c r="AFU14" s="1077">
        <f t="shared" si="534"/>
        <v>2689.5604228076718</v>
      </c>
      <c r="AFV14" s="1077">
        <f t="shared" ref="AFV14:AFW14" si="535">AFV13-AFV13*(AFV6+1-0.96)</f>
        <v>3417.7060228076712</v>
      </c>
      <c r="AFW14" s="1077">
        <f t="shared" si="535"/>
        <v>2585.0263625006655</v>
      </c>
      <c r="AFX14" s="1076">
        <f t="shared" ref="AFX14:AFY14" si="536">AFX13-AFX13*(AFX6+1-0.96)</f>
        <v>6539.4092492696655</v>
      </c>
      <c r="AFY14" s="1076">
        <f t="shared" si="536"/>
        <v>6862.9054757316626</v>
      </c>
      <c r="AFZ14" s="1076">
        <f t="shared" ref="AFZ14:AGA14" si="537">AFZ13-AFZ13*(AFZ6+1-0.96)</f>
        <v>6225.0070228076702</v>
      </c>
      <c r="AGA14" s="1076">
        <f t="shared" si="537"/>
        <v>4626.319022807671</v>
      </c>
      <c r="AGB14" s="1076">
        <f t="shared" ref="AGB14" si="538">AGB13-AGB13*(AGB6+1-0.96)</f>
        <v>5278.3954963456763</v>
      </c>
      <c r="AGC14" s="1076">
        <f t="shared" ref="AGC14:AGD14" si="539">AGC13-AGC13*(AGC6+1-0.96)</f>
        <v>5129.2361963456769</v>
      </c>
      <c r="AGD14" s="1076">
        <f t="shared" si="539"/>
        <v>5770.1027095766731</v>
      </c>
      <c r="AGE14" s="1078">
        <f t="shared" ref="AGE14" si="540">AGE13-AGE13*(AGE6+1-0.96)</f>
        <v>4902.6922360386689</v>
      </c>
      <c r="AGF14" s="1077">
        <f t="shared" ref="AGF14:AGG14" si="541">AGF13-AGF13*(AGF6+1-0.96)</f>
        <v>5963.6871125006655</v>
      </c>
      <c r="AGG14" s="1077">
        <f t="shared" si="541"/>
        <v>5061.6162492696667</v>
      </c>
      <c r="AGH14" s="1077">
        <f t="shared" ref="AGH14:AGI14" si="542">AGH13-AGH13*(AGH6+1-0.96)</f>
        <v>4763.6086228076711</v>
      </c>
      <c r="AGI14" s="1077">
        <f t="shared" si="542"/>
        <v>3942.7492625006648</v>
      </c>
      <c r="AGJ14" s="1077">
        <f t="shared" ref="AGJ14:AGK14" si="543">AGJ13-AGJ13*(AGJ6+1-0.96)</f>
        <v>4107.2134610386674</v>
      </c>
      <c r="AGK14" s="1077">
        <f t="shared" si="543"/>
        <v>7637.1756110386668</v>
      </c>
      <c r="AGL14" s="1077">
        <f t="shared" ref="AGL14" si="544">AGL13-AGL13*(AGL6+1-0.96)</f>
        <v>6457.1452228076687</v>
      </c>
      <c r="AGM14" s="1077">
        <f t="shared" ref="AGM14:AGN14" si="545">AGM13-AGM13*(AGM6+1-0.96)</f>
        <v>7599.2847757316595</v>
      </c>
      <c r="AGN14" s="1077">
        <f t="shared" si="545"/>
        <v>7316.1004625006626</v>
      </c>
      <c r="AGO14" s="1077">
        <f t="shared" ref="AGO14:AGP14" si="546">AGO13-AGO13*(AGO6+1-0.96)</f>
        <v>5016.4387492696642</v>
      </c>
      <c r="AGP14" s="1077">
        <f t="shared" si="546"/>
        <v>4786.4032492696633</v>
      </c>
      <c r="AGQ14" s="1077">
        <f t="shared" ref="AGQ14:AGR14" si="547">AGQ13-AGQ13*(AGQ6+1-0.96)</f>
        <v>4189.7710228076667</v>
      </c>
      <c r="AGR14" s="1077">
        <f t="shared" si="547"/>
        <v>4890.3982228076666</v>
      </c>
      <c r="AGS14" s="1077">
        <f t="shared" ref="AGS14:AGT14" si="548">AGS13-AGS13*(AGS6+1-0.96)</f>
        <v>4751.2707963456714</v>
      </c>
      <c r="AGT14" s="1077">
        <f t="shared" si="548"/>
        <v>5881.5301625006614</v>
      </c>
      <c r="AGU14" s="1077">
        <f t="shared" ref="AGU14:AGV14" si="549">AGU13-AGU13*(AGU6+1-0.96)</f>
        <v>5961.8767492696616</v>
      </c>
      <c r="AGV14" s="1077">
        <f t="shared" si="549"/>
        <v>6616.9024757316574</v>
      </c>
      <c r="AGW14" s="1077">
        <f t="shared" ref="AGW14" si="550">AGW13-AGW13*(AGW6+1-0.96)</f>
        <v>6509.1129875006591</v>
      </c>
      <c r="AGX14" s="1077">
        <f t="shared" ref="AGX14:AGY14" si="551">AGX13-AGX13*(AGX6+1-0.96)</f>
        <v>5706.5324992696596</v>
      </c>
      <c r="AGY14" s="1077">
        <f t="shared" si="551"/>
        <v>6594.0221757316558</v>
      </c>
      <c r="AGZ14" s="1077">
        <f t="shared" ref="AGZ14:AHD14" si="552">AGZ13-AGZ13*(AGZ6+1-0.96)</f>
        <v>5428.2604625006579</v>
      </c>
      <c r="AHA14" s="1077">
        <f t="shared" si="552"/>
        <v>5921.0506757316552</v>
      </c>
      <c r="AHB14" s="1077">
        <f t="shared" si="552"/>
        <v>7857.2556125006586</v>
      </c>
      <c r="AHC14" s="1077">
        <f t="shared" si="552"/>
        <v>8045.9644757316555</v>
      </c>
      <c r="AHD14" s="1077">
        <f t="shared" si="552"/>
        <v>5580.8223875006579</v>
      </c>
      <c r="AHE14" s="1077">
        <f t="shared" ref="AHE14" si="553">AHE13-AHE13*(AHE6+1-0.96)</f>
        <v>8038.4139992696591</v>
      </c>
      <c r="AHF14" s="1077">
        <f t="shared" ref="AHF14:AHG14" si="554">AHF13-AHF13*(AHF6+1-0.96)</f>
        <v>8136.2537360386614</v>
      </c>
      <c r="AHG14" s="1077">
        <f t="shared" si="554"/>
        <v>7052.8606228076633</v>
      </c>
      <c r="AHH14" s="1077">
        <f t="shared" ref="AHH14" si="555">AHH13-AHH13*(AHH6+1-0.96)</f>
        <v>7756.0227492696604</v>
      </c>
      <c r="AHI14" s="1077">
        <f t="shared" ref="AHI14" si="556">AHI13-AHI13*(AHI6+1-0.96)</f>
        <v>6307.3329875006584</v>
      </c>
      <c r="AHJ14" s="1077">
        <f t="shared" ref="AHJ14:AHL14" si="557">AHJ13-AHJ13*(AHJ6+1-0.96)</f>
        <v>7461.1704992696586</v>
      </c>
      <c r="AHK14" s="1077">
        <f t="shared" ref="AHK14" si="558">AHK13-AHK13*(AHK6+1-0.96)</f>
        <v>6399.7302845766653</v>
      </c>
      <c r="AHL14" s="1077">
        <f t="shared" si="557"/>
        <v>6858.4584095766659</v>
      </c>
      <c r="AHM14" s="1077">
        <f t="shared" ref="AHM14" si="559">AHM13-AHM13*(AHM6+1-0.96)</f>
        <v>6766.6369672842666</v>
      </c>
      <c r="AHN14" s="1077">
        <f t="shared" ref="AHN14" si="560">AHN13-AHN13*(AHN6+1-0.96)</f>
        <v>7813.7250628076627</v>
      </c>
      <c r="AHO14" s="1077">
        <f t="shared" ref="AHO14:AHP14" si="561">AHO13-AHO13*(AHO6+1-0.96)</f>
        <v>6344.5421353310603</v>
      </c>
      <c r="AHP14" s="1077">
        <f t="shared" si="561"/>
        <v>4529.659212222864</v>
      </c>
      <c r="AHQ14" s="1077">
        <f t="shared" ref="AHQ14" si="562">AHQ13-AHQ13*(AHQ6+1-0.96)</f>
        <v>3967.119996345667</v>
      </c>
      <c r="AHR14" s="1077">
        <f t="shared" ref="AHR14:AHS14" si="563">AHR13-AHR13*(AHR6+1-0.96)</f>
        <v>3627.0382228076619</v>
      </c>
      <c r="AHS14" s="1077">
        <f t="shared" si="563"/>
        <v>3210.2002088690633</v>
      </c>
      <c r="AHT14" s="1077">
        <f t="shared" ref="AHT14:AHU14" si="564">AHT13-AHT13*(AHT6+1-0.96)</f>
        <v>4167.0087028076614</v>
      </c>
      <c r="AHU14" s="1077">
        <f t="shared" si="564"/>
        <v>3243.6770563456648</v>
      </c>
      <c r="AHV14" s="1077">
        <f t="shared" ref="AHV14:AHX14" si="565">AHV13-AHV13*(AHV6+1-0.96)</f>
        <v>2956.8711028076596</v>
      </c>
      <c r="AHW14" s="1077">
        <f t="shared" si="565"/>
        <v>2013.0443563456647</v>
      </c>
      <c r="AHX14" s="1077">
        <f t="shared" si="565"/>
        <v>1796.1507028076601</v>
      </c>
      <c r="AHY14" s="1077">
        <f t="shared" ref="AHY14:AHZ14" si="566">AHY13-AHY13*(AHY6+1-0.96)</f>
        <v>7084.6644098836668</v>
      </c>
      <c r="AHZ14" s="1077">
        <f t="shared" si="566"/>
        <v>5402.7202866526704</v>
      </c>
      <c r="AIA14" s="1077">
        <f t="shared" ref="AIA14:AIB14" si="567">AIA13-AIA13*(AIA6+1-0.96)</f>
        <v>5833.4430563456654</v>
      </c>
      <c r="AIB14" s="1077">
        <f t="shared" si="567"/>
        <v>9054.6327028076594</v>
      </c>
      <c r="AIC14" s="1077">
        <f t="shared" ref="AIC14:AIE14" si="568">AIC13-AIC13*(AIC6+1-0.96)</f>
        <v>7427.2339563456644</v>
      </c>
      <c r="AID14" s="1077">
        <f t="shared" si="568"/>
        <v>6681.1429634216738</v>
      </c>
      <c r="AIE14" s="1077">
        <f t="shared" si="568"/>
        <v>5725.6935831146675</v>
      </c>
      <c r="AIF14" s="1077">
        <f t="shared" ref="AIF14:AIG14" si="569">AIF13-AIF13*(AIF6+1-0.96)</f>
        <v>5343.1209492696562</v>
      </c>
      <c r="AIG14" s="1077">
        <f t="shared" si="569"/>
        <v>3207.2555795766621</v>
      </c>
      <c r="AIH14" s="1077">
        <f t="shared" ref="AIH14:AII14" si="570">AIH13-AIH13*(AIH6+1-0.96)</f>
        <v>2945.7447081146661</v>
      </c>
      <c r="AII14" s="1077">
        <f t="shared" si="570"/>
        <v>2626.0197134216737</v>
      </c>
      <c r="AIJ14" s="1077">
        <f t="shared" ref="AIJ14:AIL14" si="571">AIJ13-AIJ13*(AIJ6+1-0.96)</f>
        <v>2907.4409098836695</v>
      </c>
      <c r="AIK14" s="1077">
        <f t="shared" si="571"/>
        <v>1879.4077169596785</v>
      </c>
      <c r="AIL14" s="1077">
        <f t="shared" si="571"/>
        <v>4734.9516204976826</v>
      </c>
      <c r="AIM14" s="1077">
        <f t="shared" ref="AIM14" si="572">AIM13-AIM13*(AIM6+1-0.96)</f>
        <v>3453.8529028076618</v>
      </c>
      <c r="AIN14" s="1077">
        <f t="shared" ref="AIN14:AIT14" si="573">AIN13-AIN13*(AIN6+1-0.96)</f>
        <v>3276.1867098836692</v>
      </c>
      <c r="AIO14" s="1077">
        <f t="shared" si="573"/>
        <v>2807.7707045766629</v>
      </c>
      <c r="AIP14" s="1077">
        <f t="shared" si="573"/>
        <v>2605.6645098836684</v>
      </c>
      <c r="AIQ14" s="1077">
        <f t="shared" si="573"/>
        <v>1710.2230063456659</v>
      </c>
      <c r="AIR14" s="1077">
        <f t="shared" si="573"/>
        <v>2559.6543098836687</v>
      </c>
      <c r="AIS14" s="1077">
        <f t="shared" si="573"/>
        <v>2511.354420497682</v>
      </c>
      <c r="AIT14" s="1077">
        <f t="shared" si="573"/>
        <v>2688.8397169596788</v>
      </c>
      <c r="AIU14" s="1077">
        <f t="shared" ref="AIU14:AIV14" si="574">AIU13-AIU13*(AIU6+1-0.96)</f>
        <v>3159.5691240356855</v>
      </c>
      <c r="AIV14" s="1077">
        <f t="shared" si="574"/>
        <v>3381.9603428660894</v>
      </c>
      <c r="AIW14" s="1077">
        <f t="shared" ref="AIW14" si="575">AIW13-AIW13*(AIW6+1-0.96)</f>
        <v>2572.7674404976815</v>
      </c>
      <c r="AIX14" s="1077">
        <f t="shared" ref="AIX14" si="576">AIX13-AIX13*(AIX6+1-0.96)</f>
        <v>3549.8797934216732</v>
      </c>
      <c r="AIY14" s="1077">
        <f t="shared" ref="AIY14" si="577">AIY13-AIY13*(AIY6+1-0.96)</f>
        <v>3131.8499875736898</v>
      </c>
      <c r="AIZ14" s="1077">
        <f t="shared" ref="AIZ14:AJF14" si="578">AIZ13-AIZ13*(AIZ6+1-0.96)</f>
        <v>2922.4699934216746</v>
      </c>
      <c r="AJA14" s="1077">
        <f t="shared" si="578"/>
        <v>3191.8751640356872</v>
      </c>
      <c r="AJB14" s="1077">
        <f t="shared" si="578"/>
        <v>3205.1579301906768</v>
      </c>
      <c r="AJC14" s="1077">
        <f t="shared" si="578"/>
        <v>2802.8089258046898</v>
      </c>
      <c r="AJD14" s="1077">
        <f t="shared" si="578"/>
        <v>2687.6051640356882</v>
      </c>
      <c r="AJE14" s="1077">
        <f t="shared" si="578"/>
        <v>3454.2726698836705</v>
      </c>
      <c r="AJF14" s="1077">
        <f t="shared" si="578"/>
        <v>4337.8407404976842</v>
      </c>
      <c r="AJG14" s="1077">
        <f t="shared" ref="AJG14:AJH14" si="579">AJG13-AJG13*(AJG6+1-0.96)</f>
        <v>4025.6863801906775</v>
      </c>
      <c r="AJH14" s="1077">
        <f t="shared" si="579"/>
        <v>2730.6528904976849</v>
      </c>
      <c r="AJI14" s="1077">
        <f t="shared" ref="AJI14:AJJ14" si="580">AJI13-AJI13*(AJI6+1-0.96)</f>
        <v>2567.9648640356886</v>
      </c>
      <c r="AJJ14" s="1077">
        <f t="shared" si="580"/>
        <v>2502.6175375736921</v>
      </c>
      <c r="AJK14" s="1077">
        <f t="shared" ref="AJK14" si="581">AJK13-AJK13*(AJK6+1-0.96)</f>
        <v>3296.3394155444785</v>
      </c>
      <c r="AJL14" s="1077">
        <f t="shared" ref="AJL14:AJM14" si="582">AJL13-AJL13*(AJL6+1-0.96)</f>
        <v>3248.3672610824833</v>
      </c>
      <c r="AJM14" s="1077">
        <f t="shared" si="582"/>
        <v>2143.5880904976857</v>
      </c>
      <c r="AJN14" s="1077">
        <f t="shared" ref="AJN14" si="583">AJN13-AJN13*(AJN6+1-0.96)</f>
        <v>2660.1512022666875</v>
      </c>
      <c r="AJO14" s="1077">
        <f t="shared" ref="AJO14" si="584">AJO13-AJO13*(AJO6+1-0.96)</f>
        <v>4031.7568934216783</v>
      </c>
      <c r="AJP14" s="1077">
        <f t="shared" ref="AJP14" si="585">AJP13-AJP13*(AJP6+1-0.96)</f>
        <v>2725.6946477900856</v>
      </c>
      <c r="AJQ14" s="1077">
        <f t="shared" ref="AJQ14:AJR14" si="586">AJQ13-AJQ13*(AJQ6+1-0.96)</f>
        <v>2677.2369197900857</v>
      </c>
      <c r="AJR14" s="1077">
        <f t="shared" si="586"/>
        <v>1354.9840204976867</v>
      </c>
      <c r="AJS14" s="1077">
        <f t="shared" ref="AJS14" si="587">AJS13-AJS13*(AJS6+1-0.96)</f>
        <v>1603.9913063456709</v>
      </c>
      <c r="AJT14" s="1077">
        <f t="shared" ref="AJT14" si="588">AJT13-AJT13*(AJT6+1-0.96)</f>
        <v>971.70716519068151</v>
      </c>
      <c r="AJU14" s="1077">
        <f t="shared" ref="AJU14:AJV14" si="589">AJU13-AJU13*(AJU6+1-0.96)</f>
        <v>1307.6919961179385</v>
      </c>
      <c r="AJV14" s="1077">
        <f t="shared" si="589"/>
        <v>1260.2580434976878</v>
      </c>
      <c r="AJW14" s="1077">
        <f t="shared" ref="AJW14" si="590">AJW13-AJW13*(AJW6+1-0.96)</f>
        <v>1317.0708104216799</v>
      </c>
      <c r="AJX14" s="1077">
        <f t="shared" ref="AJX14" si="591">AJX13-AJX13*(AJX6+1-0.96)</f>
        <v>986.61356022868586</v>
      </c>
      <c r="AJY14" s="1077">
        <f t="shared" ref="AJY14" si="592">AJY13-AJY13*(AJY6+1-0.96)</f>
        <v>1649.7747352286858</v>
      </c>
      <c r="AJZ14" s="1077">
        <f t="shared" ref="AJZ14" si="593">AJZ13-AJZ13*(AJZ6+1-0.96)</f>
        <v>2020.6901100356909</v>
      </c>
      <c r="AKA14" s="1077">
        <f t="shared" ref="AKA14:AKB14" si="594">AKA13-AKA13*(AKA6+1-0.96)</f>
        <v>1352.6557517666879</v>
      </c>
      <c r="AKB14" s="1077">
        <f t="shared" si="594"/>
        <v>1865.0479604216787</v>
      </c>
      <c r="AKC14" s="1077">
        <f t="shared" ref="AKC14" si="595">AKC13-AKC13*(AKC6+1-0.96)</f>
        <v>2488.1346769596839</v>
      </c>
      <c r="AKD14" s="1077">
        <f t="shared" ref="AKD14" si="596">AKD13-AKD13*(AKD6+1-0.96)</f>
        <v>1940.134676959683</v>
      </c>
      <c r="AKE14" s="1077">
        <f t="shared" ref="AKE14" si="597">AKE13-AKE13*(AKE6+1-0.96)</f>
        <v>2653.1440794204891</v>
      </c>
      <c r="AKF14" s="1077">
        <f t="shared" ref="AKF14" si="598">AKF13-AKF13*(AKF6+1-0.96)</f>
        <v>3066.9535004216787</v>
      </c>
      <c r="AKG14" s="1077">
        <f t="shared" ref="AKG14" si="599">AKG13-AKG13*(AKG6+1-0.96)</f>
        <v>2916.1843238836746</v>
      </c>
      <c r="AKH14" s="1077">
        <f t="shared" ref="AKH14" si="600">AKH13-AKH13*(AKH6+1-0.96)</f>
        <v>3794.887153114079</v>
      </c>
      <c r="AKI14" s="1077">
        <f t="shared" ref="AKI14" si="601">AKI13-AKI13*(AKI6+1-0.96)</f>
        <v>2956.0686863444812</v>
      </c>
      <c r="AKJ14" s="1077">
        <f t="shared" ref="AKJ14" si="602">AKJ13-AKJ13*(AKJ6+1-0.96)</f>
        <v>2397.4938534976868</v>
      </c>
      <c r="AKK14" s="1077">
        <f t="shared" ref="AKK14" si="603">AKK13-AKK13*(AKK6+1-0.96)</f>
        <v>2643.7444718450756</v>
      </c>
      <c r="AKL14" s="1077">
        <f t="shared" ref="AKL14:AKM14" si="604">AKL13-AKL13*(AKL6+1-0.96)</f>
        <v>2846.2889169210839</v>
      </c>
      <c r="AKM14" s="1077">
        <f t="shared" si="604"/>
        <v>4545.0890636520817</v>
      </c>
      <c r="AKN14" s="1077">
        <f t="shared" ref="AKN14:AKO14" si="605">AKN13-AKN13*(AKN6+1-0.96)</f>
        <v>5671.4235267666882</v>
      </c>
      <c r="AKO14" s="1077">
        <f t="shared" si="605"/>
        <v>6206.4668222672844</v>
      </c>
      <c r="AKP14" s="1077">
        <f t="shared" ref="AKP14:AKQ14" si="606">AKP13-AKP13*(AKP6+1-0.96)</f>
        <v>7358.151987152678</v>
      </c>
      <c r="AKQ14" s="1077">
        <f t="shared" si="606"/>
        <v>6057.8900683046941</v>
      </c>
      <c r="AKR14" s="1077">
        <f t="shared" ref="AKR14" si="607">AKR13-AKR13*(AKR6+1-0.96)</f>
        <v>7148.0207597292829</v>
      </c>
      <c r="AKS14" s="1077">
        <f t="shared" ref="AKS14" si="608">AKS13-AKS13*(AKS6+1-0.96)</f>
        <v>5454.7708321526788</v>
      </c>
      <c r="AKT14" s="1077">
        <f t="shared" ref="AKT14:AKU14" si="609">AKT13-AKT13*(AKT6+1-0.96)</f>
        <v>6295.341270035693</v>
      </c>
      <c r="AKU14" s="1077">
        <f t="shared" si="609"/>
        <v>5297.5606563830834</v>
      </c>
      <c r="AKV14" s="1077">
        <f t="shared" ref="AKV14:AKW14" si="610">AKV13-AKV13*(AKV6+1-0.96)</f>
        <v>3570.6507385760792</v>
      </c>
      <c r="AKW14" s="1077">
        <f t="shared" si="610"/>
        <v>5176.5679173070776</v>
      </c>
      <c r="AKX14" s="1077">
        <f t="shared" ref="AKX14:AKY14" si="611">AKX13-AKX13*(AKX6+1-0.96)</f>
        <v>6289.4755649210902</v>
      </c>
      <c r="AKY14" s="1077">
        <f t="shared" si="611"/>
        <v>6274.7965757292877</v>
      </c>
      <c r="AKZ14" s="1077">
        <f t="shared" ref="AKZ14" si="612">AKZ13-AKZ13*(AKZ6+1-0.96)</f>
        <v>7418.7569381900939</v>
      </c>
      <c r="ALA14" s="1077">
        <f t="shared" ref="ALA14:ALB14" si="613">ALA13-ALA13*(ALA6+1-0.96)</f>
        <v>6816.8763034976964</v>
      </c>
      <c r="ALB14" s="1077">
        <f t="shared" si="613"/>
        <v>7783.8987300357003</v>
      </c>
      <c r="ALC14" s="1077">
        <f t="shared" ref="ALC14:ALD14" si="614">ALC13-ALC13*(ALC6+1-0.96)</f>
        <v>7936.1955683047008</v>
      </c>
      <c r="ALD14" s="1077">
        <f t="shared" si="614"/>
        <v>9832.6879173433008</v>
      </c>
      <c r="ALE14" s="1077">
        <f t="shared" ref="ALE14:ALF14" si="615">ALE13-ALE13*(ALE6+1-0.96)</f>
        <v>10320.963995266104</v>
      </c>
      <c r="ALF14" s="1077">
        <f t="shared" si="615"/>
        <v>11973.456733497698</v>
      </c>
      <c r="ALG14" s="1077">
        <f t="shared" ref="ALG14" si="616">ALG13-ALG13*(ALG6+1-0.96)</f>
        <v>10151.187280496508</v>
      </c>
      <c r="ALH14" s="1077">
        <f t="shared" ref="ALH14:ALI14" si="617">ALH13-ALH13*(ALH6+1-0.96)</f>
        <v>9553.2306218371614</v>
      </c>
      <c r="ALI14" s="1077">
        <f t="shared" si="617"/>
        <v>6643.6105804976987</v>
      </c>
      <c r="ALJ14" s="1077">
        <f t="shared" ref="ALJ14:ALK14" si="618">ALJ13-ALJ13*(ALJ6+1-0.96)</f>
        <v>6613.0235758047029</v>
      </c>
      <c r="ALK14" s="1077">
        <f t="shared" si="618"/>
        <v>4281.0500737286957</v>
      </c>
      <c r="ALL14" s="1077">
        <f t="shared" ref="ALL14:ALM14" si="619">ALL13-ALL13*(ALL6+1-0.96)</f>
        <v>4343.9521789743012</v>
      </c>
      <c r="ALM14" s="1077">
        <f t="shared" si="619"/>
        <v>4257.0506004976996</v>
      </c>
      <c r="ALN14" s="1077">
        <f t="shared" ref="ALN14" si="620">ALN13-ALN13*(ALN6+1-0.96)</f>
        <v>7375.5162346497154</v>
      </c>
      <c r="ALO14" s="1077">
        <f t="shared" ref="ALO14:ALP14" si="621">ALO13-ALO13*(ALO6+1-0.96)</f>
        <v>7070.2496449553473</v>
      </c>
      <c r="ALP14" s="1077">
        <f t="shared" si="621"/>
        <v>7467.1541289281031</v>
      </c>
      <c r="ALQ14" s="1077">
        <f t="shared" ref="ALQ14:ALR14" si="622">ALQ13-ALQ13*(ALQ6+1-0.96)</f>
        <v>7314.792627943898</v>
      </c>
      <c r="ALR14" s="1077">
        <f t="shared" si="622"/>
        <v>7826.1403700672981</v>
      </c>
      <c r="ALS14" s="1077">
        <f t="shared" ref="ALS14:ALT14" si="623">ALS13-ALS13*(ALS6+1-0.96)</f>
        <v>7622.6588552667017</v>
      </c>
      <c r="ALT14" s="1077">
        <f t="shared" si="623"/>
        <v>9014.3986711749003</v>
      </c>
      <c r="ALU14" s="1077">
        <f t="shared" ref="ALU14" si="624">ALU13-ALU13*(ALU6+1-0.96)</f>
        <v>8844.4367280357037</v>
      </c>
      <c r="ALV14" s="1077">
        <f t="shared" ref="ALV14:ALW14" si="625">ALV13-ALV13*(ALV6+1-0.96)</f>
        <v>9834.949985883688</v>
      </c>
      <c r="ALW14" s="1077">
        <f t="shared" si="625"/>
        <v>9286.0337536526895</v>
      </c>
      <c r="ALX14" s="1077">
        <f t="shared" ref="ALX14:ALY14" si="626">ALX13-ALX13*(ALX6+1-0.96)</f>
        <v>8954.3416260830945</v>
      </c>
      <c r="ALY14" s="1077">
        <f t="shared" si="626"/>
        <v>6954.4056889912918</v>
      </c>
      <c r="ALZ14" s="1077">
        <f t="shared" ref="ALZ14:AMA14" si="627">ALZ13-ALZ13*(ALZ6+1-0.96)</f>
        <v>5999.1243004058979</v>
      </c>
      <c r="AMA14" s="1077">
        <f t="shared" si="627"/>
        <v>4788.1486147286996</v>
      </c>
      <c r="AMB14" s="1077">
        <f t="shared" ref="AMB14:AMC14" si="628">AMB13-AMB13*(AMB6+1-0.96)</f>
        <v>3556.5825802667032</v>
      </c>
      <c r="AMC14" s="1077">
        <f t="shared" si="628"/>
        <v>2859.8591689123091</v>
      </c>
      <c r="AMD14" s="1077">
        <f t="shared" ref="AMD14" si="629">AMD13-AMD13*(AMD6+1-0.96)</f>
        <v>1345.9264156053027</v>
      </c>
      <c r="AME14" s="1077">
        <f t="shared" ref="AME14:AMJ14" si="630">AME13-AME13*(AME6+1-0.96)</f>
        <v>384.76714686789467</v>
      </c>
      <c r="AMF14" s="1077">
        <f t="shared" si="630"/>
        <v>979.6008341906977</v>
      </c>
      <c r="AMG14" s="1077">
        <f t="shared" si="630"/>
        <v>1100.5353125450943</v>
      </c>
      <c r="AMH14" s="1077">
        <f t="shared" si="630"/>
        <v>5815.226058314096</v>
      </c>
      <c r="AMI14" s="1077">
        <f t="shared" si="630"/>
        <v>4951.0847689281063</v>
      </c>
      <c r="AMJ14" s="1077">
        <f t="shared" si="630"/>
        <v>3130.8132098632027</v>
      </c>
      <c r="AMK14" s="1077">
        <f t="shared" ref="AMK14" si="631">AMK13-AMK13*(AMK6+1-0.96)</f>
        <v>2911.8081162588678</v>
      </c>
      <c r="AML14" s="1077">
        <f t="shared" ref="AML14" si="632">AML13-AML13*(AML6+1-0.96)</f>
        <v>2861.6375084988686</v>
      </c>
      <c r="AMM14" s="1077">
        <f t="shared" ref="AMM14" si="633">AMM13-AMM13*(AMM6+1-0.96)</f>
        <v>1600.4461533398062</v>
      </c>
      <c r="AMN14" s="1077">
        <f t="shared" ref="AMN14" si="634">AMN13-AMN13*(AMN6+1-0.96)</f>
        <v>1760.5586679529206</v>
      </c>
      <c r="AMO14" s="1077">
        <f t="shared" ref="AMO14:AMP14" si="635">AMO13-AMO13*(AMO6+1-0.96)</f>
        <v>2255.5863489351141</v>
      </c>
      <c r="AMP14" s="1077">
        <f t="shared" si="635"/>
        <v>3011.7930041877244</v>
      </c>
      <c r="AMQ14" s="1077">
        <f t="shared" ref="AMQ14:AMR14" si="636">AMQ13-AMQ13*(AMQ6+1-0.96)</f>
        <v>4116.0992595819098</v>
      </c>
      <c r="AMR14" s="1077">
        <f t="shared" si="636"/>
        <v>5355.4563225774673</v>
      </c>
      <c r="AMS14" s="1077">
        <f t="shared" ref="AMS14" si="637">AMS13-AMS13*(AMS6+1-0.96)</f>
        <v>7223.5241758743095</v>
      </c>
      <c r="AMT14" s="1077">
        <f t="shared" ref="AMT14:AMU14" si="638">AMT13-AMT13*(AMT6+1-0.96)</f>
        <v>6464.1614775341914</v>
      </c>
      <c r="AMU14" s="1077">
        <f t="shared" si="638"/>
        <v>6523.8005800053088</v>
      </c>
      <c r="AMV14" s="1077">
        <f t="shared" ref="AMV14" si="639">AMV13-AMV13*(AMV6+1-0.96)</f>
        <v>6849.1526768955919</v>
      </c>
      <c r="AMW14" s="1077">
        <f t="shared" ref="AMW14:AMX14" si="640">AMW13-AMW13*(AMW6+1-0.96)</f>
        <v>6139.0624090205101</v>
      </c>
      <c r="AMX14" s="1077">
        <f t="shared" si="640"/>
        <v>6002.7864707667086</v>
      </c>
      <c r="AMY14" s="1077">
        <f t="shared" ref="AMY14" si="641">AMY13-AMY13*(AMY6+1-0.96)</f>
        <v>4129.6202850813152</v>
      </c>
      <c r="AMZ14" s="1077">
        <f t="shared" ref="AMZ14" si="642">AMZ13-AMZ13*(AMZ6+1-0.96)</f>
        <v>3792.4818557363051</v>
      </c>
      <c r="ANA14" s="1077">
        <f t="shared" ref="ANA14" si="643">ANA13-ANA13*(ANA6+1-0.96)</f>
        <v>2384.1994433132513</v>
      </c>
      <c r="ANB14" s="1077">
        <f t="shared" ref="ANB14" si="644">ANB13-ANB13*(ANB6+1-0.96)</f>
        <v>2525.1623569597041</v>
      </c>
      <c r="ANC14" s="1077">
        <f t="shared" ref="ANC14" si="645">ANC13-ANC13*(ANC6+1-0.96)</f>
        <v>3186.7622077779465</v>
      </c>
      <c r="AND14" s="1077">
        <f t="shared" ref="AND14" si="646">AND13-AND13*(AND6+1-0.96)</f>
        <v>2768.7890963912987</v>
      </c>
      <c r="ANE14" s="1077">
        <f t="shared" ref="ANE14" si="647">ANE13-ANE13*(ANE6+1-0.96)</f>
        <v>2234.2113723912985</v>
      </c>
      <c r="ANF14" s="1077">
        <f t="shared" ref="ANF14" si="648">ANF13-ANF13*(ANF6+1-0.96)</f>
        <v>2522.8726994977096</v>
      </c>
      <c r="ANG14" s="1077">
        <f t="shared" ref="ANG14" si="649">ANG13-ANG13*(ANG6+1-0.96)</f>
        <v>2114.2267732287073</v>
      </c>
      <c r="ANH14" s="1077">
        <f t="shared" ref="ANH14" si="650">ANH13-ANH13*(ANH6+1-0.96)</f>
        <v>1814.3664316450995</v>
      </c>
      <c r="ANI14" s="1077">
        <f t="shared" ref="ANI14" si="651">ANI13-ANI13*(ANI6+1-0.96)</f>
        <v>1361.7045644217019</v>
      </c>
      <c r="ANJ14" s="1077">
        <f t="shared" ref="ANJ14" si="652">ANJ13-ANJ13*(ANJ6+1-0.96)</f>
        <v>1017.7102319445041</v>
      </c>
      <c r="ANK14" s="1077">
        <f t="shared" ref="ANK14" si="653">ANK13-ANK13*(ANK6+1-0.96)</f>
        <v>963.42560775150946</v>
      </c>
      <c r="ANL14" s="1077">
        <f t="shared" ref="ANL14" si="654">ANL13-ANL13*(ANL6+1-0.96)</f>
        <v>863.10742225911019</v>
      </c>
      <c r="ANM14" s="1077">
        <f t="shared" ref="ANM14:ANN14" si="655">ANM13-ANM13*(ANM6+1-0.96)</f>
        <v>1111.2280628684966</v>
      </c>
      <c r="ANN14" s="1077">
        <f t="shared" si="655"/>
        <v>924.33287425911044</v>
      </c>
      <c r="ANO14" s="1077">
        <f t="shared" ref="ANO14" si="656">ANO13-ANO13*(ANO6+1-0.96)</f>
        <v>735.84217083806686</v>
      </c>
      <c r="ANP14" s="1077">
        <f t="shared" ref="ANP14" si="657">ANP13-ANP13*(ANP6+1-0.96)</f>
        <v>565.98950129244906</v>
      </c>
      <c r="ANQ14" s="1077">
        <f t="shared" ref="ANQ14:ANR14" si="658">ANQ13-ANQ13*(ANQ6+1-0.96)</f>
        <v>1549.4784075641476</v>
      </c>
      <c r="ANR14" s="1077">
        <f t="shared" si="658"/>
        <v>1829.5127620366659</v>
      </c>
      <c r="ANS14" s="1077">
        <f t="shared" ref="ANS14" si="659">ANS13-ANS13*(ANS6+1-0.96)</f>
        <v>2316.7671404217031</v>
      </c>
      <c r="ANT14" s="1077">
        <f t="shared" ref="ANT14" si="660">ANT13-ANT13*(ANT6+1-0.96)</f>
        <v>1900.1297510675583</v>
      </c>
      <c r="ANU14" s="1077">
        <f t="shared" ref="ANU14:AOC14" si="661">ANU13-ANU13*(ANU6+1-0.96)</f>
        <v>1677.5189154445175</v>
      </c>
      <c r="ANV14" s="1077">
        <f t="shared" si="661"/>
        <v>4322.3929206146959</v>
      </c>
      <c r="ANW14" s="1077">
        <f t="shared" si="661"/>
        <v>4087.3565364684964</v>
      </c>
      <c r="ANX14" s="1077">
        <f t="shared" si="661"/>
        <v>4229.4426584217035</v>
      </c>
      <c r="ANY14" s="1077">
        <f t="shared" si="661"/>
        <v>3699.0750762214038</v>
      </c>
      <c r="ANZ14" s="1077">
        <f t="shared" si="661"/>
        <v>3533.984016457352</v>
      </c>
      <c r="AOA14" s="1077">
        <f t="shared" si="661"/>
        <v>3389.1476425298974</v>
      </c>
      <c r="AOB14" s="1077">
        <f t="shared" si="661"/>
        <v>1746.1729939451004</v>
      </c>
      <c r="AOC14" s="1077">
        <f t="shared" si="661"/>
        <v>1522.5813825967859</v>
      </c>
      <c r="AOD14" s="1077">
        <f t="shared" ref="AOD14:AOE14" si="662">AOD13-AOD13*(AOD6+1-0.96)</f>
        <v>1795.1936728989022</v>
      </c>
      <c r="AOE14" s="1077">
        <f t="shared" si="662"/>
        <v>1693.2800871451013</v>
      </c>
      <c r="AOF14" s="1077">
        <f t="shared" ref="AOF14" si="663">AOF13-AOF13*(AOF6+1-0.96)</f>
        <v>3096.3020791755048</v>
      </c>
      <c r="AOG14" s="1077">
        <f t="shared" ref="AOG14:AOM14" si="664">AOG13-AOG13*(AOG6+1-0.96)</f>
        <v>3527.6097851299</v>
      </c>
      <c r="AOH14" s="1077">
        <f t="shared" si="664"/>
        <v>3316.5254782059073</v>
      </c>
      <c r="AOI14" s="1077">
        <f t="shared" si="664"/>
        <v>4260.0226343579234</v>
      </c>
      <c r="AOJ14" s="1077">
        <f t="shared" si="664"/>
        <v>4797.5312452363123</v>
      </c>
      <c r="AOK14" s="1077">
        <f t="shared" si="664"/>
        <v>5019.7201969597118</v>
      </c>
      <c r="AOL14" s="1077">
        <f t="shared" si="664"/>
        <v>4374.4757707287135</v>
      </c>
      <c r="AOM14" s="1077">
        <f t="shared" si="664"/>
        <v>4291.2890432667173</v>
      </c>
      <c r="AON14" s="1077">
        <f t="shared" ref="AON14:AOO14" si="665">AON13-AON13*(AON6+1-0.96)</f>
        <v>3708.4277309901145</v>
      </c>
      <c r="AOO14" s="1077">
        <f t="shared" si="665"/>
        <v>4429.1629618837042</v>
      </c>
      <c r="AOP14" s="1077">
        <f t="shared" ref="AOP14:AOQ14" si="666">AOP13-AOP13*(AOP6+1-0.96)</f>
        <v>4745.0855471451068</v>
      </c>
      <c r="AOQ14" s="1077">
        <f t="shared" si="666"/>
        <v>4975.6512631907117</v>
      </c>
      <c r="AOR14" s="1077">
        <f t="shared" ref="AOR14:AOS14" si="667">AOR13-AOR13*(AOR6+1-0.96)</f>
        <v>6423.3889884369109</v>
      </c>
      <c r="AOS14" s="1077">
        <f t="shared" si="667"/>
        <v>6753.3001969597144</v>
      </c>
      <c r="AOT14" s="1077">
        <f t="shared" ref="AOT14:AOU14" si="668">AOT13-AOT13*(AOT6+1-0.96)</f>
        <v>7749.0365006527072</v>
      </c>
      <c r="AOU14" s="1077">
        <f t="shared" si="668"/>
        <v>6752.5779939211152</v>
      </c>
      <c r="AOV14" s="1077">
        <f t="shared" ref="AOV14:AOW14" si="669">AOV13-AOV13*(AOV6+1-0.96)</f>
        <v>5909.6494541907114</v>
      </c>
      <c r="AOW14" s="1077">
        <f t="shared" si="669"/>
        <v>4124.4180513211159</v>
      </c>
      <c r="AOX14" s="1077">
        <f t="shared" ref="AOX14" si="670">AOX13-AOX13*(AOX6+1-0.96)</f>
        <v>5008.7510000211169</v>
      </c>
      <c r="AOY14" s="1077">
        <f t="shared" ref="AOY14:AOZ14" si="671">AOY13-AOY13*(AOY6+1-0.96)</f>
        <v>5217.9393629293136</v>
      </c>
      <c r="AOZ14" s="1077">
        <f t="shared" si="671"/>
        <v>4827.8942561135163</v>
      </c>
      <c r="APA14" s="1077">
        <f t="shared" ref="APA14:APG14" si="672">APA13-APA13*(APA6+1-0.96)+2000</f>
        <v>4777.6752297761104</v>
      </c>
      <c r="APB14" s="1077">
        <f t="shared" si="672"/>
        <v>6110.1784186369168</v>
      </c>
      <c r="APC14" s="1077">
        <f t="shared" si="672"/>
        <v>7359.6749763141161</v>
      </c>
      <c r="APD14" s="1077">
        <f t="shared" si="672"/>
        <v>8122.6566822287205</v>
      </c>
      <c r="APE14" s="1077">
        <f t="shared" si="672"/>
        <v>10521.613231690717</v>
      </c>
      <c r="APF14" s="1077">
        <f t="shared" si="672"/>
        <v>8922.2291072603148</v>
      </c>
      <c r="APG14" s="1077">
        <f t="shared" si="672"/>
        <v>6952.2186637913137</v>
      </c>
      <c r="APH14" s="1077">
        <f t="shared" ref="APH14:APM14" si="673">APH13-APH13*(APH6+1-0.96)+1000</f>
        <v>5560.4385634451146</v>
      </c>
      <c r="API14" s="1077">
        <f t="shared" si="673"/>
        <v>5384.0818694521204</v>
      </c>
      <c r="APJ14" s="1077">
        <f t="shared" si="673"/>
        <v>4004.3939086907199</v>
      </c>
      <c r="APK14" s="1077">
        <f t="shared" si="673"/>
        <v>3410.4204911749243</v>
      </c>
      <c r="APL14" s="1077">
        <f t="shared" si="673"/>
        <v>4919.3391500521238</v>
      </c>
      <c r="APM14" s="1077">
        <f t="shared" si="673"/>
        <v>4087.6019789305128</v>
      </c>
      <c r="APN14" s="1077">
        <f t="shared" ref="APN14:APO14" si="674">APN13-APN13*(APN6+1-0.96)+1000</f>
        <v>3651.282369974927</v>
      </c>
      <c r="APO14" s="1077">
        <f t="shared" si="674"/>
        <v>3911.1666398229127</v>
      </c>
      <c r="APP14" s="1077">
        <f t="shared" ref="APP14:APQ14" si="675">APP13-APP13*(APP6+1-0.96)+1000</f>
        <v>4700.7319539749287</v>
      </c>
      <c r="APQ14" s="1077">
        <f t="shared" si="675"/>
        <v>5103.1682386451212</v>
      </c>
      <c r="APR14" s="1077">
        <f t="shared" ref="APR14:APS14" si="676">APR13-APR13*(APR6+1-0.96)+1000</f>
        <v>6384.2322269293272</v>
      </c>
      <c r="APS14" s="1077">
        <f t="shared" si="676"/>
        <v>6995.8660344217278</v>
      </c>
      <c r="APT14" s="1077">
        <f>APT13-APT13*(APT6+1-0.96)+500</f>
        <v>6776.4879717211334</v>
      </c>
      <c r="APU14" s="1077">
        <f>APU13-APU13*(APU6+1-0.96)+1000</f>
        <v>6735.6250437293302</v>
      </c>
      <c r="APV14" s="1077">
        <f>APV13-APV13*(APV6+1-0.96)+1000</f>
        <v>7286.4240110229211</v>
      </c>
      <c r="APW14" s="1077">
        <f>APW13-APW13*(APW6+1-0.96)+1000</f>
        <v>5748.0408165439376</v>
      </c>
      <c r="APX14" s="1077">
        <f>APX13-APX13*(APX6+1-0.96)+1000</f>
        <v>6032.4477202755324</v>
      </c>
      <c r="APY14" s="1077">
        <f t="shared" ref="APY14:APZ14" si="677">APY13-APY13*(APY6+1-0.96)+1000</f>
        <v>4405.287013667933</v>
      </c>
      <c r="APZ14" s="1077">
        <f t="shared" si="677"/>
        <v>5413.4816551913318</v>
      </c>
      <c r="AQA14" s="1077">
        <f t="shared" ref="AQA14:AQB14" si="678">AQA13-AQA13*(AQA6+1-0.96)+1000</f>
        <v>4355.6062362673383</v>
      </c>
      <c r="AQB14" s="1077">
        <f t="shared" si="678"/>
        <v>4506.0202666135392</v>
      </c>
      <c r="AQC14" s="1077">
        <f t="shared" ref="AQC14:AQD14" si="679">AQC13-AQC13*(AQC6+1-0.96)+1000</f>
        <v>5698.4434830369373</v>
      </c>
      <c r="AQD14" s="1077">
        <f t="shared" si="679"/>
        <v>7706.321186882542</v>
      </c>
      <c r="AQE14" s="1077">
        <f t="shared" ref="AQE14:AQG14" si="680">AQE13-AQE13*(AQE6+1-0.96)+1000</f>
        <v>7372.5358352287412</v>
      </c>
      <c r="AQF14" s="1077">
        <f t="shared" si="680"/>
        <v>7453.7635138451351</v>
      </c>
      <c r="AQG14" s="1077">
        <f t="shared" si="680"/>
        <v>7612.2099222673432</v>
      </c>
      <c r="AQH14" s="1077">
        <f t="shared" ref="AQH14:AQI14" si="681">AQH13-AQH13*(AQH6+1-0.96)+1000</f>
        <v>6680.9742238837334</v>
      </c>
      <c r="AQI14" s="1077">
        <f t="shared" si="681"/>
        <v>7632.2590077293389</v>
      </c>
      <c r="AQJ14" s="1077">
        <f>AQJ13-AQJ13*(AQJ6+1-0.96)+0.001</f>
        <v>5876.8195997293387</v>
      </c>
      <c r="AQK14" s="1077">
        <f>AQK13-AQK13*(AQK6+1-0.96)+1000</f>
        <v>7083.530346613541</v>
      </c>
      <c r="AQL14" s="1077">
        <f t="shared" ref="AQL14:AQN14" si="682">AQL13-AQL13*(AQL6+1-0.96)+1000</f>
        <v>6134.6164920755391</v>
      </c>
      <c r="AQM14" s="1077">
        <f t="shared" si="682"/>
        <v>5028.6833262673445</v>
      </c>
      <c r="AQN14" s="1077">
        <f t="shared" si="682"/>
        <v>5752.9830999211463</v>
      </c>
      <c r="AQO14" s="1077">
        <f t="shared" ref="AQO14:AQP14" si="683">AQO13-AQO13*(AQO6+1-0.96)+1000</f>
        <v>6291.2258769597447</v>
      </c>
      <c r="AQP14" s="1077">
        <f t="shared" si="683"/>
        <v>6820.8563019211433</v>
      </c>
      <c r="AQQ14" s="1077">
        <f t="shared" ref="AQQ14:AQR14" si="684">AQQ13-AQQ13*(AQQ6+1-0.96)+1000</f>
        <v>6666.3055163059425</v>
      </c>
      <c r="AQR14" s="1077">
        <f t="shared" si="684"/>
        <v>7695.8401143445417</v>
      </c>
      <c r="AQS14" s="1077">
        <f t="shared" ref="AQS14:AQU14" si="685">AQS13-AQS13*(AQS6+1-0.96)+1000</f>
        <v>9131.6063486907406</v>
      </c>
      <c r="AQT14" s="1077">
        <f t="shared" si="685"/>
        <v>7896.7903683047489</v>
      </c>
      <c r="AQU14" s="1077">
        <f t="shared" si="685"/>
        <v>7799.8014302287429</v>
      </c>
      <c r="AQV14" s="1077">
        <f>AQV13-AQV13*(AQV6+1-0.96)+1000</f>
        <v>8369.4892556521409</v>
      </c>
      <c r="AQW14" s="1077">
        <f>AQW13-AQW13*(AQW6+1-0.96)+1000</f>
        <v>7660.7924328825447</v>
      </c>
      <c r="AQX14" s="1077">
        <f>AQX13-AQX13*(AQX6+1-0.96)+1000</f>
        <v>8843.2527406135414</v>
      </c>
      <c r="AQY14" s="1077">
        <f>AQY13-AQY13*(AQY6+1-0.96)+1000</f>
        <v>9593.3733833059414</v>
      </c>
      <c r="AQZ14" s="1077">
        <f t="shared" ref="AQZ14:ARB14" si="686">AQZ13-AQZ13*(AQZ6+1-0.96)+1000</f>
        <v>8681.9477389211424</v>
      </c>
      <c r="ARA14" s="1077">
        <f t="shared" si="686"/>
        <v>8717.4110396135438</v>
      </c>
      <c r="ARB14" s="1077">
        <f t="shared" si="686"/>
        <v>8193.000350421742</v>
      </c>
      <c r="ARC14" s="1077">
        <f t="shared" ref="ARC14:ARD14" si="687">ARC13-ARC13*(ARC6+1-0.96)+1000</f>
        <v>7877.697915228744</v>
      </c>
      <c r="ARD14" s="1077">
        <f t="shared" si="687"/>
        <v>8019.3496896521428</v>
      </c>
      <c r="ARE14" s="1077">
        <f t="shared" ref="ARE14:ARF14" si="688">ARE13-ARE13*(ARE6+1-0.96)+1000</f>
        <v>8740.1330769597425</v>
      </c>
      <c r="ARF14" s="1077">
        <f t="shared" si="688"/>
        <v>8998.0565936135408</v>
      </c>
      <c r="ARG14" s="1077">
        <f t="shared" ref="ARG14:ARI14" si="689">ARG13-ARG13*(ARG6+1-0.96)+1000</f>
        <v>8995.5869037293396</v>
      </c>
      <c r="ARH14" s="1077">
        <f t="shared" si="689"/>
        <v>8083.7899745363429</v>
      </c>
      <c r="ARI14" s="1077">
        <f t="shared" si="689"/>
        <v>8710.6007395749421</v>
      </c>
      <c r="ARJ14" s="1077">
        <f t="shared" ref="ARJ14:ARK14" si="690">ARJ13-ARJ13*(ARJ6+1-0.96)+1000</f>
        <v>8764.1277203059399</v>
      </c>
      <c r="ARK14" s="1077">
        <f t="shared" si="690"/>
        <v>9464.5135926135408</v>
      </c>
      <c r="ARL14" s="1077">
        <f t="shared" ref="ARL14:ARM14" si="691">ARL13-ARL13*(ARL6+1-0.96)+1000</f>
        <v>10133.028880267342</v>
      </c>
      <c r="ARM14" s="1077">
        <f t="shared" si="691"/>
        <v>10587.508234267343</v>
      </c>
      <c r="ARN14" s="1077">
        <f t="shared" ref="ARN14:ARP14" si="692">ARN13-ARN13*(ARN6+1-0.96)+1000</f>
        <v>10333.303903383139</v>
      </c>
      <c r="ARO14" s="1077">
        <f t="shared" si="692"/>
        <v>10411.577042190145</v>
      </c>
      <c r="ARP14" s="1077">
        <f t="shared" si="692"/>
        <v>10691.310491305941</v>
      </c>
      <c r="ARQ14" s="1077">
        <f t="shared" ref="ARQ14:ARR14" si="693">ARQ13-ARQ13*(ARQ6+1-0.96)+1000</f>
        <v>10496.69914330475</v>
      </c>
      <c r="ARR14" s="1077">
        <f t="shared" si="693"/>
        <v>10178.749846882547</v>
      </c>
      <c r="ARS14" s="1077">
        <f t="shared" ref="ARS14" si="694">ARS13-ARS13*(ARS6+1-0.96)+1000</f>
        <v>10613.992258267344</v>
      </c>
      <c r="ART14" s="1077">
        <f t="shared" ref="ART14:ARZ14" si="695">ART13-ART13*(ART6+1-0.96)+1000</f>
        <v>11675.426300305942</v>
      </c>
      <c r="ARU14" s="1077">
        <f t="shared" si="695"/>
        <v>12120.428221151544</v>
      </c>
      <c r="ARV14" s="1077">
        <f t="shared" si="695"/>
        <v>12270.538114267343</v>
      </c>
      <c r="ARW14" s="1077">
        <f t="shared" si="695"/>
        <v>13008.762919729341</v>
      </c>
      <c r="ARX14" s="1077">
        <f t="shared" si="695"/>
        <v>13521.329076959744</v>
      </c>
      <c r="ARY14" s="1077">
        <f t="shared" si="695"/>
        <v>13546.070860613541</v>
      </c>
      <c r="ARZ14" s="1077">
        <f t="shared" si="695"/>
        <v>14405.644922190149</v>
      </c>
      <c r="ASA14" s="1077">
        <f>ASA13-ASA13*(ASA6+1-0.96)+1000</f>
        <v>12937.493050843948</v>
      </c>
      <c r="ASB14" s="1077">
        <f t="shared" ref="ASB14:ASD14" si="696">ASB13-ASB13*(ASB6+1-0.96)+1000</f>
        <v>12111.90405507435</v>
      </c>
      <c r="ASC14" s="1077">
        <f t="shared" si="696"/>
        <v>10859.553068998344</v>
      </c>
      <c r="ASD14" s="1077">
        <f t="shared" si="696"/>
        <v>10972.235784076733</v>
      </c>
      <c r="ASE14" s="1077">
        <f t="shared" ref="ASE14:ASF14" si="697">ASE13-ASE13*(ASE6+1-0.96)+1000</f>
        <v>8397.2256035363444</v>
      </c>
      <c r="ASF14" s="1077">
        <f t="shared" si="697"/>
        <v>6818.6287048439444</v>
      </c>
      <c r="ASG14" s="1077">
        <f>ASG13-ASG13*(ASG6+1-0.96)+1500</f>
        <v>7468.6464202287425</v>
      </c>
      <c r="ASH14" s="1077">
        <f>ASH13-ASH13*(ASH6+1-0.96)+1500</f>
        <v>8812.8250769597398</v>
      </c>
      <c r="ASI14" s="1077">
        <f t="shared" ref="ASI14:ASK14" si="698">ASI13-ASI13*(ASI6+1-0.96)+1500</f>
        <v>9365.6039165363436</v>
      </c>
      <c r="ASJ14" s="1077">
        <f t="shared" si="698"/>
        <v>9551.4099640743443</v>
      </c>
      <c r="ASK14" s="1077">
        <f t="shared" si="698"/>
        <v>11658.968990228741</v>
      </c>
      <c r="ASL14" s="1077">
        <f t="shared" ref="ASL14:ASM14" si="699">ASL13-ASL13*(ASL6+1-0.96)+1500</f>
        <v>11806.641094305938</v>
      </c>
      <c r="ASM14" s="1077">
        <f t="shared" si="699"/>
        <v>13047.977178267342</v>
      </c>
      <c r="ASN14" s="1077">
        <f t="shared" ref="ASN14:ASP14" si="700">ASN13-ASN13*(ASN6+1-0.96)+1500</f>
        <v>12714.22844219014</v>
      </c>
      <c r="ASO14" s="1077">
        <f t="shared" si="700"/>
        <v>12868.863476959739</v>
      </c>
      <c r="ASP14" s="1077">
        <f t="shared" si="700"/>
        <v>12753.820014267338</v>
      </c>
      <c r="ASQ14" s="1077">
        <f t="shared" ref="ASQ14:ASR14" si="701">ASQ13-ASQ13*(ASQ6+1-0.96)+1500</f>
        <v>12710.769076959738</v>
      </c>
      <c r="ASR14" s="1077">
        <f t="shared" si="701"/>
        <v>11735.546967574937</v>
      </c>
      <c r="ASS14" s="1077">
        <f t="shared" ref="ASS14:AST14" si="702">ASS13-ASS13*(ASS6+1-0.96)+1500</f>
        <v>10170.514776536336</v>
      </c>
      <c r="AST14" s="1077">
        <f t="shared" si="702"/>
        <v>10228.682168613537</v>
      </c>
      <c r="ASU14" s="1077">
        <f t="shared" ref="ASU14:ASW14" si="703">ASU13-ASU13*(ASU6+1-0.96)+1500</f>
        <v>9797.2727183047427</v>
      </c>
      <c r="ASV14" s="1077">
        <f t="shared" si="703"/>
        <v>9687.9978352287362</v>
      </c>
      <c r="ASW14" s="1077">
        <f t="shared" si="703"/>
        <v>10391.234982843938</v>
      </c>
      <c r="ASX14" s="1077">
        <f t="shared" ref="ASX14:ASY14" si="704">ASX13-ASX13*(ASX6+1-0.96)+1500</f>
        <v>12178.459355228739</v>
      </c>
      <c r="ASY14" s="1077">
        <f t="shared" si="704"/>
        <v>13452.144720805343</v>
      </c>
      <c r="ASZ14" s="1077">
        <f t="shared" ref="ASZ14:ATA14" si="705">ASZ13-ASZ13*(ASZ6+1-0.96)+1500</f>
        <v>13354.539222921137</v>
      </c>
      <c r="ATA14" s="1077">
        <f t="shared" si="705"/>
        <v>13065.017112613537</v>
      </c>
      <c r="ATB14" s="1077">
        <f t="shared" ref="ATB14:ATC14" si="706">ATB13-ATB13*(ATB6+1-0.96)+1500</f>
        <v>10551.475476959737</v>
      </c>
      <c r="ATC14" s="1077">
        <f t="shared" si="706"/>
        <v>9823.9103365363353</v>
      </c>
      <c r="ATD14" s="1077">
        <f t="shared" ref="ATD14:ATF14" si="707">ATD13-ATD13*(ATD6+1-0.96)+1500</f>
        <v>7866.6089838439366</v>
      </c>
      <c r="ATE14" s="1077">
        <f t="shared" si="707"/>
        <v>7827.8100954205383</v>
      </c>
      <c r="ATF14" s="1077">
        <f t="shared" si="707"/>
        <v>7233.2058769983305</v>
      </c>
      <c r="ATG14" s="1077">
        <f t="shared" ref="ATG14:ATH14" si="708">ATG13-ATG13*(ATG6+1-0.96)+1500</f>
        <v>7355.0323434977354</v>
      </c>
      <c r="ATH14" s="1077">
        <f t="shared" si="708"/>
        <v>6556.2973899211329</v>
      </c>
      <c r="ATI14" s="1077">
        <f t="shared" ref="ATI14" si="709">ATI13-ATI13*(ATI6+1-0.96)+1500</f>
        <v>7421.4202402287319</v>
      </c>
      <c r="ATJ14" s="1077">
        <f>ATJ13-ATJ13*(ATJ6+1-0.96)+1500</f>
        <v>6088.0025152287308</v>
      </c>
      <c r="ATK14" s="1077">
        <f t="shared" ref="ATK14:ATM14" si="710">ATK13-ATK13*(ATK6+1-0.96)+1500</f>
        <v>6227.425640228731</v>
      </c>
      <c r="ATL14" s="1077">
        <f t="shared" si="710"/>
        <v>4654.3869652287303</v>
      </c>
      <c r="ATM14" s="1077">
        <f t="shared" si="710"/>
        <v>4393.889315228731</v>
      </c>
      <c r="ATN14" s="1077">
        <f t="shared" ref="ATN14:ATO14" si="711">ATN13-ATN13*(ATN6+1-0.96)+1500</f>
        <v>5524.2041522673289</v>
      </c>
      <c r="ATO14" s="1077">
        <f t="shared" si="711"/>
        <v>9248.9392835749277</v>
      </c>
      <c r="ATP14" s="1077">
        <f t="shared" ref="ATP14:ATQ14" si="712">ATP13-ATP13*(ATP6+1-0.96)+1500</f>
        <v>9240.948204267328</v>
      </c>
      <c r="ATQ14" s="1077">
        <f t="shared" si="712"/>
        <v>11280.803831036923</v>
      </c>
      <c r="ATR14" s="1077">
        <f t="shared" ref="ATR14:ATS14" si="713">ATR13-ATR13*(ATR6+1-0.96)+1500</f>
        <v>12331.461405921127</v>
      </c>
      <c r="ATS14" s="1077">
        <f t="shared" si="713"/>
        <v>14263.506650228726</v>
      </c>
      <c r="ATT14" s="1077">
        <f t="shared" ref="ATT14:ATU14" si="714">ATT13-ATT13*(ATT6+1-0.96)+1500</f>
        <v>14862.902623652124</v>
      </c>
      <c r="ATU14" s="1077">
        <f t="shared" si="714"/>
        <v>14792.649110228725</v>
      </c>
      <c r="ATV14" s="1077">
        <f t="shared" ref="ATV14" si="715">ATV13-ATV13*(ATV6+1-0.96)+1500</f>
        <v>15781.203786267326</v>
      </c>
      <c r="ATW14" s="1077">
        <f>ATW13-ATW13*(ATW6+1-0.96)+1000</f>
        <v>15493.30882869072</v>
      </c>
      <c r="ATX14" s="1077">
        <f>ATX13-ATX13*(ATX6+1-0.96)+1000</f>
        <v>13430.369310344522</v>
      </c>
      <c r="ATY14" s="1077">
        <f t="shared" ref="ATY14:AUA14" si="716">ATY13-ATY13*(ATY6+1-0.96)+1000</f>
        <v>12022.903552267322</v>
      </c>
      <c r="ATZ14" s="1077">
        <f>ATZ13-ATZ13*(ATZ6+1-0.96)+2000</f>
        <v>10783.893265228722</v>
      </c>
      <c r="AUA14" s="1077">
        <f t="shared" si="716"/>
        <v>7486.9536783445201</v>
      </c>
      <c r="AUB14" s="1077">
        <f t="shared" ref="AUB14:AUC14" si="717">AUB13-AUB13*(AUB6+1-0.96)+1000</f>
        <v>8426.8431431913141</v>
      </c>
      <c r="AUC14" s="1077">
        <f t="shared" si="717"/>
        <v>10473.340903690718</v>
      </c>
      <c r="AUD14" s="1077">
        <f>AUD13-AUD13*(AUD6+1-0.96)+2000</f>
        <v>11088.80655992112</v>
      </c>
      <c r="AUE14" s="1077">
        <f>AUE13-AUE13*(AUE6+1-0.96)+2000</f>
        <v>12569.14638826732</v>
      </c>
      <c r="AUF14" s="1077">
        <f t="shared" ref="AUF14:AUH14" si="718">AUF13-AUF13*(AUF6+1-0.96)+2000</f>
        <v>12326.852840267318</v>
      </c>
      <c r="AUG14" s="1077">
        <f t="shared" si="718"/>
        <v>14134.498400267319</v>
      </c>
      <c r="AUH14" s="1077">
        <f t="shared" si="718"/>
        <v>14269.427432267319</v>
      </c>
      <c r="AUI14" s="1077">
        <f t="shared" ref="AUI14:AUJ14" si="719">AUI13-AUI13*(AUI6+1-0.96)+2000</f>
        <v>13599.071076805323</v>
      </c>
      <c r="AUJ14" s="1077">
        <f t="shared" si="719"/>
        <v>16601.340143420523</v>
      </c>
      <c r="AUK14" s="1077">
        <f>AUK13-AUK13*(AUK6+1-0.96)+3000</f>
        <v>16877.67599942052</v>
      </c>
      <c r="AUL14" s="1077">
        <f>AUL13-AUL13*(AUL6+1-0.96)+3000</f>
        <v>18276.911538843913</v>
      </c>
      <c r="AUM14" s="1077">
        <f t="shared" ref="AUM14:AUN14" si="720">AUM13-AUM13*(AUM6+1-0.96)+3000</f>
        <v>16983.482578190116</v>
      </c>
      <c r="AUN14" s="1077">
        <f t="shared" si="720"/>
        <v>18285.001602267312</v>
      </c>
      <c r="AUO14" s="1077">
        <f t="shared" ref="AUO14:AUP14" si="721">AUO13-AUO13*(AUO6+1-0.96)+3000</f>
        <v>18065.315394151512</v>
      </c>
      <c r="AUP14" s="1077">
        <f t="shared" si="721"/>
        <v>16406.040755228707</v>
      </c>
      <c r="AUQ14" s="1077">
        <f t="shared" ref="AUQ14:AUR14" si="722">AUQ13-AUQ13*(AUQ6+1-0.96)+3000</f>
        <v>16908.901488536307</v>
      </c>
      <c r="AUR14" s="1077">
        <f t="shared" si="722"/>
        <v>17612.088900267307</v>
      </c>
      <c r="AUS14" s="1077">
        <f t="shared" ref="AUS14:AUT14" si="723">AUS13-AUS13*(AUS6+1-0.96)+3000</f>
        <v>16732.299813652106</v>
      </c>
      <c r="AUT14" s="1077">
        <f t="shared" si="723"/>
        <v>17483.4771969211</v>
      </c>
      <c r="AUU14" s="1077">
        <f t="shared" ref="AUU14:AUV14" si="724">AUU13-AUU13*(AUU6+1-0.96)+3000</f>
        <v>18282.408102267302</v>
      </c>
      <c r="AUV14" s="1077">
        <f t="shared" si="724"/>
        <v>17985.309876959702</v>
      </c>
      <c r="AUW14" s="1077">
        <f t="shared" ref="AUW14:AUX14" si="725">AUW13-AUW13*(AUW6+1-0.96)+3000</f>
        <v>17708.533903497708</v>
      </c>
      <c r="AUX14" s="1077">
        <f t="shared" si="725"/>
        <v>17696.254535536304</v>
      </c>
      <c r="AUY14" s="1077">
        <f t="shared" ref="AUY14:AUZ14" si="726">AUY13-AUY13*(AUY6+1-0.96)+3000</f>
        <v>17027.264764459109</v>
      </c>
      <c r="AUZ14" s="1077">
        <f t="shared" si="726"/>
        <v>15429.691503420512</v>
      </c>
      <c r="AVA14" s="1077">
        <f>AVA13-AVA13*(AVA6+1-0.96)+2000</f>
        <v>12176.68616080531</v>
      </c>
      <c r="AVB14" s="1077">
        <f>AVB13-AVB13*(AVB6+1-0.96)+2500</f>
        <v>12792.042985843907</v>
      </c>
      <c r="AVC14" s="1077">
        <f>AVC13-AVC13*(AVC6+1-0.96)+2000</f>
        <v>11412.315524536309</v>
      </c>
      <c r="AVD14" s="1077">
        <f>AVD13-AVD13*(AVD6+1-0.96)+500</f>
        <v>9041.1543252287065</v>
      </c>
      <c r="AVE14" s="1077">
        <f>AVE13-AVE13*(AVE6+1-0.96)+500</f>
        <v>5413.0952145363071</v>
      </c>
      <c r="AVF14" s="1077">
        <f>AVF13-AVF13*(AVF6+1-0.96)+500</f>
        <v>4747.7670734977091</v>
      </c>
      <c r="AVG14" s="1077">
        <f>AVG13-AVG13*(AVG6+1-0.96)+500</f>
        <v>4593.4010734977082</v>
      </c>
      <c r="AVH14" s="1077">
        <f t="shared" ref="AVH14:AVJ14" si="727">AVH13-AVH13*(AVH6+1-0.96)+500</f>
        <v>4729.3058835749052</v>
      </c>
      <c r="AVI14" s="1077">
        <f t="shared" si="727"/>
        <v>5380.9369896521039</v>
      </c>
      <c r="AVJ14" s="1077">
        <f t="shared" si="727"/>
        <v>5756.9314343831011</v>
      </c>
      <c r="AVK14" s="1077">
        <f t="shared" ref="AVK14:AVL14" si="728">AVK13-AVK13*(AVK6+1-0.96)+500</f>
        <v>5515.7864088825063</v>
      </c>
      <c r="AVL14" s="1077">
        <f t="shared" si="728"/>
        <v>5769.0546155749053</v>
      </c>
      <c r="AVM14" s="1077">
        <f t="shared" ref="AVM14" si="729">AVM13-AVM13*(AVM6+1-0.96)+500</f>
        <v>5854.7709982673041</v>
      </c>
      <c r="AVN14" s="1077">
        <f>AVN13-AVN13*(AVN6+1-0.96)+1000</f>
        <v>5739.5496688439052</v>
      </c>
      <c r="AVO14" s="1077">
        <f t="shared" ref="AVO14:AVQ14" si="730">AVO13-AVO13*(AVO6+1-0.96)+1000</f>
        <v>6206.3082002287028</v>
      </c>
      <c r="AVP14" s="1077">
        <f>AVP13-AVP13*(AVP6+1-0.96)+11000</f>
        <v>6415.2919041982659</v>
      </c>
      <c r="AVQ14" s="1077">
        <f t="shared" si="730"/>
        <v>5191.1508448053055</v>
      </c>
      <c r="AVR14" s="1077">
        <f t="shared" ref="AVR14:AVS14" si="731">AVR13-AVR13*(AVR6+1-0.96)+1000</f>
        <v>5160.900566921101</v>
      </c>
      <c r="AVS14" s="1077">
        <f t="shared" si="731"/>
        <v>5513.5913102287022</v>
      </c>
      <c r="AVT14" s="1077">
        <f t="shared" ref="AVT14:AVU14" si="732">AVT13-AVT13*(AVT6+1-0.96)+1000</f>
        <v>5367.682676959701</v>
      </c>
      <c r="AVU14" s="1077">
        <f t="shared" si="732"/>
        <v>3722.2214861515035</v>
      </c>
      <c r="AVV14" s="1077">
        <f t="shared" ref="AVV14:AWA14" si="733">AVV13-AVV13*(AVV6+1-0.96)+500</f>
        <v>3025.6848968825016</v>
      </c>
      <c r="AVW14" s="1077">
        <f t="shared" si="733"/>
        <v>2982.4290502673002</v>
      </c>
      <c r="AVX14" s="1077">
        <f t="shared" si="733"/>
        <v>2942.8363589211003</v>
      </c>
      <c r="AVY14" s="1077">
        <f t="shared" si="733"/>
        <v>2924.896465998298</v>
      </c>
      <c r="AVZ14" s="1077">
        <f t="shared" si="733"/>
        <v>2918.1151473058985</v>
      </c>
      <c r="AWA14" s="1077">
        <f t="shared" si="733"/>
        <v>3759.2140752287005</v>
      </c>
      <c r="AWB14" s="1077">
        <f t="shared" ref="AWB14:AWE14" si="734">AWB13-AWB13*(AWB6+1-0.96)+500</f>
        <v>2069.9389768053029</v>
      </c>
      <c r="AWC14" s="1077">
        <f t="shared" si="734"/>
        <v>3046.4929765363008</v>
      </c>
      <c r="AWD14" s="1077">
        <f t="shared" si="734"/>
        <v>2074.9545775363008</v>
      </c>
      <c r="AWE14" s="1077">
        <f t="shared" si="734"/>
        <v>1431.8884957292948</v>
      </c>
      <c r="AWF14" s="1077">
        <f t="shared" ref="AWF14:AWH14" si="735">AWF13-AWF13*(AWF6+1-0.96)+500</f>
        <v>1514.3836039982966</v>
      </c>
      <c r="AWG14" s="1077">
        <f t="shared" si="735"/>
        <v>1231.7068479210989</v>
      </c>
      <c r="AWH14" s="1077">
        <f t="shared" si="735"/>
        <v>1216.2980134977015</v>
      </c>
      <c r="AWI14" s="1077">
        <f t="shared" ref="AWI14:AWL14" si="736">AWI13-AWI13*(AWI6+1-0.96)+500</f>
        <v>4327.1453828824988</v>
      </c>
      <c r="AWJ14" s="1077">
        <f t="shared" si="736"/>
        <v>3042.0706983058963</v>
      </c>
      <c r="AWK14" s="1077">
        <f t="shared" si="736"/>
        <v>1917.8202379210979</v>
      </c>
      <c r="AWL14" s="1077">
        <f t="shared" si="736"/>
        <v>3156.2186148439005</v>
      </c>
      <c r="AWM14" s="1077">
        <f t="shared" ref="AWM14:AWN14" si="737">AWM13-AWM13*(AWM6+1-0.96)+500</f>
        <v>3022.8917221901002</v>
      </c>
      <c r="AWN14" s="1077">
        <f t="shared" si="737"/>
        <v>3265.7237675748979</v>
      </c>
      <c r="AWO14" s="1077">
        <f t="shared" ref="AWO14:AWP14" si="738">AWO13-AWO13*(AWO6+1-0.96)+500</f>
        <v>2451.9952698438992</v>
      </c>
      <c r="AWP14" s="1077">
        <f t="shared" si="738"/>
        <v>3062.4548842672975</v>
      </c>
      <c r="AWQ14" s="1077">
        <f t="shared" ref="AWQ14:AWS14" si="739">AWQ13-AWQ13*(AWQ6+1-0.96)+500</f>
        <v>3326.3253021515002</v>
      </c>
      <c r="AWR14" s="1077">
        <f t="shared" si="739"/>
        <v>3144.6316261900993</v>
      </c>
      <c r="AWS14" s="1077">
        <f t="shared" si="739"/>
        <v>4249.7967728053</v>
      </c>
      <c r="AWT14" s="1077">
        <f t="shared" ref="AWT14:AWU14" si="740">AWT13-AWT13*(AWT6+1-0.96)+500</f>
        <v>5342.6719009210956</v>
      </c>
      <c r="AWU14" s="1077">
        <f t="shared" si="740"/>
        <v>4843.6020252286962</v>
      </c>
      <c r="AWV14" s="1077">
        <f t="shared" ref="AWV14:AWW14" si="741">AWV13-AWV13*(AWV6+1-0.96)+500</f>
        <v>3518.0591539210959</v>
      </c>
      <c r="AWW14" s="1077">
        <f t="shared" si="741"/>
        <v>4827.9692362672959</v>
      </c>
      <c r="AWX14" s="1077">
        <f t="shared" ref="AWX14:AWZ14" si="742">AWX13-AWX13*(AWX6+1-0.96)+500</f>
        <v>3770.8930579210946</v>
      </c>
      <c r="AWY14" s="1077">
        <f t="shared" si="742"/>
        <v>5109.7988619210937</v>
      </c>
      <c r="AWZ14" s="1077">
        <f t="shared" si="742"/>
        <v>5139.6919762672942</v>
      </c>
      <c r="AXA14" s="1077">
        <f t="shared" ref="AXA14" si="743">AXA13-AXA13*(AXA6+1-0.96)+500</f>
        <v>5161.5183003058919</v>
      </c>
      <c r="AXB14" s="1077">
        <f t="shared" ref="AXB14" si="744">AXB13-AXB13*(AXB6+1-0.96)+500</f>
        <v>4575.7008746134925</v>
      </c>
      <c r="AXC14" s="1077">
        <f t="shared" ref="AXC14" si="745">AXC13-AXC13*(AXC6+1-0.96)+500</f>
        <v>3829.6965149210928</v>
      </c>
      <c r="AXD14" s="1077">
        <f t="shared" ref="AXD14" si="746">AXD13-AXD13*(AXD6+1-0.96)+500</f>
        <v>2923.8318843058923</v>
      </c>
      <c r="AXE14" s="1077">
        <f t="shared" ref="AXE14" si="747">AXE13-AXE13*(AXE6+1-0.96)+500</f>
        <v>2042.1746652286956</v>
      </c>
      <c r="AXF14" s="1077">
        <f t="shared" ref="AXF14:AXG14" si="748">AXF13-AXF13*(AXF6+1-0.96)+500</f>
        <v>1233.3479122672948</v>
      </c>
      <c r="AXG14" s="1077">
        <f t="shared" si="748"/>
        <v>1724.3836368438974</v>
      </c>
      <c r="AXH14" s="1077">
        <f t="shared" ref="AXH14" si="749">AXH13-AXH13*(AXH6+1-0.96)+500</f>
        <v>1666.2401434976969</v>
      </c>
      <c r="AXI14" s="1077">
        <f t="shared" ref="AXI14:AXK14" si="750">AXI13-AXI13*(AXI6+1-0.96)+500</f>
        <v>1033.4727855362958</v>
      </c>
      <c r="AXJ14" s="1077">
        <f t="shared" si="750"/>
        <v>874.69606230589284</v>
      </c>
      <c r="AXK14" s="1077">
        <f t="shared" si="750"/>
        <v>1256.484371652092</v>
      </c>
      <c r="AXL14" s="1077">
        <f t="shared" ref="AXL14:AXM14" si="751">AXL13-AXL13*(AXL6+1-0.96)+500</f>
        <v>3351.1976755362939</v>
      </c>
      <c r="AXM14" s="1077">
        <f t="shared" si="751"/>
        <v>3734.9430502672913</v>
      </c>
      <c r="AXN14" s="1077">
        <f t="shared" ref="AXN14:AXO14" si="752">AXN13-AXN13*(AXN6+1-0.96)+500</f>
        <v>3282.4233829982886</v>
      </c>
      <c r="AXO14" s="1077">
        <f t="shared" si="752"/>
        <v>3547.3265234976943</v>
      </c>
      <c r="AXP14" s="1077">
        <f t="shared" ref="AXP14:AXQ14" si="753">AXP13-AXP13*(AXP6+1-0.96)+500</f>
        <v>4500.1616301514941</v>
      </c>
      <c r="AXQ14" s="1077">
        <f t="shared" si="753"/>
        <v>4198.911546921091</v>
      </c>
      <c r="AXR14" s="1077">
        <f t="shared" ref="AXR14:AXS14" si="754">AXR13-AXR13*(AXR6+1-0.96)+500</f>
        <v>3379.3508361514932</v>
      </c>
      <c r="AXS14" s="1077">
        <f t="shared" si="754"/>
        <v>3603.7395208438916</v>
      </c>
      <c r="AXT14" s="1077">
        <f t="shared" ref="AXT14" si="755">AXT13-AXT13*(AXT6+1-0.96)+500</f>
        <v>2138.9465055362916</v>
      </c>
      <c r="AXU14" s="1077">
        <f t="shared" ref="AXU14:AXV14" si="756">AXU13-AXU13*(AXU6+1-0.96)+500</f>
        <v>2627.2223358438923</v>
      </c>
      <c r="AXV14" s="1077">
        <f t="shared" si="756"/>
        <v>2881.9825155748895</v>
      </c>
      <c r="AXW14" s="1077">
        <f t="shared" ref="AXW14" si="757">AXW13-AXW13*(AXW6+1-0.96)+500</f>
        <v>1730.2548915748901</v>
      </c>
      <c r="AXX14" s="1077">
        <f t="shared" ref="AXX14" si="758">AXX13-AXX13*(AXX6+1-0.96)+500</f>
        <v>2185.2757282672897</v>
      </c>
      <c r="AXY14" s="1077">
        <f t="shared" ref="AXY14" si="759">AXY13-AXY13*(AXY6+1-0.96)+500</f>
        <v>2368.5983334976927</v>
      </c>
      <c r="AXZ14" s="1077">
        <f t="shared" ref="AXZ14:AYA14" si="760">AXZ13-AXZ13*(AXZ6+1-0.96)+500</f>
        <v>3249.2406552286902</v>
      </c>
      <c r="AYA14" s="1077">
        <f t="shared" si="760"/>
        <v>2011.2399082672887</v>
      </c>
      <c r="AYB14" s="1077">
        <f t="shared" ref="AYB14" si="761">AYB13-AYB13*(AYB6+1-0.96)+500</f>
        <v>2095.0937482672889</v>
      </c>
      <c r="AYC14" s="1077">
        <f>AYC13-AYC13*(AYC6+1-0.96)+500</f>
        <v>1789.9154769596885</v>
      </c>
      <c r="AYD14" s="1077">
        <f>AYD13-AYD13*(AYD6+1-0.96)+500</f>
        <v>1887.2943552286902</v>
      </c>
      <c r="AYE14" s="1077">
        <f>AYE13-AYE13*(AYE6+1-0.96)+500</f>
        <v>3233.8607743444863</v>
      </c>
      <c r="AYF14" s="1077">
        <f>AYF13-AYF13*(AYF6+1-0.96)+500</f>
        <v>2115.8996619982863</v>
      </c>
      <c r="AYG14" s="1077">
        <f t="shared" ref="AYG14:AYK14" si="762">AYG13-AYG13*(AYG6+1-0.96)+500</f>
        <v>3262.1904176134872</v>
      </c>
      <c r="AYH14" s="1077">
        <f t="shared" si="762"/>
        <v>2160.0213450742931</v>
      </c>
      <c r="AYI14" s="1077">
        <f t="shared" si="762"/>
        <v>2164.3200291514895</v>
      </c>
      <c r="AYJ14" s="1077">
        <f t="shared" si="762"/>
        <v>1818.0317900356915</v>
      </c>
      <c r="AYK14" s="1077">
        <f t="shared" si="762"/>
        <v>1701.8830888052871</v>
      </c>
      <c r="AYL14" s="1077">
        <f t="shared" ref="AYL14:AYM14" si="763">AYL13-AYL13*(AYL6+1-0.96)+500</f>
        <v>882.74413957488377</v>
      </c>
      <c r="AYM14" s="1077">
        <f t="shared" si="763"/>
        <v>1894.6758421900847</v>
      </c>
      <c r="AYN14" s="1077">
        <f t="shared" ref="AYN14:AYP14" si="764">AYN13-AYN13*(AYN6+1-0.96)+500</f>
        <v>3041.7945441514858</v>
      </c>
      <c r="AYO14" s="1077">
        <f t="shared" si="764"/>
        <v>4014.4123621900853</v>
      </c>
      <c r="AYP14" s="1077">
        <f t="shared" si="764"/>
        <v>4967.5748581900843</v>
      </c>
      <c r="AYQ14" s="1077">
        <f t="shared" ref="AYQ14:AYR14" si="765">AYQ13-AYQ13*(AYQ6+1-0.96)+500</f>
        <v>6210.4948152286825</v>
      </c>
      <c r="AYR14" s="1077">
        <f t="shared" si="765"/>
        <v>4474.4044615362827</v>
      </c>
      <c r="AYS14" s="1077">
        <f t="shared" ref="AYS14:AYT14" si="766">AYS13-AYS13*(AYS6+1-0.96)+500</f>
        <v>4536.7414228438838</v>
      </c>
      <c r="AYT14" s="1077">
        <f t="shared" si="766"/>
        <v>4136.5036008824827</v>
      </c>
      <c r="AYU14" s="1077">
        <f t="shared" ref="AYU14:AYW14" si="767">AYU13-AYU13*(AYU6+1-0.96)+500</f>
        <v>2994.7365648052842</v>
      </c>
      <c r="AYV14" s="1077">
        <f t="shared" si="767"/>
        <v>2561.2742928438824</v>
      </c>
      <c r="AYW14" s="1077">
        <f t="shared" si="767"/>
        <v>2299.6093661128834</v>
      </c>
      <c r="AYX14" s="1077">
        <f t="shared" ref="AYX14:AYY14" si="768">AYX13-AYX13*(AYX6+1-0.96)+500</f>
        <v>3336.9368834976817</v>
      </c>
      <c r="AYY14" s="1077">
        <f t="shared" si="768"/>
        <v>4018.8326367666832</v>
      </c>
      <c r="AYZ14" s="1077">
        <f t="shared" ref="AYZ14:AZA14" si="769">AYZ13-AYZ13*(AYZ6+1-0.96)+500</f>
        <v>3790.688951574878</v>
      </c>
      <c r="AZA14" s="1077">
        <f t="shared" si="769"/>
        <v>4990.5491035748782</v>
      </c>
      <c r="AZB14" s="1077">
        <f t="shared" ref="AZB14:AZD14" si="770">AZB13-AZB13*(AZB6+1-0.96)+500</f>
        <v>4900.9404921514806</v>
      </c>
      <c r="AZC14" s="1077">
        <f t="shared" si="770"/>
        <v>4105.8557241514791</v>
      </c>
      <c r="AZD14" s="1077">
        <f t="shared" si="770"/>
        <v>4233.7964802286779</v>
      </c>
      <c r="AZE14" s="1077">
        <f t="shared" ref="AZE14:AZF14" si="771">AZE13-AZE13*(AZE6+1-0.96)+500</f>
        <v>3407.5734063058753</v>
      </c>
      <c r="AZF14" s="1077">
        <f t="shared" si="771"/>
        <v>3097.0672875748778</v>
      </c>
      <c r="AZG14" s="1077">
        <f t="shared" ref="AZG14:AZH14" si="772">AZG13-AZG13*(AZG6+1-0.96)+500</f>
        <v>2614.0722502672766</v>
      </c>
      <c r="AZH14" s="1077">
        <f t="shared" si="772"/>
        <v>2842.7370423058746</v>
      </c>
      <c r="AZI14" s="1077">
        <f t="shared" ref="AZI14:AZK14" si="773">AZI13-AZI13*(AZI6+1-0.96)+500</f>
        <v>1979.2856556134748</v>
      </c>
      <c r="AZJ14" s="1077">
        <f t="shared" si="773"/>
        <v>2455.8668583058738</v>
      </c>
      <c r="AZK14" s="1077">
        <f t="shared" si="773"/>
        <v>1098.0398202286765</v>
      </c>
      <c r="AZL14" s="1077">
        <f t="shared" ref="AZL14:AZM14" si="774">AZL13-AZL13*(AZL6+1-0.96)+500</f>
        <v>2560.2548008824765</v>
      </c>
      <c r="AZM14" s="1077">
        <f t="shared" si="774"/>
        <v>1700.402568998273</v>
      </c>
      <c r="AZN14" s="1077">
        <f t="shared" ref="AZN14:AZO14" si="775">AZN13-AZN13*(AZN6+1-0.96)+500</f>
        <v>2485.2228689210742</v>
      </c>
      <c r="AZO14" s="1077">
        <f t="shared" si="775"/>
        <v>3159.6818315362752</v>
      </c>
      <c r="AZP14" s="1077">
        <f t="shared" ref="AZP14:AZR14" si="776">AZP13-AZP13*(AZP6+1-0.96)+500</f>
        <v>3263.181896998271</v>
      </c>
      <c r="AZQ14" s="1077">
        <f t="shared" si="776"/>
        <v>3127.9029469210741</v>
      </c>
      <c r="AZR14" s="1077">
        <f t="shared" si="776"/>
        <v>3632.4294396134737</v>
      </c>
      <c r="AZS14" s="1077">
        <f t="shared" ref="AZS14:AZT14" si="777">AZS13-AZS13*(AZS6+1-0.96)+500</f>
        <v>2952.2108275362762</v>
      </c>
      <c r="AZT14" s="1077">
        <f t="shared" si="777"/>
        <v>3190.702514151476</v>
      </c>
      <c r="AZU14" s="1077">
        <f t="shared" ref="AZU14:AZV14" si="778">AZU13-AZU13*(AZU6+1-0.96)+500</f>
        <v>2089.3099048438758</v>
      </c>
      <c r="AZV14" s="1077">
        <f t="shared" si="778"/>
        <v>4207.0761408052767</v>
      </c>
      <c r="AZW14" s="1077">
        <f t="shared" ref="AZW14:AZY14" si="779">AZW13-AZW13*(AZW6+1-0.96)+500</f>
        <v>2915.3115321514756</v>
      </c>
      <c r="AZX14" s="1077">
        <f t="shared" si="779"/>
        <v>3549.818826190075</v>
      </c>
      <c r="AZY14" s="1077">
        <f t="shared" si="779"/>
        <v>2915.3045888052743</v>
      </c>
      <c r="AZZ14" s="1077">
        <f t="shared" ref="AZZ14:BAA14" si="780">AZZ13-AZZ13*(AZZ6+1-0.96)+500</f>
        <v>2704.1830902286711</v>
      </c>
      <c r="BAA14" s="1077">
        <f t="shared" si="780"/>
        <v>2096.5443908438733</v>
      </c>
      <c r="BAB14" s="1077">
        <f t="shared" ref="BAB14:BAD14" si="781">BAB13-BAB13*(BAB6+1-0.96)+500</f>
        <v>3429.7000902286718</v>
      </c>
      <c r="BAC14" s="1077">
        <f t="shared" si="781"/>
        <v>4174.5838408824729</v>
      </c>
      <c r="BAD14" s="1077">
        <f t="shared" si="781"/>
        <v>4121.4664228438733</v>
      </c>
      <c r="BAE14" s="1077">
        <f t="shared" ref="BAE14:BAF14" si="782">BAE13-BAE13*(BAE6+1-0.96)+500</f>
        <v>3317.4238302286722</v>
      </c>
      <c r="BAF14" s="1077">
        <f t="shared" si="782"/>
        <v>5155.3421688824728</v>
      </c>
      <c r="BAG14" s="1077">
        <f t="shared" ref="BAG14:BAH14" si="783">BAG13-BAG13*(BAG6+1-0.96)+500</f>
        <v>5765.4490452286709</v>
      </c>
      <c r="BAH14" s="1077">
        <f t="shared" si="783"/>
        <v>4245.7896985362722</v>
      </c>
      <c r="BAI14" s="1077">
        <f t="shared" ref="BAI14:BAJ14" si="784">BAI13-BAI13*(BAI6+1-0.96)+500</f>
        <v>3514.8925446134699</v>
      </c>
      <c r="BAJ14" s="1077">
        <f t="shared" si="784"/>
        <v>2777.3437464590747</v>
      </c>
      <c r="BAK14" s="1077">
        <f t="shared" ref="BAK14:BAM14" si="785">BAK13-BAK13*(BAK6+1-0.96)+500</f>
        <v>2548.8041778438728</v>
      </c>
      <c r="BAL14" s="1077">
        <f t="shared" si="785"/>
        <v>3029.6457552286706</v>
      </c>
      <c r="BAM14" s="1077">
        <f t="shared" si="785"/>
        <v>3057.3337533058684</v>
      </c>
      <c r="BAN14" s="1077">
        <f t="shared" ref="BAN14:BAO14" si="786">BAN13-BAN13*(BAN6+1-0.96)+500</f>
        <v>3319.5994355748712</v>
      </c>
      <c r="BAO14" s="1077">
        <f t="shared" si="786"/>
        <v>2116.3804726134704</v>
      </c>
      <c r="BAP14" s="1077">
        <f t="shared" ref="BAP14:BAQ14" si="787">BAP13-BAP13*(BAP6+1-0.96)+500</f>
        <v>2293.8735486906671</v>
      </c>
      <c r="BAQ14" s="1077">
        <f t="shared" si="787"/>
        <v>1508.9398783444681</v>
      </c>
      <c r="BAR14" s="1077">
        <f t="shared" ref="BAR14:BAT14" si="788">BAR13-BAR13*(BAR6+1-0.96)+500</f>
        <v>1898.8261339210708</v>
      </c>
      <c r="BAS14" s="1077">
        <f t="shared" si="788"/>
        <v>3110.6024358438726</v>
      </c>
      <c r="BAT14" s="1077">
        <f t="shared" si="788"/>
        <v>3678.2369133058683</v>
      </c>
      <c r="BAU14" s="1077">
        <f t="shared" ref="BAU14:BAV14" si="789">BAU13-BAU13*(BAU6+1-0.96)+500</f>
        <v>2321.7112808052734</v>
      </c>
      <c r="BAV14" s="1077">
        <f t="shared" si="789"/>
        <v>2328.9985311514724</v>
      </c>
      <c r="BAW14" s="1077">
        <f t="shared" ref="BAW14:BAX14" si="790">BAW13-BAW13*(BAW6+1-0.96)+500</f>
        <v>1950.5995288052716</v>
      </c>
      <c r="BAX14" s="1077">
        <f t="shared" si="790"/>
        <v>1415.754701151471</v>
      </c>
      <c r="BAY14" s="1077">
        <f t="shared" ref="BAY14:BBA14" si="791">BAY13-BAY13*(BAY6+1-0.96)+500</f>
        <v>1315.14633984387</v>
      </c>
      <c r="BAZ14" s="1077">
        <f t="shared" si="791"/>
        <v>2172.7055211514707</v>
      </c>
      <c r="BBA14" s="1077">
        <f t="shared" si="791"/>
        <v>1867.2086408052708</v>
      </c>
      <c r="BBB14" s="1077">
        <f t="shared" ref="BBB14:BBC14" si="792">BBB13-BBB13*(BBB6+1-0.96)+500</f>
        <v>3356.1539962672659</v>
      </c>
      <c r="BBC14" s="1077">
        <f t="shared" si="792"/>
        <v>3654.4433879210656</v>
      </c>
      <c r="BBD14" s="1077">
        <f t="shared" ref="BBD14:BBE14" si="793">BBD13-BBD13*(BBD6+1-0.96)+500</f>
        <v>2732.8340319210665</v>
      </c>
      <c r="BBE14" s="1077">
        <f t="shared" si="793"/>
        <v>3040.1683899210661</v>
      </c>
      <c r="BBF14" s="1077">
        <f t="shared" ref="BBF14:BBH14" si="794">BBF13-BBF13*(BBF6+1-0.96)+500</f>
        <v>5078.2675075748657</v>
      </c>
      <c r="BBG14" s="1077">
        <f t="shared" si="794"/>
        <v>2672.3749282672638</v>
      </c>
      <c r="BBH14" s="1077">
        <f t="shared" si="794"/>
        <v>3351.2929715748642</v>
      </c>
      <c r="BBI14" s="1077">
        <f t="shared" ref="BBI14:BBJ14" si="795">BBI13-BBI13*(BBI6+1-0.96)+500</f>
        <v>4071.9638952286646</v>
      </c>
      <c r="BBJ14" s="1077">
        <f t="shared" si="795"/>
        <v>3689.3940423058616</v>
      </c>
      <c r="BBK14" s="1077">
        <f t="shared" ref="BBK14:BBL14" si="796">BBK13-BBK13*(BBK6+1-0.96)+500</f>
        <v>5607.2403573058618</v>
      </c>
      <c r="BBL14" s="1077">
        <f t="shared" si="796"/>
        <v>5950.381027843865</v>
      </c>
      <c r="BBM14" s="1077">
        <f t="shared" ref="BBM14:BBO14" si="797">BBM13-BBM13*(BBM6+1-0.96)+500</f>
        <v>6085.0925439210614</v>
      </c>
      <c r="BBN14" s="1077">
        <f t="shared" si="797"/>
        <v>5868.7577052286615</v>
      </c>
      <c r="BBO14" s="1077">
        <f t="shared" si="797"/>
        <v>4251.385855228662</v>
      </c>
      <c r="BBP14" s="1077">
        <f t="shared" ref="BBP14:BBQ14" si="798">BBP13-BBP13*(BBP6+1-0.96)+500</f>
        <v>5325.7647552286608</v>
      </c>
      <c r="BBQ14" s="1077">
        <f t="shared" si="798"/>
        <v>6023.1104645362611</v>
      </c>
      <c r="BBR14" s="1077">
        <f t="shared" ref="BBR14" si="799">BBR13-BBR13*(BBR6+1-0.96)+500</f>
        <v>7854.0293555748613</v>
      </c>
      <c r="BBS14" s="1077">
        <f t="shared" ref="BBS14:BBV14" si="800">BBS13-BBS13*(BBS6+1-0.96)+500</f>
        <v>7128.9220025362629</v>
      </c>
      <c r="BBT14" s="1077">
        <f t="shared" si="800"/>
        <v>5036.7089656520602</v>
      </c>
      <c r="BBU14" s="1077">
        <f t="shared" si="800"/>
        <v>2744.8684402672611</v>
      </c>
      <c r="BBV14" s="1077">
        <f t="shared" si="800"/>
        <v>1560.6706769596597</v>
      </c>
      <c r="BBW14" s="1077">
        <f t="shared" ref="BBW14:BBX14" si="801">BBW13-BBW13*(BBW6+1-0.96)+500</f>
        <v>3530.87013192106</v>
      </c>
      <c r="BBX14" s="1077">
        <f t="shared" si="801"/>
        <v>3081.3905608052623</v>
      </c>
      <c r="BBY14" s="1077">
        <f t="shared" ref="BBY14:BBZ14" si="802">BBY13-BBY13*(BBY6+1-0.96)+500</f>
        <v>1692.49288984386</v>
      </c>
      <c r="BBZ14" s="1077">
        <f t="shared" si="802"/>
        <v>1489.0476898438594</v>
      </c>
      <c r="BCA14" s="1077">
        <f t="shared" ref="BCA14:BCC14" si="803">BCA13-BCA13*(BCA6+1-0.96)+500</f>
        <v>2824.2746738438591</v>
      </c>
      <c r="BCB14" s="1077">
        <f t="shared" si="803"/>
        <v>3545.3629298438586</v>
      </c>
      <c r="BCC14" s="1077">
        <f t="shared" si="803"/>
        <v>3404.0373328438591</v>
      </c>
      <c r="BCD14" s="1077">
        <f t="shared" ref="BCD14:BCE14" si="804">BCD13-BCD13*(BCD6+1-0.96)+500</f>
        <v>2927.4716065362582</v>
      </c>
      <c r="BCE14" s="1077">
        <f t="shared" si="804"/>
        <v>3784.3097918438575</v>
      </c>
      <c r="BCF14" s="1077">
        <f t="shared" ref="BCF14:BCG14" si="805">BCF13-BCF13*(BCF6+1-0.96)+500</f>
        <v>3046.5903852286556</v>
      </c>
      <c r="BCG14" s="1077">
        <f t="shared" si="805"/>
        <v>4084.4465461900581</v>
      </c>
      <c r="BCH14" s="1077">
        <f t="shared" ref="BCH14:BCJ14" si="806">BCH13-BCH13*(BCH6+1-0.96)+500</f>
        <v>3327.0437134976582</v>
      </c>
      <c r="BCI14" s="1077">
        <f t="shared" si="806"/>
        <v>5128.5084661900564</v>
      </c>
      <c r="BCJ14" s="1077">
        <f t="shared" si="806"/>
        <v>11157.552445228652</v>
      </c>
      <c r="BCK14" s="1077">
        <f t="shared" ref="BCK14:BCL14" si="807">BCK13-BCK13*(BCK6+1-0.96)+500</f>
        <v>8307.5521141900572</v>
      </c>
      <c r="BCL14" s="1077">
        <f t="shared" si="807"/>
        <v>7189.4908700356618</v>
      </c>
      <c r="BCM14" s="1077">
        <f t="shared" ref="BCM14:BCN14" si="808">BCM13-BCM13*(BCM6+1-0.96)+500</f>
        <v>6723.0563717666573</v>
      </c>
      <c r="BCN14" s="1077">
        <f t="shared" si="808"/>
        <v>5574.9018421900564</v>
      </c>
      <c r="BCO14" s="1077">
        <f t="shared" ref="BCO14" si="809">BCO13-BCO13*(BCO6+1-0.96)+500</f>
        <v>4190.2699758438548</v>
      </c>
      <c r="BCP14" s="1077">
        <f t="shared" ref="BCP14" si="810">BCP13-BCP13*(BCP6+1-0.96)+500</f>
        <v>3533.1324591514549</v>
      </c>
      <c r="BCQ14" s="1077">
        <f t="shared" ref="BCQ14" si="811">BCQ13-BCQ13*(BCQ6+1-0.96)+500</f>
        <v>2360.9394552286522</v>
      </c>
      <c r="BCR14" s="1077">
        <f t="shared" ref="BCR14" si="812">BCR13-BCR13*(BCR6+1-0.96)+500</f>
        <v>2901.4520052286525</v>
      </c>
      <c r="BCS14" s="1077">
        <f t="shared" ref="BCS14" si="813">BCS13-BCS13*(BCS6+1-0.96)+500</f>
        <v>1723.2754769596504</v>
      </c>
      <c r="BCT14" s="1077">
        <f t="shared" ref="BCT14" si="814">BCT13-BCT13*(BCT6+1-0.96)+500</f>
        <v>2492.5</v>
      </c>
      <c r="BCU14" s="1077">
        <f t="shared" ref="BCU14" si="815">BCU13-BCU13*(BCU6+1-0.96)+500</f>
        <v>2936</v>
      </c>
      <c r="BCV14" s="1077">
        <f t="shared" ref="BCV14" si="816">BCV13-BCV13*(BCV6+1-0.96)+500</f>
        <v>2122.6972999999998</v>
      </c>
      <c r="BCW14" s="1077">
        <f t="shared" ref="BCW14" si="817">BCW13-BCW13*(BCW6+1-0.96)+500</f>
        <v>3049.893235999999</v>
      </c>
      <c r="BCX14" s="1077">
        <f t="shared" ref="BCX14" si="818">BCX13-BCX13*(BCX6+1-0.96)+500</f>
        <v>2029.4138399999983</v>
      </c>
      <c r="BCY14" s="1077">
        <f t="shared" ref="BCY14" si="819">BCY13-BCY13*(BCY6+1-0.96)+500</f>
        <v>2519.9773999999975</v>
      </c>
      <c r="BCZ14" s="1077">
        <f t="shared" ref="BCZ14" si="820">BCZ13-BCZ13*(BCZ6+1-0.96)+500</f>
        <v>3039.5073199999965</v>
      </c>
      <c r="BDA14" s="1077">
        <f t="shared" ref="BDA14" si="821">BDA13-BDA13*(BDA6+1-0.96)+500</f>
        <v>1904.2243999999953</v>
      </c>
      <c r="BDB14" s="1077">
        <f t="shared" ref="BDB14:BDC14" si="822">BDB13-BDB13*(BDB6+1-0.96)+500</f>
        <v>1694.7095679999954</v>
      </c>
      <c r="BDC14" s="1077">
        <f t="shared" si="822"/>
        <v>3335.7595519999954</v>
      </c>
      <c r="BDD14" s="1077">
        <f t="shared" ref="BDD14" si="823">BDD13-BDD13*(BDD6+1-0.96)+500</f>
        <v>2479.691119999995</v>
      </c>
      <c r="BDE14" s="1077">
        <f t="shared" ref="BDE14" si="824">BDE13-BDE13*(BDE6+1-0.96)+500</f>
        <v>1458.5624119999943</v>
      </c>
      <c r="BDF14" s="1077">
        <f t="shared" ref="BDF14" si="825">BDF13-BDF13*(BDF6+1-0.96)+500</f>
        <v>2698.7727579999942</v>
      </c>
      <c r="BDG14" s="1077">
        <f t="shared" ref="BDG14" si="826">BDG13-BDG13*(BDG6+1-0.96)+500</f>
        <v>2039.5477099999944</v>
      </c>
      <c r="BDH14" s="1077">
        <f t="shared" ref="BDH14" si="827">BDH13-BDH13*(BDH6+1-0.96)+500</f>
        <v>2787.9580079999942</v>
      </c>
      <c r="BDI14" s="1077">
        <f t="shared" ref="BDI14" si="828">BDI13-BDI13*(BDI6+1-0.96)+500</f>
        <v>3434.500841999994</v>
      </c>
      <c r="BDJ14" s="1077">
        <f t="shared" ref="BDJ14" si="829">BDJ13-BDJ13*(BDJ6+1-0.96)+500</f>
        <v>2776.0073799999946</v>
      </c>
      <c r="BDK14" s="1077">
        <f t="shared" ref="BDK14" si="830">BDK13-BDK13*(BDK6+1-0.96)+500</f>
        <v>1634.1176799999932</v>
      </c>
      <c r="BDL14" s="1077">
        <f t="shared" ref="BDL14:BDR14" si="831">BDL13-BDL13*(BDL6+1-0.96)+100</f>
        <v>894.02591999999311</v>
      </c>
      <c r="BDM14" s="1077">
        <f t="shared" si="831"/>
        <v>2433.0121999999924</v>
      </c>
      <c r="BDN14" s="1077">
        <f t="shared" si="831"/>
        <v>1037.2955199999913</v>
      </c>
      <c r="BDO14" s="1077">
        <f t="shared" si="831"/>
        <v>1367.500249999991</v>
      </c>
      <c r="BDP14" s="1077">
        <f t="shared" si="831"/>
        <v>1846.8462799999904</v>
      </c>
      <c r="BDQ14" s="1077">
        <f t="shared" si="831"/>
        <v>1520.1997919999899</v>
      </c>
      <c r="BDR14" s="1077">
        <f t="shared" si="831"/>
        <v>1389.3818799999888</v>
      </c>
      <c r="BDS14" s="1077">
        <f>BDS13-BDS13*(BDS6+1-0.96)+100</f>
        <v>1530.522547999989</v>
      </c>
      <c r="BDT14" s="1077">
        <f t="shared" ref="BDT14:BDY14" si="832">BDT13-BDT13*(BDT6+1-0.96)+100</f>
        <v>1448.8240299999893</v>
      </c>
      <c r="BDU14" s="1077">
        <f t="shared" si="832"/>
        <v>847.80319999998903</v>
      </c>
      <c r="BDV14" s="1077">
        <f t="shared" si="832"/>
        <v>1361.4720159999888</v>
      </c>
      <c r="BDW14" s="1077">
        <f t="shared" si="832"/>
        <v>809.9019339999893</v>
      </c>
      <c r="BDX14" s="1077">
        <f t="shared" si="832"/>
        <v>1064.8712559999888</v>
      </c>
      <c r="BDY14" s="1077">
        <f t="shared" si="832"/>
        <v>976.37579399998856</v>
      </c>
      <c r="BDZ14" s="1077">
        <f t="shared" ref="BDZ14" si="833">BDZ13-BDZ13*(BDZ6+1-0.96)+100</f>
        <v>637.56414399998789</v>
      </c>
      <c r="BEA14" s="1077">
        <f t="shared" ref="BEA14" si="834">BEA13-BEA13*(BEA6+1-0.96)+100</f>
        <v>829.17281399998706</v>
      </c>
      <c r="BEB14" s="1077">
        <f t="shared" ref="BEB14" si="835">BEB13-BEB13*(BEB6+1-0.96)+100</f>
        <v>1113.593583999987</v>
      </c>
      <c r="BEC14" s="1077">
        <f t="shared" ref="BEC14" si="836">BEC13-BEC13*(BEC6+1-0.96)+100</f>
        <v>1358.4892779999868</v>
      </c>
      <c r="BED14" s="1077">
        <f t="shared" ref="BED14:BEJ14" si="837">BED13-BED13*(BED6+1-0.96)+300</f>
        <v>1326.5089119999864</v>
      </c>
      <c r="BEE14" s="1077">
        <f t="shared" si="837"/>
        <v>1491.9387699999866</v>
      </c>
      <c r="BEF14" s="1077">
        <f t="shared" si="837"/>
        <v>2579.3508839999859</v>
      </c>
      <c r="BEG14" s="1077">
        <f t="shared" si="837"/>
        <v>2773.5628939999856</v>
      </c>
      <c r="BEH14" s="1077">
        <f t="shared" si="837"/>
        <v>3148.6852399999848</v>
      </c>
      <c r="BEI14" s="1077">
        <f t="shared" si="837"/>
        <v>4278.3703479999858</v>
      </c>
      <c r="BEJ14" s="1077">
        <f t="shared" si="837"/>
        <v>2686.7495799999851</v>
      </c>
      <c r="BEK14" s="1077">
        <f t="shared" ref="BEK14:BEL14" si="838">BEK13-BEK13*(BEK6+1-0.96)+300</f>
        <v>1329.3557799999849</v>
      </c>
      <c r="BEL14" s="1077">
        <f t="shared" si="838"/>
        <v>1260.4835799999846</v>
      </c>
      <c r="BEM14" s="1077">
        <f t="shared" ref="BEM14:BER14" si="839">BEM13-BEM13*(BEM6+1-0.96)</f>
        <v>809.3153999999837</v>
      </c>
      <c r="BEN14" s="1077">
        <f t="shared" si="839"/>
        <v>1385.0225999999825</v>
      </c>
      <c r="BEO14" s="1077">
        <f t="shared" si="839"/>
        <v>1507.5806999999827</v>
      </c>
      <c r="BEP14" s="1077">
        <f t="shared" si="839"/>
        <v>1794.5690399999821</v>
      </c>
      <c r="BEQ14" s="1077">
        <f t="shared" si="839"/>
        <v>1111.1824399999823</v>
      </c>
      <c r="BER14" s="1077">
        <f t="shared" si="839"/>
        <v>1552.407279999981</v>
      </c>
      <c r="BES14" s="1077">
        <f t="shared" ref="BES14" si="840">BES13-BES13*(BES6+1-0.96)</f>
        <v>1212.7214879999806</v>
      </c>
      <c r="BET14" s="1077">
        <f t="shared" ref="BET14" si="841">BET13-BET13*(BET6+1-0.96)</f>
        <v>889.60787199997958</v>
      </c>
      <c r="BEU14" s="1077">
        <f t="shared" ref="BEU14:BEW14" si="842">BEU13-BEU13*(BEU6+1-0.96)</f>
        <v>1126.6743899999783</v>
      </c>
      <c r="BEV14" s="1077">
        <f t="shared" si="842"/>
        <v>1101.6640799999782</v>
      </c>
      <c r="BEW14" s="1077">
        <f t="shared" si="842"/>
        <v>1369.4060939999772</v>
      </c>
      <c r="BEX14" s="1077">
        <f t="shared" ref="BEX14:BGL14" si="843">BEX13-BEX13*(BEX6+1-0.96)</f>
        <v>1110.9519689999763</v>
      </c>
      <c r="BEY14" s="1077">
        <f t="shared" si="843"/>
        <v>1445.3299139999776</v>
      </c>
      <c r="BEZ14" s="1077">
        <f t="shared" si="843"/>
        <v>2206.3263479999769</v>
      </c>
      <c r="BFA14" s="1077">
        <f t="shared" si="843"/>
        <v>2188.4542149999766</v>
      </c>
      <c r="BFB14" s="1077">
        <f t="shared" si="843"/>
        <v>2879.7195179999767</v>
      </c>
      <c r="BFC14" s="1077">
        <f t="shared" si="843"/>
        <v>1724.0254709999776</v>
      </c>
      <c r="BFD14" s="1077">
        <f t="shared" si="843"/>
        <v>1510.5</v>
      </c>
      <c r="BFE14" s="1077">
        <f t="shared" si="843"/>
        <v>1833.1</v>
      </c>
      <c r="BFF14" s="1077">
        <f t="shared" si="843"/>
        <v>1349.8000000000002</v>
      </c>
      <c r="BFG14" s="1077">
        <f t="shared" si="843"/>
        <v>1114.4000000000001</v>
      </c>
      <c r="BFH14" s="1077">
        <f t="shared" si="843"/>
        <v>1584</v>
      </c>
      <c r="BFI14" s="1077">
        <f t="shared" si="843"/>
        <v>1071.9000000000001</v>
      </c>
      <c r="BFJ14" s="1077">
        <f t="shared" si="843"/>
        <v>1104.5999999999999</v>
      </c>
      <c r="BFK14" s="1077">
        <f t="shared" si="843"/>
        <v>1107.3999999999999</v>
      </c>
      <c r="BFL14" s="1077">
        <f t="shared" si="843"/>
        <v>1099</v>
      </c>
      <c r="BFM14" s="1077">
        <f t="shared" si="843"/>
        <v>1113</v>
      </c>
      <c r="BFN14" s="1077">
        <f t="shared" si="843"/>
        <v>1111.6000000000001</v>
      </c>
      <c r="BFO14" s="1077">
        <f t="shared" si="843"/>
        <v>1110.1999999999998</v>
      </c>
      <c r="BFP14" s="1077">
        <f t="shared" si="843"/>
        <v>1113</v>
      </c>
      <c r="BFQ14" s="1077">
        <f t="shared" si="843"/>
        <v>1110.1999999999998</v>
      </c>
      <c r="BFR14" s="1077">
        <f t="shared" si="843"/>
        <v>1512.8290969999778</v>
      </c>
      <c r="BFS14" s="1077">
        <f t="shared" si="843"/>
        <v>1701.9278769999769</v>
      </c>
      <c r="BFT14" s="1077">
        <f t="shared" si="843"/>
        <v>1013.7368429999996</v>
      </c>
      <c r="BFU14" s="1077">
        <f t="shared" si="843"/>
        <v>1519.2483600000005</v>
      </c>
      <c r="BFV14" s="1077">
        <f t="shared" si="843"/>
        <v>920.11709999999994</v>
      </c>
      <c r="BFW14" s="1077">
        <f t="shared" si="843"/>
        <v>1251.8494559999997</v>
      </c>
      <c r="BFX14" s="1077">
        <f t="shared" si="843"/>
        <v>1519.1011499999995</v>
      </c>
      <c r="BFY14" s="1077">
        <f t="shared" si="843"/>
        <v>1626.8760749999992</v>
      </c>
      <c r="BFZ14" s="1077">
        <f t="shared" si="843"/>
        <v>1473.2778960000005</v>
      </c>
      <c r="BGA14" s="1077">
        <f t="shared" si="843"/>
        <v>1446.2518599999989</v>
      </c>
      <c r="BGB14" s="1077">
        <f t="shared" si="843"/>
        <v>2303.1993599999992</v>
      </c>
      <c r="BGC14" s="1077">
        <f t="shared" si="843"/>
        <v>2411.3781899999994</v>
      </c>
      <c r="BGD14" s="1077">
        <f t="shared" si="843"/>
        <v>2138.9339849999997</v>
      </c>
      <c r="BGE14" s="1077">
        <f t="shared" si="843"/>
        <v>2279.1375099999996</v>
      </c>
      <c r="BGF14" s="1077">
        <f t="shared" si="843"/>
        <v>2430.1751560000002</v>
      </c>
      <c r="BGG14" s="1077">
        <f t="shared" si="843"/>
        <v>2459.6890559999997</v>
      </c>
      <c r="BGH14" s="1077">
        <f t="shared" si="843"/>
        <v>2946.0045159999772</v>
      </c>
      <c r="BGI14" s="1077">
        <f t="shared" si="843"/>
        <v>3855.9406969999764</v>
      </c>
      <c r="BGJ14" s="1077">
        <f t="shared" si="843"/>
        <v>3934.5258029999982</v>
      </c>
      <c r="BGK14" s="1077">
        <f t="shared" si="843"/>
        <v>5295.7088249999988</v>
      </c>
      <c r="BGL14" s="1077">
        <f t="shared" si="843"/>
        <v>3665.1614699999991</v>
      </c>
      <c r="BGM14" s="1040"/>
      <c r="BGN14" s="1040"/>
      <c r="BGO14" s="1040"/>
      <c r="BGP14" s="1040"/>
      <c r="BGQ14" s="1040"/>
      <c r="BGR14" s="1040"/>
      <c r="BGS14" s="1040"/>
      <c r="BGT14" s="1040"/>
      <c r="BGU14" s="1040"/>
      <c r="BGV14" s="1040"/>
      <c r="BGW14" s="1040"/>
      <c r="BGX14" s="1040"/>
      <c r="BGY14" s="1040"/>
      <c r="BGZ14" s="1040"/>
      <c r="BHA14" s="1040"/>
      <c r="BHB14" s="1040"/>
      <c r="BHC14" s="1040"/>
      <c r="BHD14" s="1040"/>
      <c r="BHE14" s="1040"/>
      <c r="BHF14" s="1040"/>
      <c r="BHG14" s="1040"/>
      <c r="BHH14" s="1040"/>
      <c r="BHI14" s="1040"/>
      <c r="BHJ14" s="1040"/>
      <c r="BHK14" s="1040"/>
      <c r="BHL14" s="1040"/>
      <c r="BHM14" s="1040"/>
      <c r="BHN14" s="1040"/>
      <c r="BHO14" s="1040"/>
      <c r="BHP14" s="1040"/>
      <c r="BHQ14" s="1040"/>
      <c r="BHR14" s="1040"/>
      <c r="BHS14" s="1040"/>
      <c r="BHT14" s="1040"/>
      <c r="BHU14" s="1040"/>
      <c r="BHV14" s="1040"/>
      <c r="BHW14" s="1040"/>
      <c r="BHX14" s="1040"/>
      <c r="BHY14" s="1040"/>
      <c r="BHZ14" s="1040"/>
      <c r="BIA14" s="1040"/>
      <c r="BIB14" s="1040"/>
      <c r="BIC14" s="1040"/>
      <c r="BID14" s="1040"/>
      <c r="BIE14" s="1040"/>
      <c r="BIF14" s="1040"/>
      <c r="BIG14" s="1040"/>
      <c r="BIH14" s="1040"/>
      <c r="BII14" s="1040"/>
      <c r="BIJ14" s="1040"/>
      <c r="BIK14" s="1040"/>
      <c r="BIL14" s="1040"/>
      <c r="BIM14" s="1040"/>
      <c r="BIN14" s="1040"/>
      <c r="BIO14" s="1040"/>
      <c r="BIP14" s="1040"/>
      <c r="BIQ14" s="1040"/>
      <c r="BIR14" s="1040"/>
      <c r="BIS14" s="1040"/>
      <c r="BIT14" s="1040"/>
      <c r="BIU14" s="1040"/>
      <c r="BIV14" s="1040"/>
      <c r="BIW14" s="1040"/>
      <c r="BIX14" s="1040"/>
      <c r="BIY14" s="1040"/>
      <c r="BIZ14" s="1040"/>
      <c r="BJA14" s="1040"/>
      <c r="BJB14" s="1040"/>
      <c r="BJC14" s="1040"/>
    </row>
    <row r="15" spans="1:1615" ht="21" customHeight="1" x14ac:dyDescent="0.2">
      <c r="A15" s="10"/>
      <c r="B15" s="10"/>
      <c r="C15" s="10"/>
      <c r="D15" s="10"/>
      <c r="E15" s="1149"/>
      <c r="F15" s="1149"/>
      <c r="G15" s="1149"/>
      <c r="H15" s="1119"/>
      <c r="I15" s="1119"/>
      <c r="J15" s="1119"/>
      <c r="K15" s="1119"/>
      <c r="L15" s="1119"/>
      <c r="M15" s="1119"/>
      <c r="N15" s="1119"/>
      <c r="O15" s="1119"/>
      <c r="P15" s="1119"/>
      <c r="Q15" s="1119"/>
      <c r="R15" s="1119"/>
      <c r="S15" s="1119"/>
      <c r="T15" s="1119"/>
      <c r="U15" s="1119"/>
      <c r="V15" s="1119"/>
      <c r="W15" s="1119"/>
      <c r="X15" s="1119"/>
      <c r="Y15" s="1119"/>
      <c r="Z15" s="1119"/>
      <c r="AA15" s="1119"/>
      <c r="AB15" s="1119"/>
      <c r="AC15" s="1119"/>
      <c r="AD15" s="1119"/>
      <c r="AE15" s="1119"/>
      <c r="AF15" s="1119"/>
      <c r="AG15" s="1119"/>
      <c r="AH15" s="1119"/>
      <c r="AI15" s="1119"/>
      <c r="AJ15" s="1119"/>
      <c r="AK15" s="1119"/>
      <c r="AL15" s="1119"/>
      <c r="AM15" s="1119"/>
      <c r="AN15" s="1119"/>
      <c r="AO15" s="1119"/>
      <c r="AP15" s="1119"/>
      <c r="AQ15" s="1119"/>
      <c r="AR15" s="1119"/>
      <c r="AS15" s="1119"/>
      <c r="AT15" s="1262" t="s">
        <v>0</v>
      </c>
      <c r="AU15" s="1262"/>
      <c r="AV15" s="1262"/>
      <c r="AW15" s="1079">
        <v>58979</v>
      </c>
      <c r="AX15" s="1119"/>
      <c r="AY15" s="1119"/>
      <c r="AZ15" s="1119"/>
      <c r="BA15" s="1119"/>
      <c r="BB15" s="1119"/>
      <c r="BC15" s="1119"/>
      <c r="BD15" s="1119"/>
      <c r="BE15" s="1119"/>
      <c r="BF15" s="1119"/>
      <c r="BG15" s="1119"/>
      <c r="BH15" s="1119"/>
      <c r="BI15" s="1119"/>
      <c r="BJ15" s="1119"/>
      <c r="BK15" s="1119"/>
      <c r="BL15" s="1119"/>
      <c r="BM15" s="1119"/>
      <c r="BN15" s="1119"/>
      <c r="BO15" s="1119"/>
      <c r="BP15" s="1119"/>
      <c r="BQ15" s="1119"/>
      <c r="BR15" s="1119"/>
      <c r="BS15" s="1119"/>
      <c r="BT15" s="1119"/>
      <c r="BU15" s="1119"/>
      <c r="BV15" s="1119"/>
      <c r="BW15" s="1119"/>
      <c r="BX15" s="1119"/>
      <c r="BY15" s="1119"/>
      <c r="BZ15" s="1119"/>
      <c r="CA15" s="1119"/>
      <c r="CB15" s="1119"/>
      <c r="CC15" s="1119"/>
      <c r="CD15" s="1119"/>
      <c r="CE15" s="1119"/>
      <c r="CF15" s="1119"/>
      <c r="CG15" s="1119"/>
      <c r="CH15" s="1119"/>
      <c r="CI15" s="1119"/>
      <c r="CJ15" s="1119"/>
      <c r="CK15" s="1119"/>
      <c r="CL15" s="1119"/>
      <c r="CM15" s="1119"/>
      <c r="CN15" s="1119"/>
      <c r="CO15" s="1119"/>
      <c r="CP15" s="1119"/>
      <c r="CQ15" s="1119"/>
      <c r="CR15" s="1119"/>
      <c r="CS15" s="1119"/>
      <c r="CT15" s="1119"/>
      <c r="CU15" s="1119"/>
      <c r="CV15" s="1119"/>
      <c r="CW15" s="1119"/>
      <c r="CX15" s="1119"/>
      <c r="CY15" s="1119"/>
      <c r="CZ15" s="1119"/>
      <c r="DA15" s="1119"/>
      <c r="DB15" s="1119"/>
      <c r="DC15" s="1119"/>
      <c r="DD15" s="1119"/>
      <c r="DE15" s="1119"/>
      <c r="DF15" s="1119"/>
      <c r="DG15" s="1119"/>
      <c r="DH15" s="1119"/>
      <c r="DI15" s="1119"/>
      <c r="DJ15" s="1119"/>
      <c r="DK15" s="1119"/>
      <c r="DL15" s="1119"/>
      <c r="DM15" s="1119"/>
      <c r="DN15" s="1119"/>
      <c r="DO15" s="1119"/>
      <c r="DP15" s="1119"/>
      <c r="DQ15" s="1119"/>
      <c r="DR15" s="1119"/>
      <c r="DS15" s="1119"/>
      <c r="DT15" s="1119"/>
      <c r="DU15" s="1119"/>
      <c r="DV15" s="1119"/>
      <c r="DW15" s="1119"/>
      <c r="DX15" s="1119"/>
      <c r="DY15" s="1119"/>
      <c r="DZ15" s="1119"/>
      <c r="EA15" s="1119"/>
      <c r="EB15" s="1119"/>
      <c r="EC15" s="1119"/>
      <c r="ED15" s="1119"/>
      <c r="EE15" s="1119"/>
      <c r="EF15" s="1119"/>
      <c r="EG15" s="1119"/>
      <c r="EH15" s="1119"/>
      <c r="EI15" s="1119"/>
      <c r="EJ15" s="1119"/>
      <c r="EK15" s="1119"/>
      <c r="EL15" s="1119"/>
      <c r="EM15" s="1119"/>
      <c r="EN15" s="1119"/>
      <c r="EO15" s="1119"/>
      <c r="EP15" s="1119"/>
      <c r="EQ15" s="1119"/>
      <c r="ER15" s="1119"/>
      <c r="ES15" s="1119"/>
      <c r="ET15" s="1119"/>
      <c r="EU15" s="1119"/>
      <c r="EV15" s="1119"/>
      <c r="EW15" s="1119"/>
      <c r="EX15" s="1119"/>
      <c r="EY15" s="1119"/>
      <c r="EZ15" s="1119"/>
      <c r="FA15" s="1119"/>
      <c r="FB15" s="1119"/>
      <c r="FC15" s="1119"/>
      <c r="FD15" s="1119"/>
      <c r="FE15" s="1119"/>
      <c r="FF15" s="1119"/>
      <c r="FG15" s="1119"/>
      <c r="FH15" s="1119"/>
      <c r="FI15" s="1119"/>
      <c r="FJ15" s="1119"/>
      <c r="FK15" s="1119"/>
      <c r="FL15" s="1119"/>
      <c r="FM15" s="1119"/>
      <c r="FN15" s="1119"/>
      <c r="FO15" s="1119"/>
      <c r="FP15" s="1119"/>
      <c r="FQ15" s="1119"/>
      <c r="FR15" s="1119"/>
      <c r="FS15" s="1119"/>
      <c r="FT15" s="1119"/>
      <c r="FU15" s="1119"/>
      <c r="FV15" s="1119"/>
      <c r="FW15" s="1119"/>
      <c r="FX15" s="1119"/>
      <c r="FY15" s="1119"/>
      <c r="FZ15" s="1119"/>
      <c r="GA15" s="1119"/>
      <c r="GB15" s="1119"/>
      <c r="GC15" s="1119"/>
      <c r="GD15" s="1119"/>
      <c r="GE15" s="1119"/>
      <c r="GF15" s="1119"/>
      <c r="GG15" s="1119"/>
      <c r="GH15" s="1119"/>
      <c r="GI15" s="1119"/>
      <c r="GJ15" s="1119"/>
      <c r="GK15" s="1119"/>
      <c r="GL15" s="1119"/>
      <c r="GM15" s="1119"/>
      <c r="GN15" s="1119"/>
      <c r="GO15" s="1119"/>
      <c r="GP15" s="1119"/>
      <c r="GQ15" s="1119"/>
      <c r="GR15" s="1119"/>
      <c r="GS15" s="1119"/>
      <c r="GT15" s="1119"/>
      <c r="GU15" s="1119"/>
      <c r="GV15" s="1119"/>
      <c r="GW15" s="1119"/>
      <c r="GX15" s="1119"/>
      <c r="GY15" s="1119"/>
      <c r="GZ15" s="1119"/>
      <c r="HA15" s="1119"/>
      <c r="HB15" s="1119"/>
      <c r="HC15" s="1119"/>
      <c r="HD15" s="1119"/>
      <c r="HE15" s="1119"/>
      <c r="HF15" s="1119"/>
      <c r="HG15" s="1119"/>
      <c r="HH15" s="1119"/>
      <c r="HI15" s="1119"/>
      <c r="HJ15" s="1120"/>
      <c r="HK15" s="1121"/>
      <c r="HL15" s="1122"/>
      <c r="HM15" s="1095"/>
      <c r="HN15" s="1095"/>
      <c r="HO15" s="1095"/>
      <c r="HP15" s="1095"/>
      <c r="HQ15" s="1095"/>
      <c r="HR15" s="1095"/>
      <c r="HS15" s="1095"/>
      <c r="HT15" s="1095"/>
      <c r="HU15" s="1095"/>
      <c r="HV15" s="1095"/>
      <c r="HW15" s="1095"/>
      <c r="HX15" s="1095"/>
      <c r="HY15" s="1095"/>
      <c r="HZ15" s="1095"/>
      <c r="IA15" s="1095"/>
      <c r="IB15" s="1095"/>
      <c r="IC15" s="1095"/>
      <c r="ID15" s="1095"/>
      <c r="IE15" s="1095"/>
      <c r="IF15" s="1095"/>
      <c r="IG15" s="1095"/>
      <c r="IH15" s="1095"/>
      <c r="II15" s="1095"/>
      <c r="IJ15" s="1095"/>
      <c r="IK15" s="1095"/>
      <c r="IL15" s="1095"/>
      <c r="IM15" s="1095"/>
      <c r="IN15" s="1095"/>
      <c r="IO15" s="1095"/>
      <c r="IP15" s="1095"/>
      <c r="IQ15" s="1095"/>
      <c r="IR15" s="1095"/>
      <c r="IS15" s="1095"/>
      <c r="IT15" s="1095"/>
      <c r="IU15" s="1095"/>
      <c r="IV15" s="1095"/>
      <c r="IW15" s="1095"/>
      <c r="IX15" s="1095"/>
      <c r="IY15" s="1095"/>
      <c r="IZ15" s="1095"/>
      <c r="JA15" s="1095"/>
      <c r="JB15" s="1095"/>
      <c r="JC15" s="1095"/>
      <c r="JD15" s="1095"/>
      <c r="JE15" s="1123">
        <v>4200</v>
      </c>
      <c r="JF15" s="1057">
        <f>$JE$15+JF9-JF11</f>
        <v>1670</v>
      </c>
      <c r="JG15" s="1057">
        <f>$JE$15+JG9-JG11</f>
        <v>1025</v>
      </c>
      <c r="JH15" s="1057">
        <f>$JE$15+JH9-JH11</f>
        <v>1403</v>
      </c>
      <c r="JI15" s="1057">
        <f>$JE$15+JI9-JI11</f>
        <v>3222</v>
      </c>
      <c r="JJ15" s="1057">
        <f>$JE$15+JJ9-JJ11</f>
        <v>2765</v>
      </c>
      <c r="JK15" s="1057">
        <f>JJ15+JK9-JK11</f>
        <v>1362</v>
      </c>
      <c r="JL15" s="1057">
        <f>JK15+JL9-JL11</f>
        <v>892</v>
      </c>
      <c r="JM15" s="1057">
        <f>JL15+JM9-JM11</f>
        <v>4222</v>
      </c>
      <c r="JN15" s="1057">
        <f>JM15+JN9-JN11</f>
        <v>6855</v>
      </c>
      <c r="JO15" s="1057">
        <f>JE15+JO9-JO11</f>
        <v>5575</v>
      </c>
      <c r="JP15" s="1057">
        <f>JE15+JP9-JP11</f>
        <v>1175</v>
      </c>
      <c r="JQ15" s="1057">
        <f>JP15+JQ9-JQ11</f>
        <v>647</v>
      </c>
      <c r="JR15" s="1057">
        <f>JE15+JR9-JR11</f>
        <v>1960</v>
      </c>
      <c r="JS15" s="1057">
        <f>JE15+JS9-JS11</f>
        <v>2956</v>
      </c>
      <c r="JT15" s="1057">
        <f>JE15+JT9-JT11</f>
        <v>1839</v>
      </c>
      <c r="JU15" s="1057">
        <f>JE15+JU9-JU11</f>
        <v>4333</v>
      </c>
      <c r="JV15" s="1057">
        <f t="shared" ref="JV15:KB15" si="844">JU15+JV9-JV11</f>
        <v>7414</v>
      </c>
      <c r="JW15" s="1057">
        <f t="shared" si="844"/>
        <v>5417</v>
      </c>
      <c r="JX15" s="1057">
        <f t="shared" si="844"/>
        <v>5870</v>
      </c>
      <c r="JY15" s="1057">
        <f t="shared" si="844"/>
        <v>5170</v>
      </c>
      <c r="JZ15" s="1057">
        <f t="shared" si="844"/>
        <v>5480</v>
      </c>
      <c r="KA15" s="1057">
        <f t="shared" si="844"/>
        <v>4552</v>
      </c>
      <c r="KB15" s="1057">
        <f t="shared" si="844"/>
        <v>2955</v>
      </c>
      <c r="KC15" s="1057">
        <f>JE15+KC9-KC11</f>
        <v>3591</v>
      </c>
      <c r="KD15" s="1057">
        <f>JE15+KD9-KD11</f>
        <v>3150</v>
      </c>
      <c r="KE15" s="1057">
        <f>JE15+KE9-KE11</f>
        <v>3140</v>
      </c>
      <c r="KF15" s="1057">
        <f>JE15+KF9-KF11</f>
        <v>926</v>
      </c>
      <c r="KG15" s="1057">
        <f>JE15+KG9-KG11</f>
        <v>3336</v>
      </c>
      <c r="KH15" s="1057">
        <f>JE15+KH9-KH11</f>
        <v>2537</v>
      </c>
      <c r="KI15" s="1057">
        <f t="shared" ref="KI15:KQ15" si="845">$JE$15+KI9-KI11</f>
        <v>3558</v>
      </c>
      <c r="KJ15" s="1057">
        <f t="shared" si="845"/>
        <v>2997</v>
      </c>
      <c r="KK15" s="1057">
        <f t="shared" si="845"/>
        <v>1906</v>
      </c>
      <c r="KL15" s="1057">
        <f t="shared" si="845"/>
        <v>1119</v>
      </c>
      <c r="KM15" s="1057">
        <f t="shared" si="845"/>
        <v>2040</v>
      </c>
      <c r="KN15" s="1057">
        <f t="shared" si="845"/>
        <v>2311</v>
      </c>
      <c r="KO15" s="1057">
        <f t="shared" si="845"/>
        <v>1591</v>
      </c>
      <c r="KP15" s="1057">
        <f t="shared" si="845"/>
        <v>1588</v>
      </c>
      <c r="KQ15" s="1057">
        <f t="shared" si="845"/>
        <v>2718</v>
      </c>
      <c r="KR15" s="1057">
        <f>($JE$15+KR9-KR11)*-1</f>
        <v>196</v>
      </c>
      <c r="KS15" s="1057">
        <f>$JE$15+KS9-KS11</f>
        <v>1549</v>
      </c>
      <c r="KT15" s="1057">
        <f>$JE$15+KT9-KT11</f>
        <v>1283</v>
      </c>
      <c r="KU15" s="1057">
        <f>$JE$15+KU9-KU11</f>
        <v>1425</v>
      </c>
      <c r="KV15" s="1057">
        <f>KU15+KV9-KV11</f>
        <v>1698</v>
      </c>
      <c r="KW15" s="1057">
        <f>(KV15+KW9-KW11)*-1</f>
        <v>617</v>
      </c>
      <c r="KX15" s="1057">
        <f>(KV15+KX9-KX11)</f>
        <v>1165</v>
      </c>
      <c r="KY15" s="1057">
        <f>KW15+KY9-KY11</f>
        <v>1738</v>
      </c>
      <c r="KZ15" s="1057">
        <f t="shared" ref="KZ15:LE15" si="846">KY15+KZ9-KZ11</f>
        <v>5306</v>
      </c>
      <c r="LA15" s="1057">
        <f t="shared" si="846"/>
        <v>5777</v>
      </c>
      <c r="LB15" s="1057">
        <f t="shared" si="846"/>
        <v>8561</v>
      </c>
      <c r="LC15" s="1057">
        <f t="shared" si="846"/>
        <v>6987</v>
      </c>
      <c r="LD15" s="1057">
        <f t="shared" si="846"/>
        <v>6459</v>
      </c>
      <c r="LE15" s="1057">
        <f t="shared" si="846"/>
        <v>2391</v>
      </c>
      <c r="LF15" s="1057">
        <f>JE15+LF9-LF11</f>
        <v>2186</v>
      </c>
      <c r="LG15" s="1057">
        <f>JE15+LG9-LG11</f>
        <v>5158</v>
      </c>
      <c r="LH15" s="1057">
        <f>LG15+LH9-LH11</f>
        <v>3469</v>
      </c>
      <c r="LI15" s="1057">
        <f>JE15+LI9-LI11</f>
        <v>2139</v>
      </c>
      <c r="LJ15" s="1057">
        <f>JE15+LJ9-LJ11</f>
        <v>4044</v>
      </c>
      <c r="LK15" s="1057">
        <f>JE15+LK9-LK11</f>
        <v>2666</v>
      </c>
      <c r="LL15" s="1057">
        <f>JE15+LL9-LL11</f>
        <v>3493</v>
      </c>
      <c r="LM15" s="1057">
        <f>LL15+LM9-LM11</f>
        <v>5845</v>
      </c>
      <c r="LN15" s="1057">
        <f>(LM15+LN9-LN11)*-1</f>
        <v>279</v>
      </c>
      <c r="LO15" s="1057">
        <f>(LN15+LO9-LO11)</f>
        <v>894</v>
      </c>
      <c r="LP15" s="1057">
        <f>(JE15+LP9-LP11)</f>
        <v>3438</v>
      </c>
      <c r="LQ15" s="1057">
        <f t="shared" ref="LQ15:LZ15" si="847">(LP15+LQ9-LQ11)</f>
        <v>3267</v>
      </c>
      <c r="LR15" s="1057">
        <f t="shared" si="847"/>
        <v>2863</v>
      </c>
      <c r="LS15" s="1057">
        <f t="shared" si="847"/>
        <v>3056</v>
      </c>
      <c r="LT15" s="1057">
        <f t="shared" si="847"/>
        <v>2725</v>
      </c>
      <c r="LU15" s="1057">
        <f t="shared" si="847"/>
        <v>4270</v>
      </c>
      <c r="LV15" s="1057">
        <f t="shared" si="847"/>
        <v>4114</v>
      </c>
      <c r="LW15" s="1057">
        <f t="shared" si="847"/>
        <v>4992</v>
      </c>
      <c r="LX15" s="1057">
        <f t="shared" si="847"/>
        <v>4008</v>
      </c>
      <c r="LY15" s="1057">
        <f t="shared" si="847"/>
        <v>3743</v>
      </c>
      <c r="LZ15" s="1057">
        <f t="shared" si="847"/>
        <v>1235</v>
      </c>
      <c r="MA15" s="1057">
        <f>(LZ15+MA9-MA11)+1000</f>
        <v>1050</v>
      </c>
      <c r="MB15" s="1057">
        <f>(MA15+MB9-MB11)*-1+1000</f>
        <v>1041</v>
      </c>
      <c r="MC15" s="1057">
        <f>(MB15+MC9-MC11)+1000</f>
        <v>1399</v>
      </c>
      <c r="MD15" s="1057">
        <f>(MC15+MD9-MD11)+2200</f>
        <v>1049</v>
      </c>
      <c r="ME15" s="1057">
        <f>(MD15+ME9-ME11)+1500</f>
        <v>1374</v>
      </c>
      <c r="MF15" s="1057">
        <f>(ME15+MF9-MF11)+1800</f>
        <v>1079</v>
      </c>
      <c r="MG15" s="1057">
        <f>(MF15+MG9-MG11)+1800</f>
        <v>2588</v>
      </c>
      <c r="MH15" s="1057">
        <f>(MG15+MH9-MH11)</f>
        <v>3378</v>
      </c>
      <c r="MI15" s="1057">
        <f>(MH15+MI9-MI11)</f>
        <v>2716</v>
      </c>
      <c r="MJ15" s="1057">
        <f>(MI15+MJ9-MJ11)</f>
        <v>3554</v>
      </c>
      <c r="MK15" s="1057">
        <f>(MJ15+MK9-MK11)+500</f>
        <v>1580</v>
      </c>
      <c r="ML15" s="1057">
        <f>(MK15+ML9-ML11)+1500</f>
        <v>1660</v>
      </c>
      <c r="MM15" s="1057">
        <f>(ML15+MM9-MM11)+2000</f>
        <v>1811</v>
      </c>
      <c r="MN15" s="1057">
        <f>(MM15+MN9-MN11)</f>
        <v>1251</v>
      </c>
      <c r="MO15" s="1057">
        <f>(MN15+MO9-MO11)+1500</f>
        <v>1187</v>
      </c>
      <c r="MP15" s="1057">
        <f>(MO15+MP9-MP11)+1100</f>
        <v>2065</v>
      </c>
      <c r="MQ15" s="1057">
        <f>(MP15+MQ9-MQ11)+500</f>
        <v>3654</v>
      </c>
      <c r="MR15" s="1057">
        <f>(MQ15+MR9-MR11)+1500</f>
        <v>1733</v>
      </c>
      <c r="MS15" s="1057">
        <f>(MR15+MS9-MS11)+1400</f>
        <v>1861</v>
      </c>
      <c r="MT15" s="1057">
        <f>(MS15+MT9-MT11)+2000</f>
        <v>1533</v>
      </c>
      <c r="MU15" s="1057">
        <f>(MT15+MU9-MU11)+1000</f>
        <v>1647</v>
      </c>
      <c r="MV15" s="1057">
        <f>(MU15+MV9-MV11)+2700</f>
        <v>1256</v>
      </c>
      <c r="MW15" s="1057">
        <f>(MV15+MW9-MW11)+1400</f>
        <v>1785</v>
      </c>
      <c r="MX15" s="1057">
        <f>(MW15+MX9-MX11)+1500</f>
        <v>1924</v>
      </c>
      <c r="MY15" s="1057">
        <f>(MX15+MY9-MY11)</f>
        <v>2753</v>
      </c>
      <c r="MZ15" s="1057">
        <f>(MY15+MZ9-MZ11)+1700</f>
        <v>1322</v>
      </c>
      <c r="NA15" s="1057">
        <f>(MZ15+NA9-NA11)+1600</f>
        <v>2887</v>
      </c>
      <c r="NB15" s="1057">
        <f>(NA15+NB9-NB11)+1300</f>
        <v>3055</v>
      </c>
      <c r="NC15" s="1057">
        <f>(NB15+NC9-NC11)+1500</f>
        <v>3474</v>
      </c>
      <c r="ND15" s="1057">
        <f>(NC15+ND9-ND11)+1300</f>
        <v>2174</v>
      </c>
      <c r="NE15" s="1057">
        <f>(ND15+NE9-NE11)</f>
        <v>2581</v>
      </c>
      <c r="NF15" s="1057">
        <f>(NE15+NF9-NF11)+1500</f>
        <v>1942</v>
      </c>
      <c r="NG15" s="1057">
        <f>(NF15+NG9-NG11)+1000</f>
        <v>3377</v>
      </c>
      <c r="NH15" s="1057">
        <f>(NG15+NH9-NH11)+500</f>
        <v>2406</v>
      </c>
      <c r="NI15" s="1057">
        <f>(NH15+NI9-NI11)+1500</f>
        <v>3050</v>
      </c>
      <c r="NJ15" s="1057">
        <f>(NI15+NJ9-NJ11)</f>
        <v>3758</v>
      </c>
      <c r="NK15" s="1057">
        <f>(NJ15+NK9-NK11)</f>
        <v>3635</v>
      </c>
      <c r="NL15" s="1057">
        <f>(NK15+NL9-NL11)+1500</f>
        <v>2833</v>
      </c>
      <c r="NM15" s="1057">
        <f>(NL15+NM9-NM11)+1000</f>
        <v>3304</v>
      </c>
      <c r="NN15" s="1057">
        <f>(NM15+NN9-NN11)+600</f>
        <v>2796</v>
      </c>
      <c r="NO15" s="1057">
        <f>(NN15+NO9-NO11)+1200</f>
        <v>3721</v>
      </c>
      <c r="NP15" s="1057">
        <f>(NO15+NP9-NP11)+1000</f>
        <v>3601</v>
      </c>
      <c r="NQ15" s="1057">
        <f>(NP15+NQ9-NQ11)+1000</f>
        <v>4308</v>
      </c>
      <c r="NR15" s="1057">
        <f>(NQ15+NR9-NR11)+1200</f>
        <v>5298</v>
      </c>
      <c r="NS15" s="1057">
        <f>(NR15+NS9-NS11)-2000</f>
        <v>4465</v>
      </c>
      <c r="NT15" s="1057">
        <f>(NS15+NT9-NT11)+800</f>
        <v>3832</v>
      </c>
      <c r="NU15" s="1057">
        <f>(NT15+NU9-NU11)+800</f>
        <v>3582</v>
      </c>
      <c r="NV15" s="1057">
        <f>(NU15+NV9-NV11)+800</f>
        <v>3565</v>
      </c>
      <c r="NW15" s="1057">
        <f>(NV15+NW9-NW11)+900</f>
        <v>2850</v>
      </c>
      <c r="NX15" s="1057">
        <f>(NW15+NX9-NX11)+ 800</f>
        <v>2017</v>
      </c>
      <c r="NY15" s="1057">
        <f>(NX15+NY9-NY11)+ 900</f>
        <v>3166</v>
      </c>
      <c r="NZ15" s="1057">
        <f>(NY15+NZ9-NZ11)+ 1900</f>
        <v>3806</v>
      </c>
      <c r="OA15" s="1057">
        <f>(NZ15+OA9-OA11)+ 900</f>
        <v>5840</v>
      </c>
      <c r="OB15" s="1057">
        <f>(OA15+OB9-OB11)</f>
        <v>6842</v>
      </c>
      <c r="OC15" s="1057">
        <f>(OB15+OC9-OC11)</f>
        <v>5333</v>
      </c>
      <c r="OD15" s="1057">
        <f>(OC15+OD9-OD11)+1100</f>
        <v>4353</v>
      </c>
      <c r="OE15" s="1057">
        <f>(OD15+OE9-OE11)+1100</f>
        <v>4609</v>
      </c>
      <c r="OF15" s="1057">
        <f>(OE15+OF9-OF11)+800</f>
        <v>3577</v>
      </c>
      <c r="OG15" s="1057">
        <f>(OF15+OG9-OG11)+2000</f>
        <v>4141</v>
      </c>
      <c r="OH15" s="1057">
        <f>(OG15+OH9-OH11)+1200</f>
        <v>3435</v>
      </c>
      <c r="OI15" s="1057">
        <f>(OH15+OI9-OI11)+1200</f>
        <v>4004</v>
      </c>
      <c r="OJ15" s="1057">
        <f>(OI15+OJ9-OJ11)+2000</f>
        <v>2841</v>
      </c>
      <c r="OK15" s="1057">
        <f>(OJ15+OK9-OK11)+4300</f>
        <v>2080</v>
      </c>
      <c r="OL15" s="1057">
        <f>(OK15+OL9-OL11)-800</f>
        <v>2782</v>
      </c>
      <c r="OM15" s="1057">
        <f>(OL15+OM9-OM11)+1000</f>
        <v>2185</v>
      </c>
      <c r="ON15" s="1057">
        <f>(OM15+ON9-ON11)+2500</f>
        <v>1903</v>
      </c>
      <c r="OO15" s="1057">
        <f>(ON15+OO9-OO11)+700</f>
        <v>2100</v>
      </c>
      <c r="OP15" s="1057">
        <f>(OO15+OP9-OP11)+700</f>
        <v>2057</v>
      </c>
      <c r="OQ15" s="1057">
        <f>(OP15+OQ9-OQ11)+1200</f>
        <v>1862</v>
      </c>
      <c r="OR15" s="1057">
        <f>(OQ15+OR9-OR11)+1000</f>
        <v>1661</v>
      </c>
      <c r="OS15" s="1057">
        <f>(OR15+OS9-OS11)+1000</f>
        <v>2248</v>
      </c>
      <c r="OT15" s="1057">
        <f>(OS15+OT9-OT11)+1000</f>
        <v>1643</v>
      </c>
      <c r="OU15" s="1057">
        <f>(OT15+OU9-OU11)+1000</f>
        <v>2198</v>
      </c>
      <c r="OV15" s="1057">
        <f>(OU15+OV9-OV11)-500</f>
        <v>1838</v>
      </c>
      <c r="OW15" s="1057">
        <f>(OV15+OW9-OW11)+1300</f>
        <v>1699</v>
      </c>
      <c r="OX15" s="1057">
        <f>(OW15+OX9-OX11)+700</f>
        <v>4025</v>
      </c>
      <c r="OY15" s="1057">
        <f>(OX15+OY9-OY11)+1000</f>
        <v>3537</v>
      </c>
      <c r="OZ15" s="1057">
        <f>(OY15+OZ9-OZ11)+1000</f>
        <v>4387</v>
      </c>
      <c r="PA15" s="1057">
        <f>(OZ15+PA9-PA11)</f>
        <v>4697</v>
      </c>
      <c r="PB15" s="1057">
        <f>(PA15+PB9-PB11)</f>
        <v>4043</v>
      </c>
      <c r="PC15" s="1057">
        <f>(PB15+PC9-PC11)</f>
        <v>4126</v>
      </c>
      <c r="PD15" s="1057">
        <f>(PC15+PD9-PD11)</f>
        <v>2968</v>
      </c>
      <c r="PE15" s="1057">
        <f>(PD15+PE9-PE11)+500</f>
        <v>3790</v>
      </c>
      <c r="PF15" s="1057">
        <f>(PE15+PF9-PF11)+800</f>
        <v>2409</v>
      </c>
      <c r="PG15" s="1057">
        <f>(PF15+PG9-PG11)+1500</f>
        <v>2203</v>
      </c>
      <c r="PH15" s="1057">
        <f>(PG15+PH9-PH11)+1500</f>
        <v>3667</v>
      </c>
      <c r="PI15" s="1057">
        <f>(PH15+PI9-PI11)+1500</f>
        <v>4027</v>
      </c>
      <c r="PJ15" s="1057">
        <f t="shared" ref="PJ15:PV15" si="848">(PI15+PJ9-PJ11)+600</f>
        <v>3771</v>
      </c>
      <c r="PK15" s="1057">
        <f t="shared" si="848"/>
        <v>3682</v>
      </c>
      <c r="PL15" s="1057">
        <f t="shared" si="848"/>
        <v>4837</v>
      </c>
      <c r="PM15" s="1057">
        <f t="shared" si="848"/>
        <v>1876</v>
      </c>
      <c r="PN15" s="1057">
        <f t="shared" si="848"/>
        <v>2984</v>
      </c>
      <c r="PO15" s="1057">
        <f t="shared" si="848"/>
        <v>2219</v>
      </c>
      <c r="PP15" s="1057">
        <f t="shared" si="848"/>
        <v>3825</v>
      </c>
      <c r="PQ15" s="1057">
        <f t="shared" si="848"/>
        <v>2654</v>
      </c>
      <c r="PR15" s="1057">
        <f t="shared" si="848"/>
        <v>3527</v>
      </c>
      <c r="PS15" s="1057">
        <f t="shared" si="848"/>
        <v>2466</v>
      </c>
      <c r="PT15" s="1057">
        <f t="shared" si="848"/>
        <v>2735</v>
      </c>
      <c r="PU15" s="1057">
        <f t="shared" si="848"/>
        <v>1672</v>
      </c>
      <c r="PV15" s="1057">
        <f t="shared" si="848"/>
        <v>1986</v>
      </c>
      <c r="PW15" s="1057">
        <f>(PV15+PW9-PW11)+1600</f>
        <v>1517</v>
      </c>
      <c r="PX15" s="1124">
        <f>(PW15+PX9-PX11)+600</f>
        <v>1443</v>
      </c>
      <c r="PY15" s="1057">
        <f>(PX15+PY9-PY11)+1200</f>
        <v>2142</v>
      </c>
      <c r="PZ15" s="1057">
        <f>(PY15+PZ9-PZ11)+2500</f>
        <v>2409</v>
      </c>
      <c r="QA15" s="1057">
        <f>(PZ15+QA9-QA11)+1500</f>
        <v>2406</v>
      </c>
      <c r="QB15" s="1057">
        <f>(QA15+QB9-QB11)+1500</f>
        <v>1590</v>
      </c>
      <c r="QC15" s="1057">
        <f>(QB15+QC9-QC11)+1300</f>
        <v>1214</v>
      </c>
      <c r="QD15" s="1057">
        <f>(QC15+QD9-QD11)+2400</f>
        <v>3905</v>
      </c>
      <c r="QE15" s="1057">
        <f>(QD15+QE9-QE11)+500</f>
        <v>4286</v>
      </c>
      <c r="QF15" s="1057">
        <f>(QE15+QF9-QF11)+1200</f>
        <v>4855</v>
      </c>
      <c r="QG15" s="1057">
        <f>(QF15+QG9-QG11)+1500</f>
        <v>4731</v>
      </c>
      <c r="QH15" s="1057">
        <f>(QG15+QH9-QH11)+1500</f>
        <v>3190</v>
      </c>
      <c r="QI15" s="1057">
        <f>(QH15+QI9-QI11)</f>
        <v>5061</v>
      </c>
      <c r="QJ15" s="1057">
        <f>(QI15+QJ9-QJ11)-1000</f>
        <v>4516</v>
      </c>
      <c r="QK15" s="1057">
        <f>(QJ15+QK9-QK11)</f>
        <v>4076</v>
      </c>
      <c r="QL15" s="1057">
        <f>(QK15+QL9-QL11)</f>
        <v>3815</v>
      </c>
      <c r="QM15" s="1057">
        <f>(QL15+QM9-QM11)</f>
        <v>1708</v>
      </c>
      <c r="QN15" s="1057">
        <f>(QM15+QN9-QN11)+500</f>
        <v>1220</v>
      </c>
      <c r="QO15" s="1057">
        <f>(QN15+QO9-QO11)+300</f>
        <v>1069</v>
      </c>
      <c r="QP15" s="1057">
        <f>(QO15+QP9-QP11)+300</f>
        <v>657</v>
      </c>
      <c r="QQ15" s="1057">
        <f>(QP15+QQ9-QQ11)+800</f>
        <v>246</v>
      </c>
      <c r="QR15" s="1057">
        <f>(QQ15+QR9-QR11)+300</f>
        <v>840</v>
      </c>
      <c r="QS15" s="1057">
        <f>(QR15+QS9-QS11)+1700</f>
        <v>1512</v>
      </c>
      <c r="QT15" s="1057">
        <f>(QS15+QT9-QT11)+2200</f>
        <v>1298</v>
      </c>
      <c r="QU15" s="1057">
        <f>(QT15+QU9-QU11)+500</f>
        <v>2494</v>
      </c>
      <c r="QV15" s="1057">
        <f>(QU15+QV9-QV11)+300</f>
        <v>2630</v>
      </c>
      <c r="QW15" s="1057">
        <f>(QV15+QW9-QW11)+100</f>
        <v>2816</v>
      </c>
      <c r="QX15" s="1057">
        <f>(QW15+QX9-QX11)+1000</f>
        <v>2239</v>
      </c>
      <c r="QY15" s="1057">
        <f>(QX15+QY9-QY11)+1000</f>
        <v>2468</v>
      </c>
      <c r="QZ15" s="1057">
        <f>(QY15+QZ9-QZ11) -1500</f>
        <v>2897</v>
      </c>
      <c r="RA15" s="1057">
        <f>(QZ15+RA9-RA11)+0</f>
        <v>2982</v>
      </c>
      <c r="RB15" s="1057">
        <f>(RA15+RB9-RB11)+0</f>
        <v>2256</v>
      </c>
      <c r="RC15" s="1057">
        <f>(RB15+RC9-RC11)+1000</f>
        <v>2176</v>
      </c>
      <c r="RD15" s="1057">
        <f>(RC15+RD9-RD11)+200</f>
        <v>2393</v>
      </c>
      <c r="RE15" s="1057">
        <f>(RD15+RE9-RE11)+150</f>
        <v>2488</v>
      </c>
      <c r="RF15" s="1057">
        <f>(RE15+RF9-RF11)+350</f>
        <v>2048</v>
      </c>
      <c r="RG15" s="1057">
        <f>(RF15+RG9-RG11)+800</f>
        <v>1611</v>
      </c>
      <c r="RH15" s="1057">
        <f>(RG15+RH9-RH11)</f>
        <v>1998</v>
      </c>
      <c r="RI15" s="1057">
        <f>(RH15+RI9-RI11)-1200</f>
        <v>1318</v>
      </c>
      <c r="RJ15" s="1057">
        <f>(RI15+RJ9-RJ11)-1500</f>
        <v>1303</v>
      </c>
      <c r="RK15" s="1057">
        <f>(RJ15+RK9-RK11)-1400</f>
        <v>1220</v>
      </c>
      <c r="RL15" s="1057">
        <f>(RK15+RL9-RL11)+1850</f>
        <v>1202</v>
      </c>
      <c r="RM15" s="1057">
        <f>(RL15+RM9-RM11)+1850</f>
        <v>2286</v>
      </c>
      <c r="RN15" s="1057">
        <f>(RM15+RN9-RN11)+200</f>
        <v>2252</v>
      </c>
      <c r="RO15" s="1057">
        <f>(RN15+RO9-RO11)+2000</f>
        <v>3456</v>
      </c>
      <c r="RP15" s="1057">
        <f>(RO15+RP9-RP11)-3500</f>
        <v>3153</v>
      </c>
      <c r="RQ15" s="1057">
        <f>(RP15+RQ9-RQ11)-800</f>
        <v>3179</v>
      </c>
      <c r="RR15" s="1057">
        <f>(RQ15+RR9-RR11)+1000</f>
        <v>2892</v>
      </c>
      <c r="RS15" s="1057">
        <f>(RR15+RS9-RS11)+300</f>
        <v>2582</v>
      </c>
      <c r="RT15" s="1057">
        <f>(RS15+RT9-RT11)+1300</f>
        <v>2866</v>
      </c>
      <c r="RU15" s="1057">
        <f>(RT15+RU9-RU11)+1600</f>
        <v>2451</v>
      </c>
      <c r="RV15" s="1057">
        <f>(RU15+RV9-RV11)</f>
        <v>2301</v>
      </c>
      <c r="RW15" s="1057">
        <f>(RV15+RW9-RW11)+1500</f>
        <v>1784</v>
      </c>
      <c r="RX15" s="1057">
        <f>(RW15+RX9-RX11)+1800</f>
        <v>1463</v>
      </c>
      <c r="RY15" s="1057">
        <f>(RX15+RY9-RY11)+200</f>
        <v>2264</v>
      </c>
      <c r="RZ15" s="1057">
        <f>(RY15+RZ9-RZ11)+300</f>
        <v>1985</v>
      </c>
      <c r="SA15" s="1057">
        <f>(RZ15+SA9-SA11)+800</f>
        <v>2773</v>
      </c>
      <c r="SB15" s="1057">
        <f>(SA15+SB9-SB11)</f>
        <v>1547</v>
      </c>
      <c r="SC15" s="1057">
        <f>(SB15+SC9-SC11)</f>
        <v>1378</v>
      </c>
      <c r="SD15" s="1057">
        <f>(SC15+SD9-SD11)+500</f>
        <v>2106</v>
      </c>
      <c r="SE15" s="1057">
        <f>(SD15+SE9-SE11)+1800</f>
        <v>1862</v>
      </c>
      <c r="SF15" s="1057">
        <f>(SE15+SF9-SF11)+800</f>
        <v>1759</v>
      </c>
      <c r="SG15" s="1057">
        <f>(SF15+SG9-SG11)</f>
        <v>1906</v>
      </c>
      <c r="SH15" s="1057">
        <f>(SG15+SH9-SH11)+1700</f>
        <v>1406</v>
      </c>
      <c r="SI15" s="1057">
        <f>(SH15+SI9-SI11)</f>
        <v>2229</v>
      </c>
      <c r="SJ15" s="1057">
        <f>(SI15+SJ9-SJ11)</f>
        <v>2293</v>
      </c>
      <c r="SK15" s="1057">
        <f>(SJ15+SK9-SK11)+1100</f>
        <v>1720</v>
      </c>
      <c r="SL15" s="1057">
        <f>(SK15+SL9-SL11)+600</f>
        <v>2185</v>
      </c>
      <c r="SM15" s="1057">
        <f>(SL15+SM9-SM11)+700</f>
        <v>1919</v>
      </c>
      <c r="SN15" s="1057">
        <f>(SM15+SN9-SN11)+150</f>
        <v>2377</v>
      </c>
      <c r="SO15" s="1057">
        <f>(SN15+SO9-SO11)+1150</f>
        <v>1825</v>
      </c>
      <c r="SP15" s="1057">
        <f>(SO15+SP9-SP11)</f>
        <v>2325</v>
      </c>
      <c r="SQ15" s="1057">
        <f>(SP15+SQ9-SQ11)</f>
        <v>2038</v>
      </c>
      <c r="SR15" s="1057">
        <f>(SQ15+SR9-SR11)</f>
        <v>3111</v>
      </c>
      <c r="SS15" s="1057">
        <f>(SR15+SS9-SS11)</f>
        <v>3259</v>
      </c>
      <c r="ST15" s="1057">
        <f>(SS15+ST9-ST11)</f>
        <v>5347</v>
      </c>
      <c r="SU15" s="1057">
        <f>(ST15+SU9-SU11)+400</f>
        <v>4762</v>
      </c>
      <c r="SV15" s="1057">
        <f>(SU15+SV9-SV11)+400</f>
        <v>5252</v>
      </c>
      <c r="SW15" s="1057">
        <f>(SV15+SW9-SW11)</f>
        <v>3800</v>
      </c>
      <c r="SX15" s="1057">
        <f>(SW15+SX9-SX11)</f>
        <v>3382</v>
      </c>
      <c r="SY15" s="1057">
        <f>(SX15+SY9-SY11)</f>
        <v>2038</v>
      </c>
      <c r="SZ15" s="1057">
        <f>(SY15+SZ9-SZ11)+1000</f>
        <v>3003</v>
      </c>
      <c r="TA15" s="1057">
        <f>(SZ15+TA9-TA11)+1800</f>
        <v>2021</v>
      </c>
      <c r="TB15" s="1057">
        <f>(TA15+TB9-TB11)+800</f>
        <v>2853</v>
      </c>
      <c r="TC15" s="1057">
        <f>(TB15+TC9-TC11)+800</f>
        <v>3261</v>
      </c>
      <c r="TD15" s="1057">
        <f>(TC15+TD9-TD11)+800</f>
        <v>3984</v>
      </c>
      <c r="TE15" s="1057">
        <f>(TD15+TE9-TE11)+700</f>
        <v>3504</v>
      </c>
      <c r="TF15" s="1057">
        <f>(TE15+TF9-TF11)+700</f>
        <v>3844</v>
      </c>
      <c r="TG15" s="1057">
        <f>(TF15+TG9-TG11)+1200</f>
        <v>2520</v>
      </c>
      <c r="TH15" s="1057">
        <f>(TG15+TH9-TH11)+900</f>
        <v>3242</v>
      </c>
      <c r="TI15" s="1057">
        <f>(TH15+TI9-TI11)+800</f>
        <v>3898</v>
      </c>
      <c r="TJ15" s="1057">
        <f>(TI15+TJ9-TJ11)+600</f>
        <v>4247</v>
      </c>
      <c r="TK15" s="1057">
        <f>(TJ15+TK9-TK11)+800</f>
        <v>3510</v>
      </c>
      <c r="TL15" s="1057">
        <f>(TK15+TL9-TL11)+800</f>
        <v>4056</v>
      </c>
      <c r="TM15" s="1057">
        <f>(TL15+TM9-TM11)+800</f>
        <v>3749</v>
      </c>
      <c r="TN15" s="1057">
        <f>(TM15+TN9-TN11)+400</f>
        <v>3924</v>
      </c>
      <c r="TO15" s="1057">
        <f>(TN15+TO9-TO11)+600</f>
        <v>1550</v>
      </c>
      <c r="TP15" s="1057">
        <f>(TO15+TP9-TP11)+250</f>
        <v>1518</v>
      </c>
      <c r="TQ15" s="1057">
        <f>(TP15+TQ9-TQ11)+250</f>
        <v>2227</v>
      </c>
      <c r="TR15" s="1057">
        <f>(TQ15+TR9-TR11)+2500</f>
        <v>2845</v>
      </c>
      <c r="TS15" s="1057">
        <f>(TR15+TS9-TS11)+1000</f>
        <v>3262</v>
      </c>
      <c r="TT15" s="1057">
        <f>(TS15+TT9-TT11)-800</f>
        <v>3106</v>
      </c>
      <c r="TU15" s="1057">
        <f t="shared" ref="TU15:TZ15" si="849">(TT15+TU9-TU11)</f>
        <v>4183</v>
      </c>
      <c r="TV15" s="1057">
        <f t="shared" si="849"/>
        <v>5037</v>
      </c>
      <c r="TW15" s="1057">
        <f t="shared" si="849"/>
        <v>3748</v>
      </c>
      <c r="TX15" s="1057">
        <f t="shared" si="849"/>
        <v>3865</v>
      </c>
      <c r="TY15" s="1057">
        <f t="shared" si="849"/>
        <v>3169</v>
      </c>
      <c r="TZ15" s="1057">
        <f t="shared" si="849"/>
        <v>2904</v>
      </c>
      <c r="UA15" s="1057">
        <f>(TZ15+UA9-UA11)+800</f>
        <v>2586</v>
      </c>
      <c r="UB15" s="1057">
        <f>(UA15+UB9-UB11)+800</f>
        <v>2819</v>
      </c>
      <c r="UC15" s="1057">
        <f>(UB15+UC9-UC11)</f>
        <v>2529</v>
      </c>
      <c r="UD15" s="1057">
        <f>(UC15+UD9-UD11)+200</f>
        <v>4018</v>
      </c>
      <c r="UE15" s="1057">
        <f t="shared" ref="UE15:UJ15" si="850">(UD15+UE9-UE11)</f>
        <v>3622</v>
      </c>
      <c r="UF15" s="1057">
        <f t="shared" si="850"/>
        <v>4858</v>
      </c>
      <c r="UG15" s="1057">
        <f t="shared" si="850"/>
        <v>3655</v>
      </c>
      <c r="UH15" s="1057">
        <f t="shared" si="850"/>
        <v>3780</v>
      </c>
      <c r="UI15" s="1057">
        <f t="shared" si="850"/>
        <v>4607</v>
      </c>
      <c r="UJ15" s="1057">
        <f t="shared" si="850"/>
        <v>4565</v>
      </c>
      <c r="UK15" s="1057">
        <f>(UJ15+UK9-UK11)-2000</f>
        <v>4138</v>
      </c>
      <c r="UL15" s="1057">
        <f>(UK15+UL9-UL11)</f>
        <v>3578</v>
      </c>
      <c r="UM15" s="1057">
        <f>(UL15+UM9-UM11)</f>
        <v>3700</v>
      </c>
      <c r="UN15" s="1057">
        <f>(UM15+UN9-UN11)</f>
        <v>4106</v>
      </c>
      <c r="UO15" s="1057">
        <f>(UN15+UO9-UO11)</f>
        <v>3031</v>
      </c>
      <c r="UP15" s="1057">
        <f>(UO15+UP9-UP11)+600</f>
        <v>2135</v>
      </c>
      <c r="UQ15" s="1057">
        <f>(UP15+UQ9-UQ11)+200</f>
        <v>3633</v>
      </c>
      <c r="UR15" s="1057">
        <f>(UQ15+UR9-UR11)</f>
        <v>4523</v>
      </c>
      <c r="US15" s="1057">
        <f>(UR15+US9-US11)</f>
        <v>4207</v>
      </c>
      <c r="UT15" s="1057">
        <f>(US15+UT9-UT11)-500</f>
        <v>3865</v>
      </c>
      <c r="UU15" s="1057">
        <f>(UT15+UU9-UU11)</f>
        <v>4357</v>
      </c>
      <c r="UV15" s="1057">
        <f>(UU15+UV9-UV11)</f>
        <v>8370</v>
      </c>
      <c r="UW15" s="1057">
        <f>(UV15+UW9-UW11)</f>
        <v>10788</v>
      </c>
      <c r="UX15" s="1057">
        <f>(UW15+UX9-UX11)-32</f>
        <v>10267</v>
      </c>
      <c r="UY15" s="1057">
        <f>(UX15+UY9-UY11)-34</f>
        <v>9468</v>
      </c>
      <c r="UZ15" s="1057">
        <f>(UY15+UZ9-UZ11)-2475</f>
        <v>6958</v>
      </c>
      <c r="VA15" s="1057">
        <f>(UZ15+VA9-VA11)</f>
        <v>5635</v>
      </c>
      <c r="VB15" s="1057">
        <f>(VA15+VB9-VB11)</f>
        <v>3208</v>
      </c>
      <c r="VC15" s="1057">
        <f>(VB15+VC9-VC11)+1700</f>
        <v>2980</v>
      </c>
      <c r="VD15" s="1057">
        <f>(VC15+VD9-VD11)+600</f>
        <v>3063</v>
      </c>
      <c r="VE15" s="1057">
        <f>(VD15+VE9-VE11)+600</f>
        <v>3272</v>
      </c>
      <c r="VF15" s="1057">
        <f>(VE15+VF9-VF11)+600</f>
        <v>4462</v>
      </c>
      <c r="VG15" s="1057">
        <f>(VF15+VG9-VG11)+600</f>
        <v>4865</v>
      </c>
      <c r="VH15" s="1057">
        <f>(VG15+VH9-VH11)+600</f>
        <v>4192</v>
      </c>
      <c r="VI15" s="1057">
        <f>(VH15+VI9-VI11)+700</f>
        <v>3573</v>
      </c>
      <c r="VJ15" s="1057">
        <f>(VI15+VJ9-VJ11)+800</f>
        <v>2420</v>
      </c>
      <c r="VK15" s="1059">
        <f>(VJ15+VK9-VK11)+700</f>
        <v>3247</v>
      </c>
      <c r="VL15" s="1059">
        <f>(VK15+VL9-VL11)+500</f>
        <v>3178</v>
      </c>
      <c r="VM15" s="1059">
        <f>(VL15+VM9-VM11)+200</f>
        <v>3173</v>
      </c>
      <c r="VN15" s="1059">
        <f>(VM15+VN9-VN11)+1200</f>
        <v>3698</v>
      </c>
      <c r="VO15" s="1059">
        <f>(VN15+VO9-VO11)</f>
        <v>5536</v>
      </c>
      <c r="VP15" s="1059">
        <f>(VO15+VP9-VP11)-800</f>
        <v>4354</v>
      </c>
      <c r="VQ15" s="1059">
        <f>(VP15+VQ9-VQ11)</f>
        <v>3745</v>
      </c>
      <c r="VR15" s="1059">
        <f>(VQ15+VR9-VR11)</f>
        <v>4318</v>
      </c>
      <c r="VS15" s="1059">
        <f>(VR15+VS9-VS11)+100</f>
        <v>3263</v>
      </c>
      <c r="VT15" s="1059">
        <f>(VS15+VT9-VT11)+700</f>
        <v>2379</v>
      </c>
      <c r="VU15" s="1059">
        <f>(VT15+VU9-VU11)+700</f>
        <v>2010</v>
      </c>
      <c r="VV15" s="1059">
        <f>(VU15+VV9-VV11)+1700</f>
        <v>1364</v>
      </c>
      <c r="VW15" s="1059">
        <f>(VV15+VW9-VW11)+200</f>
        <v>2616</v>
      </c>
      <c r="VX15" s="1059">
        <f>(VW15+VX9-VX11)+500</f>
        <v>2155</v>
      </c>
      <c r="VY15" s="1059">
        <f>(VX15+VY9-VY11)-700</f>
        <v>2324</v>
      </c>
      <c r="VZ15" s="1059">
        <f>(VY15+VZ9-VZ11)-800</f>
        <v>2503</v>
      </c>
      <c r="WA15" s="1059">
        <f>(VZ15+WA9-WA11)+2300</f>
        <v>2024</v>
      </c>
      <c r="WB15" s="1059">
        <f>(WA15+WB9-WB11)</f>
        <v>2767</v>
      </c>
      <c r="WC15" s="1059">
        <f>(WB15+WC9-WC11)+1000</f>
        <v>2350</v>
      </c>
      <c r="WD15" s="1059">
        <f>(WC15+WD9-WD11)+600</f>
        <v>2151</v>
      </c>
      <c r="WE15" s="1059">
        <f>(WD15+WE9-WE11)+2600</f>
        <v>2064</v>
      </c>
      <c r="WF15" s="1059">
        <f>(WE15+WF9-WF11)+1950</f>
        <v>2115</v>
      </c>
      <c r="WG15" s="1059">
        <f>(WF15+WG9-WG11)+350</f>
        <v>2183</v>
      </c>
      <c r="WH15" s="1059">
        <f>(WG15+WH9-WH11)+150</f>
        <v>2699</v>
      </c>
      <c r="WI15" s="1059">
        <f>(WH15+WI9-WI11)+800</f>
        <v>2401</v>
      </c>
      <c r="WJ15" s="1059">
        <f>(WI15+WJ9-WJ11)+800</f>
        <v>2563</v>
      </c>
      <c r="WK15" s="1059">
        <f>(WJ15+WK9-WK11)-1300</f>
        <v>2719</v>
      </c>
      <c r="WL15" s="1059">
        <f>(WK15+WL9-WL11)-500</f>
        <v>2366</v>
      </c>
      <c r="WM15" s="1059">
        <f>(WL15+WM9-WM11)+2800</f>
        <v>2107</v>
      </c>
      <c r="WN15" s="1059">
        <f>(WM15+WN9-WN11)-3100</f>
        <v>3715</v>
      </c>
      <c r="WO15" s="1059">
        <f>(WN15+WO9-WO11)-3300</f>
        <v>3848</v>
      </c>
      <c r="WP15" s="1059">
        <f>(WO15+WP9-WP11)-400</f>
        <v>3988</v>
      </c>
      <c r="WQ15" s="1059">
        <f>(WP15+WQ9-WQ11)-1000</f>
        <v>2617</v>
      </c>
      <c r="WR15" s="1059">
        <f>(WQ15+WR9-WR11)+2300</f>
        <v>2229</v>
      </c>
      <c r="WS15" s="1059">
        <f>(WR15+WS9-WS11)+3300</f>
        <v>2546</v>
      </c>
      <c r="WT15" s="1059">
        <f>(WS15+WT9-WT11)+1800</f>
        <v>2502</v>
      </c>
      <c r="WU15" s="1059">
        <f>(WT15+WU9-WU11)+3200</f>
        <v>2357</v>
      </c>
      <c r="WV15" s="1059">
        <f>(WU15+WV9-WV11)+2000</f>
        <v>2517</v>
      </c>
      <c r="WW15" s="1059">
        <f>(WV15+WW9-WW11)+1900</f>
        <v>2067</v>
      </c>
      <c r="WX15" s="1059">
        <f>(WW15+WX9-WX11)+1000</f>
        <v>2071</v>
      </c>
      <c r="WY15" s="1059">
        <f>(WX15+WY9-WY11)+2500</f>
        <v>2448</v>
      </c>
      <c r="WZ15" s="1059">
        <f>(WY15+WZ9-WZ11)+1500</f>
        <v>3555</v>
      </c>
      <c r="XA15" s="1059">
        <f>(WZ15+XA9-XA11)+1000</f>
        <v>4305</v>
      </c>
      <c r="XB15" s="1059">
        <f>(XA15+XB9-XB11)+1000</f>
        <v>4253</v>
      </c>
      <c r="XC15" s="1059">
        <f>(XB15+XC9-XC11)+1500</f>
        <v>2900</v>
      </c>
      <c r="XD15" s="1059">
        <f>(XC15+XD9-XD11)+1200</f>
        <v>2288</v>
      </c>
      <c r="XE15" s="1059">
        <f>(XD15+XE9-XE11)+2900</f>
        <v>2289</v>
      </c>
      <c r="XF15" s="1059">
        <f>(XE15+XF9-XF11)+600</f>
        <v>2317</v>
      </c>
      <c r="XG15" s="1059">
        <f>(XF15+XG9-XG11)+2000</f>
        <v>2574</v>
      </c>
      <c r="XH15" s="1059">
        <f>(XG15+XH9-XH11)+1200</f>
        <v>2448</v>
      </c>
      <c r="XI15" s="1059">
        <f>(XH15+XI9-XI11)+1500</f>
        <v>2082</v>
      </c>
      <c r="XJ15" s="1059">
        <f>(XI15+XJ9-XJ11)+400</f>
        <v>2272</v>
      </c>
      <c r="XK15" s="1059">
        <f>(XJ15+XK9-XK11)-1000</f>
        <v>2288</v>
      </c>
      <c r="XL15" s="1059">
        <f>(XK15+XL9-XL11)+2200</f>
        <v>3297</v>
      </c>
      <c r="XM15" s="1059">
        <f>(XL15+XM9-XM11)+2000</f>
        <v>3398</v>
      </c>
      <c r="XN15" s="1059">
        <f>(XM15+XN9-XN11)+900</f>
        <v>3479</v>
      </c>
      <c r="XO15" s="1059">
        <f>(XN15+XO9-XO11)+2400</f>
        <v>2639</v>
      </c>
      <c r="XP15" s="1059">
        <f>(XO15+XP9-XP11)+1650</f>
        <v>2414</v>
      </c>
      <c r="XQ15" s="1059">
        <f>(XP15+XQ9-XQ11)+3500</f>
        <v>2377</v>
      </c>
      <c r="XR15" s="1059">
        <f>(XQ15+XR9-XR11)+300</f>
        <v>2811</v>
      </c>
      <c r="XS15" s="1059">
        <f>(XR15+XS9-XS11)</f>
        <v>3143</v>
      </c>
      <c r="XT15" s="1059">
        <f>(XS15+XT9-XT11)</f>
        <v>2673</v>
      </c>
      <c r="XU15" s="1059">
        <f>(XT15+XU9-XU11)+1000</f>
        <v>2385</v>
      </c>
      <c r="XV15" s="1059">
        <f>(XU15+XV9-XV11)</f>
        <v>5024</v>
      </c>
      <c r="XW15" s="1059">
        <f>(XV15+XW9-XW11)-200</f>
        <v>3540</v>
      </c>
      <c r="XX15" s="1059">
        <f>(XW15+XX9-XX11)-4000</f>
        <v>4467</v>
      </c>
      <c r="XY15" s="1059">
        <f>(XX15+XY9-XY11)+200</f>
        <v>3889</v>
      </c>
      <c r="XZ15" s="1059">
        <f>(XY15+XZ9-XZ11)+2800</f>
        <v>3141</v>
      </c>
      <c r="YA15" s="1059">
        <f>(XZ15+YA9-YA11)+3900</f>
        <v>2705</v>
      </c>
      <c r="YB15" s="1059">
        <f>(YA15+YB9-YB11)+3900</f>
        <v>3668</v>
      </c>
      <c r="YC15" s="1059">
        <f>(YB15+YC9-YC11)+2400</f>
        <v>3051</v>
      </c>
      <c r="YD15" s="1059">
        <f>(YC15+YD9-YD11)+8450</f>
        <v>5049</v>
      </c>
      <c r="YE15" s="1059">
        <f>(YD15+YE9-YE11)+4450</f>
        <v>4527</v>
      </c>
      <c r="YF15" s="1059">
        <f>(YE15+YF9-YF11)+3450</f>
        <v>3500</v>
      </c>
      <c r="YG15" s="1059">
        <f>(YF15+YG9-YG11)+5450</f>
        <v>2980</v>
      </c>
      <c r="YH15" s="1059">
        <f>(YG15+YH9-YH11)+2450</f>
        <v>2891</v>
      </c>
      <c r="YI15" s="1059">
        <f>(YH15+YI9-YI11)+2450</f>
        <v>2196</v>
      </c>
      <c r="YJ15" s="1059">
        <f>(YI15+YJ9-YJ11)+1450</f>
        <v>1658</v>
      </c>
      <c r="YK15" s="1059">
        <f>(YJ15+YK9-YK11)+1000</f>
        <v>1482</v>
      </c>
      <c r="YL15" s="1059">
        <f>(YK15+YL9-YL11)+550</f>
        <v>531</v>
      </c>
      <c r="YM15" s="1059">
        <f>(YL15+YM9-YM11)+1150</f>
        <v>259</v>
      </c>
      <c r="YN15" s="1059">
        <f>(YM15+YN9-YN11)+1458</f>
        <v>0</v>
      </c>
      <c r="YO15" s="1059">
        <f>(YN15+YO9-YO11)+22</f>
        <v>0</v>
      </c>
      <c r="YP15" s="1059">
        <f t="shared" ref="YP15:YX15" si="851">(YO15+YP9-YP11)</f>
        <v>0</v>
      </c>
      <c r="YQ15" s="1059">
        <f t="shared" si="851"/>
        <v>0</v>
      </c>
      <c r="YR15" s="1059">
        <f t="shared" si="851"/>
        <v>0</v>
      </c>
      <c r="YS15" s="1059">
        <f t="shared" si="851"/>
        <v>0</v>
      </c>
      <c r="YT15" s="1059">
        <f>(YS15+YT9-YT11)+10</f>
        <v>0</v>
      </c>
      <c r="YU15" s="1059">
        <f>(YT15+YU9-YU11)+10</f>
        <v>0</v>
      </c>
      <c r="YV15" s="1059">
        <f t="shared" si="851"/>
        <v>0</v>
      </c>
      <c r="YW15" s="1059">
        <f t="shared" si="851"/>
        <v>0</v>
      </c>
      <c r="YX15" s="1059">
        <f t="shared" si="851"/>
        <v>0</v>
      </c>
      <c r="YY15" s="1059">
        <f t="shared" ref="YY15:ZC15" si="852">(YX15+YY9-YY11)</f>
        <v>0</v>
      </c>
      <c r="YZ15" s="1059">
        <f t="shared" si="852"/>
        <v>0</v>
      </c>
      <c r="ZA15" s="1059">
        <f t="shared" si="852"/>
        <v>0</v>
      </c>
      <c r="ZB15" s="1059">
        <f t="shared" si="852"/>
        <v>0</v>
      </c>
      <c r="ZC15" s="1059">
        <f t="shared" si="852"/>
        <v>0</v>
      </c>
      <c r="ZD15" s="1059">
        <f>(ZC15+ZD8-ZD11)-1000</f>
        <v>472.82096950000005</v>
      </c>
      <c r="ZE15" s="1059">
        <f>(ZD15+ZE8-ZE11)-4000</f>
        <v>2891.978929500001</v>
      </c>
      <c r="ZF15" s="1059">
        <f t="shared" ref="ZF15" si="853">(ZE15+ZF8-ZF11)-4000</f>
        <v>2351.6813106500013</v>
      </c>
      <c r="ZG15" s="1059">
        <f>(ZF15+ZG8-ZG11)</f>
        <v>1456.0082054500017</v>
      </c>
      <c r="ZH15" s="1059">
        <f>(ZG15+ZH8-ZH11)-1500</f>
        <v>2126.1484685500036</v>
      </c>
      <c r="ZI15" s="1059">
        <f>(ZH15+ZI8-ZI11)+1500</f>
        <v>1882.4377462750044</v>
      </c>
      <c r="ZJ15" s="1059">
        <f t="shared" ref="ZJ15:ABP15" si="854">(ZI15+ZJ8-ZJ11)</f>
        <v>2050.1035800750051</v>
      </c>
      <c r="ZK15" s="1059">
        <f>(ZJ15+ZK8-ZK11)+500</f>
        <v>1849.6234821750049</v>
      </c>
      <c r="ZL15" s="1059">
        <f>(ZK15+ZL8-ZL11)+1500</f>
        <v>2013.1501943750054</v>
      </c>
      <c r="ZM15" s="1059">
        <f>(ZL15+ZM8-ZM11)+300</f>
        <v>2007.0475477750051</v>
      </c>
      <c r="ZN15" s="1059">
        <f>(ZM15+ZN8-ZN11)+800</f>
        <v>2078.0509161750051</v>
      </c>
      <c r="ZO15" s="1059">
        <f t="shared" si="854"/>
        <v>2581.3786785250059</v>
      </c>
      <c r="ZP15" s="1059">
        <f>(ZO15+ZP8-ZP11)+300</f>
        <v>2561.1045560250068</v>
      </c>
      <c r="ZQ15" s="1059">
        <f>(ZP15+ZQ8-ZQ11)-1000</f>
        <v>2574.0512678750083</v>
      </c>
      <c r="ZR15" s="1059">
        <f t="shared" si="854"/>
        <v>2707.9133162750086</v>
      </c>
      <c r="ZS15" s="1059">
        <f>(ZR15+ZS8-ZS11)-1000</f>
        <v>2524.3483182750097</v>
      </c>
      <c r="ZT15" s="1059">
        <f t="shared" si="854"/>
        <v>2506.1339621750103</v>
      </c>
      <c r="ZU15" s="1059">
        <f>(ZT15+ZU8-ZU11)+300</f>
        <v>1822.879120300011</v>
      </c>
      <c r="ZV15" s="1059">
        <f>(ZU15+ZV8-ZV11)+500</f>
        <v>1880.6714976500116</v>
      </c>
      <c r="ZW15" s="1059">
        <f>(ZV15+ZW8-ZW11)+1000</f>
        <v>1933.7771039500121</v>
      </c>
      <c r="ZX15" s="1059">
        <f>(ZW15+ZX8-ZX11)+1000</f>
        <v>2052.8497999500123</v>
      </c>
      <c r="ZY15" s="1059">
        <f>(ZX15+ZY8-ZY11)+500</f>
        <v>1920.8768339250119</v>
      </c>
      <c r="ZZ15" s="1059">
        <f>(ZY15+ZZ8-ZZ11)+300</f>
        <v>1945.1222672250115</v>
      </c>
      <c r="AAA15" s="1059">
        <f>(ZZ15+AAA8-AAA11)-500</f>
        <v>2481.2752068300115</v>
      </c>
      <c r="AAB15" s="1059">
        <f t="shared" si="854"/>
        <v>1769.4640600300118</v>
      </c>
      <c r="AAC15" s="1059">
        <f>(AAB15+AAC8-AAC11)+700</f>
        <v>1794.4823188538121</v>
      </c>
      <c r="AAD15" s="1059">
        <f t="shared" si="854"/>
        <v>1922.0611451288123</v>
      </c>
      <c r="AAE15" s="1059">
        <f>(AAD15+AAE8-AAE11)+700</f>
        <v>1903.2719290288123</v>
      </c>
      <c r="AAF15" s="1059">
        <f>(AAE15+AAF8-AAF11)+1000</f>
        <v>1960.3818882788128</v>
      </c>
      <c r="AAG15" s="1059">
        <f>(AAF15+AAG8-AAG11)+500</f>
        <v>1951.8130288288139</v>
      </c>
      <c r="AAH15" s="1059">
        <f>(AAG15+AAH8-AAH11)-1000</f>
        <v>2040.5191924288147</v>
      </c>
      <c r="AAI15" s="1059">
        <f t="shared" si="854"/>
        <v>1881.2909361788152</v>
      </c>
      <c r="AAJ15" s="1059">
        <f>(AAI15+AAJ8-AAJ11)-700</f>
        <v>2001.5615145788151</v>
      </c>
      <c r="AAK15" s="1059">
        <f t="shared" si="854"/>
        <v>1732.2451273788147</v>
      </c>
      <c r="AAL15" s="1059">
        <f t="shared" si="854"/>
        <v>2537.5947867788145</v>
      </c>
      <c r="AAM15" s="1059">
        <f t="shared" si="854"/>
        <v>2065.8702117788162</v>
      </c>
      <c r="AAN15" s="1059">
        <f>(AAM15+AAN8-AAN11)-700</f>
        <v>2070.1440722788157</v>
      </c>
      <c r="AAO15" s="1059">
        <f>(AAN15+AAO8-AAO11)-1000</f>
        <v>2627.2628212788168</v>
      </c>
      <c r="AAP15" s="1059">
        <f>(AAO15+AAP8-AAP11)-1000</f>
        <v>2042.536175778816</v>
      </c>
      <c r="AAQ15" s="1059">
        <f t="shared" si="854"/>
        <v>2488.8044805788159</v>
      </c>
      <c r="AAR15" s="1059">
        <f>(AAQ15+AAR8-AAR11)-3500</f>
        <v>2423.1740358788156</v>
      </c>
      <c r="AAS15" s="1059">
        <f>(AAR15+AAS8-AAS11)-2000</f>
        <v>2369.1311803788158</v>
      </c>
      <c r="AAT15" s="1059">
        <f>(AAS15+AAT8-AAT11)-1000</f>
        <v>2173.7233801288157</v>
      </c>
      <c r="AAU15" s="1059">
        <f>(AAT15+AAU8-AAU11)-1000</f>
        <v>2364.599801653816</v>
      </c>
      <c r="AAV15" s="1059">
        <f t="shared" si="854"/>
        <v>1493.4510058538162</v>
      </c>
      <c r="AAW15" s="1059">
        <f t="shared" si="854"/>
        <v>2636.5313849538161</v>
      </c>
      <c r="AAX15" s="1059">
        <f>(AAW15+AAX8-AAX11)-2000</f>
        <v>2368.2976869038175</v>
      </c>
      <c r="AAY15" s="1059">
        <f>(AAX15+AAY8-AAY11)-1000</f>
        <v>2027.1500243038181</v>
      </c>
      <c r="AAZ15" s="1059">
        <f t="shared" si="854"/>
        <v>2483.1098396538191</v>
      </c>
      <c r="ABA15" s="1059">
        <f t="shared" si="854"/>
        <v>2208.7867866038196</v>
      </c>
      <c r="ABB15" s="1059">
        <f t="shared" si="854"/>
        <v>1613.9982618038193</v>
      </c>
      <c r="ABC15" s="1059">
        <f>(ABB15+ABC8-ABC11)+1000</f>
        <v>1810.4852394038198</v>
      </c>
      <c r="ABD15" s="1059">
        <f>(ABC15+ABD8-ABD11)+2000</f>
        <v>1635.4106033038197</v>
      </c>
      <c r="ABE15" s="1059">
        <f>(ABD15+ABE8-ABE11)+1500</f>
        <v>2045.9319953038212</v>
      </c>
      <c r="ABF15" s="1059">
        <f t="shared" si="854"/>
        <v>3005.9215105538224</v>
      </c>
      <c r="ABG15" s="1059">
        <f>(ABF15+ABG8-ABG11)-1000</f>
        <v>3668.9256629288229</v>
      </c>
      <c r="ABH15" s="1059">
        <f t="shared" si="854"/>
        <v>3471.8223219288229</v>
      </c>
      <c r="ABI15" s="1059">
        <f>(ABH15+ABI8-ABI11)+2000</f>
        <v>3050.9367501788238</v>
      </c>
      <c r="ABJ15" s="1059">
        <f>(ABI15+ABJ8-ABJ11)+1000</f>
        <v>3108.2427855288261</v>
      </c>
      <c r="ABK15" s="1059">
        <f>(ABJ15+ABK8-ABK11)+1000</f>
        <v>2789.1540677788271</v>
      </c>
      <c r="ABL15" s="1059">
        <f>(ABK15+ABL8-ABL11)-1000</f>
        <v>3816.0570416788269</v>
      </c>
      <c r="ABM15" s="1059">
        <f>(ABL15+ABM8-ABM11)-1000</f>
        <v>3110.6013444788259</v>
      </c>
      <c r="ABN15" s="1059">
        <f t="shared" si="854"/>
        <v>3483.2085975288282</v>
      </c>
      <c r="ABO15" s="1059">
        <f>(ABN15+ABO8-ABO11)+1500</f>
        <v>2705.7121355288291</v>
      </c>
      <c r="ABP15" s="1059">
        <f t="shared" si="854"/>
        <v>2428.1918882788304</v>
      </c>
      <c r="ABQ15" s="1059">
        <f>(ABP15+ABQ8-ABQ11)+2500</f>
        <v>2397.9142023788299</v>
      </c>
      <c r="ABR15" s="1059">
        <f>(ABQ15+ABR8-ABR11)+1500</f>
        <v>2750.4643496788303</v>
      </c>
      <c r="ABS15" s="1059">
        <f>(ABR15+ABS8-ABS11)+1500</f>
        <v>2768.3591411788311</v>
      </c>
      <c r="ABT15" s="1059">
        <f t="shared" ref="ABT15:ACI15" si="855">(ABS15+ABT8-ABT11)</f>
        <v>3913.2368488788325</v>
      </c>
      <c r="ABU15" s="1059">
        <f t="shared" si="855"/>
        <v>2698.4268818788332</v>
      </c>
      <c r="ABV15" s="1059">
        <f t="shared" si="855"/>
        <v>3239.1551798788332</v>
      </c>
      <c r="ABW15" s="1059">
        <f t="shared" si="855"/>
        <v>3657.5477957788335</v>
      </c>
      <c r="ABX15" s="1059">
        <f>(ABW15+ABX8-ABX11)-3000</f>
        <v>3210.9282632788345</v>
      </c>
      <c r="ABY15" s="1059">
        <f>(ABX15+ABY8-ABY11)-3000</f>
        <v>3993.4931642788342</v>
      </c>
      <c r="ABZ15" s="1059">
        <f t="shared" si="855"/>
        <v>4196.8206419288344</v>
      </c>
      <c r="ACA15" s="1059">
        <f t="shared" si="855"/>
        <v>3617.2956961288346</v>
      </c>
      <c r="ACB15" s="1059">
        <f>(ACA15+ACB8-ACB11)+1500</f>
        <v>2924.1571425288348</v>
      </c>
      <c r="ACC15" s="1080">
        <f t="shared" si="855"/>
        <v>2230.5529660288357</v>
      </c>
      <c r="ACD15" s="1081">
        <f>(ACC15+ACD8-ACD11)+1500</f>
        <v>2377.4270117788365</v>
      </c>
      <c r="ACE15" s="1059">
        <f t="shared" si="855"/>
        <v>3188.8663564288363</v>
      </c>
      <c r="ACF15" s="1059">
        <f t="shared" si="855"/>
        <v>3920.6467443288366</v>
      </c>
      <c r="ACG15" s="1059">
        <f>(ACF15+ACG8-ACG11)-1000</f>
        <v>3698.0795476288367</v>
      </c>
      <c r="ACH15" s="1059">
        <f>(ACG15+ACH8-ACH11)-1000</f>
        <v>3448.688206828836</v>
      </c>
      <c r="ACI15" s="1080">
        <f t="shared" si="855"/>
        <v>2536.3498143288361</v>
      </c>
      <c r="ACJ15" s="1082">
        <f>(ACI15+ACJ8-ACJ11)-400</f>
        <v>2578.5384043288359</v>
      </c>
      <c r="ACK15" s="1082">
        <f>(ACJ15+ACK8-ACK11)</f>
        <v>1981.304368078836</v>
      </c>
      <c r="ACL15" s="1082">
        <f>(ACK15+ACL8-ACL11)-100</f>
        <v>2216.1016120788372</v>
      </c>
      <c r="ACM15" s="1082">
        <f>(ACL15+ACM8-ACM11)+500</f>
        <v>2097.9443920788381</v>
      </c>
      <c r="ACN15" s="1082">
        <f>(ACM15+ACN8-ACN11)-550</f>
        <v>3286.3298132788386</v>
      </c>
      <c r="ACO15" s="1082">
        <f>(ACN15+ACO8-ACO11)</f>
        <v>2154.757449278839</v>
      </c>
      <c r="ACP15" s="1082">
        <f>(ACO15+ACP8-ACP11)-600</f>
        <v>3004.1287192788386</v>
      </c>
      <c r="ACQ15" s="1082">
        <f>(ACP15+ACQ8-ACQ11)+800</f>
        <v>2365.8715602788398</v>
      </c>
      <c r="ACR15" s="1082">
        <f>(ACQ15+ACR8-ACR11)+800</f>
        <v>3677.6517447788392</v>
      </c>
      <c r="ACS15" s="1082">
        <f>(ACR15+ACS8-ACS11)-650</f>
        <v>3960.0280572788397</v>
      </c>
      <c r="ACT15" s="1082">
        <f>(ACS15+ACT8-ACT11)-450</f>
        <v>3516.3331212788398</v>
      </c>
      <c r="ACU15" s="1082">
        <f>(ACT15+ACU8-ACU11)</f>
        <v>4052.682663678841</v>
      </c>
      <c r="ACV15" s="1082">
        <f>(ACU15+ACV8-ACV11)+500</f>
        <v>3017.7912956788423</v>
      </c>
      <c r="ACW15" s="1082">
        <f>(ACV15+ACW8-ACW11)+750</f>
        <v>3017.2375019788415</v>
      </c>
      <c r="ACX15" s="1082">
        <f>(ACW15+ACX8-ACX11)+350</f>
        <v>3420.6475871788407</v>
      </c>
      <c r="ACY15" s="1082">
        <f>(ACX15+ACY8-ACY11)+450</f>
        <v>3093.3748157788432</v>
      </c>
      <c r="ACZ15" s="1082">
        <f>(ACY15+ACZ8-ACZ11)-2300</f>
        <v>3665.1594265788426</v>
      </c>
      <c r="ADA15" s="1082">
        <f>(ACZ15+ADA8-ADA11)-300</f>
        <v>3098.1733865788447</v>
      </c>
      <c r="ADB15" s="1082">
        <f>(ADA15+ADB8-ADB11)+650</f>
        <v>3014.3712025788445</v>
      </c>
      <c r="ADC15" s="1082">
        <f>(ADB15+ADC8-ADC11)-1900</f>
        <v>2526.9781225788465</v>
      </c>
      <c r="ADD15" s="1082">
        <f>(ADC15+ADD8-ADD11)+1400</f>
        <v>2734.7558338788476</v>
      </c>
      <c r="ADE15" s="1082">
        <f>(ADD15+ADE8-ADE11)-1400</f>
        <v>2494.4943471288479</v>
      </c>
      <c r="ADF15" s="1082">
        <f>(ADE15+ADF8-ADF11)-1500</f>
        <v>2571.1312428788497</v>
      </c>
      <c r="ADG15" s="1082">
        <f>(ADF15+ADG8-ADG11)+500</f>
        <v>2553.1382538788512</v>
      </c>
      <c r="ADH15" s="1082">
        <f>(ADG15+ADH8-ADH11)-500</f>
        <v>3286.929514578851</v>
      </c>
      <c r="ADI15" s="1082">
        <f>(ADH15+ADI8-ADI11)</f>
        <v>2506.9864665788518</v>
      </c>
      <c r="ADJ15" s="1082">
        <f>(ADI15+ADJ8-ADJ11)</f>
        <v>3073.4995485788531</v>
      </c>
      <c r="ADK15" s="1082">
        <f>(ADJ15+ADK8-ADK11)</f>
        <v>3056.183322078854</v>
      </c>
      <c r="ADL15" s="1082">
        <f>(ADK15+ADL8-ADL11)+900</f>
        <v>2909.5479490788548</v>
      </c>
      <c r="ADM15" s="1082">
        <f>(ADL15+ADM8-ADM11)-1900</f>
        <v>3055.2556508288544</v>
      </c>
      <c r="ADN15" s="1082">
        <f>(ADM15+ADN8-ADN11)+300</f>
        <v>3269.4615545788547</v>
      </c>
      <c r="ADO15" s="1082">
        <f>(ADN15+ADO8-ADO11)-300</f>
        <v>3294.7180068788548</v>
      </c>
      <c r="ADP15" s="1082">
        <f>(ADO15+ADP8-ADP11)-2300</f>
        <v>3015.7331538788549</v>
      </c>
      <c r="ADQ15" s="1082">
        <f>(ADP15+ADQ8-ADQ11)-1500</f>
        <v>3173.7904764788545</v>
      </c>
      <c r="ADR15" s="1082">
        <f>(ADQ15+ADR8-ADR11)-1500</f>
        <v>3148.8510956788559</v>
      </c>
      <c r="ADS15" s="1082">
        <f>(ADR15+ADS8-ADS11)+500</f>
        <v>3002.5617496788564</v>
      </c>
      <c r="ADT15" s="1082">
        <f>(ADS15+ADT8-ADT11)+500</f>
        <v>3372.7816285788558</v>
      </c>
      <c r="ADU15" s="1082">
        <f>(ADT15+ADU8-ADU11)+2500</f>
        <v>3046.0252943788564</v>
      </c>
      <c r="ADV15" s="1082">
        <f>(ADU15+ADV8-ADV11)+ 100</f>
        <v>3681.8736001288562</v>
      </c>
      <c r="ADW15" s="1082">
        <f>(ADV15+ADW8-ADW11)+ 600</f>
        <v>2884.7672743788571</v>
      </c>
      <c r="ADX15" s="1082">
        <f>(ADW15+ADX8-ADX11)+ 600</f>
        <v>3337.1102737788588</v>
      </c>
      <c r="ADY15" s="1082">
        <f>(ADX15+ADY8-ADY11)+500</f>
        <v>3023.1068806288604</v>
      </c>
      <c r="ADZ15" s="1082">
        <f>(ADY15+ADZ8-ADZ11)</f>
        <v>3186.5564190288605</v>
      </c>
      <c r="AEA15" s="1082">
        <f>(ADZ15+AEA8-AEA11)+1500</f>
        <v>2898.8957226288621</v>
      </c>
      <c r="AEB15" s="1082">
        <f>(AEA15+AEB8-AEB11)</f>
        <v>2958.2447410288642</v>
      </c>
      <c r="AEC15" s="1082">
        <f>(AEB15+AEC8-AEC11)</f>
        <v>2211.1274624288635</v>
      </c>
      <c r="AED15" s="1082">
        <f>(AEC15+AED8-AED11)</f>
        <v>3184.4112126288637</v>
      </c>
      <c r="AEE15" s="1082">
        <f>(AED15+AEE8-AEE11)</f>
        <v>2963.4317075038634</v>
      </c>
      <c r="AEF15" s="1082">
        <f>(AEE15+AEF8-AEF11)-1000</f>
        <v>3107.7089290038639</v>
      </c>
      <c r="AEG15" s="1082">
        <f>(AEF15+AEG8-AEG11)-1000</f>
        <v>1535.4947528538651</v>
      </c>
      <c r="AEH15" s="1082">
        <f>(AEG15+AEH8-AEH11)-1000</f>
        <v>1296.2369864038665</v>
      </c>
      <c r="AEI15" s="1082">
        <f>(AEH15+AEI8-AEI11)+1050</f>
        <v>1800.9452536288672</v>
      </c>
      <c r="AEJ15" s="1082">
        <f>(AEI15+AEJ8-AEJ11)-550</f>
        <v>1962.1737083788685</v>
      </c>
      <c r="AEK15" s="1082">
        <f>(AEJ15+AEK8-AEK11)+700</f>
        <v>1718.4841571788675</v>
      </c>
      <c r="AEL15" s="1082">
        <f>(AEK15+AEL8-AEL11)-850</f>
        <v>2412.529677178869</v>
      </c>
      <c r="AEM15" s="1082">
        <f>(AEL15+AEM8-AEM11)-200</f>
        <v>2128.8292977288693</v>
      </c>
      <c r="AEN15" s="1082">
        <f>(AEM15+AEN8-AEN11)-200</f>
        <v>3472.7707697288715</v>
      </c>
      <c r="AEO15" s="1082">
        <f>(AEN15+AEO8-AEO11)+400</f>
        <v>2315.9404577288733</v>
      </c>
      <c r="AEP15" s="1082">
        <f>(AEO15+AEP8-AEP11)-400</f>
        <v>2734.5404357288753</v>
      </c>
      <c r="AEQ15" s="1082">
        <f>(AEP15+AEQ8-AEQ11)-400</f>
        <v>1526.5162682288756</v>
      </c>
      <c r="AER15" s="1082">
        <f>(AEQ15+AER8-AER11)-1000</f>
        <v>1960.5315934288756</v>
      </c>
      <c r="AES15" s="1082">
        <f>(AER15+AES8-AES11)</f>
        <v>2001.0497086788764</v>
      </c>
      <c r="AET15" s="1082">
        <f>(AES15+AET8-AET11)</f>
        <v>2576.5102016788787</v>
      </c>
      <c r="AEU15" s="1082">
        <f>(AET15+AEU8-AEU11)+1843</f>
        <v>1024.7708156788794</v>
      </c>
      <c r="AEV15" s="1082">
        <f>(AEU15+AEV8-AEV11)-1530</f>
        <v>1316.4562515288808</v>
      </c>
      <c r="AEW15" s="1082">
        <f>(AEV15+AEW8-AEW11)-1241</f>
        <v>1237.0211450288807</v>
      </c>
      <c r="AEX15" s="1082">
        <f>(AEW15+AEX8-AEX11)-1901</f>
        <v>1011.7617125288816</v>
      </c>
      <c r="AEY15" s="1082">
        <f>(AEX15+AEY8-AEY11)+2357</f>
        <v>1813.0244795288818</v>
      </c>
      <c r="AEZ15" s="1082">
        <f>(AEY15+AEZ8-AEZ11)-734</f>
        <v>1293.7273486788818</v>
      </c>
      <c r="AFA15" s="1082">
        <f>(AEZ15+AFA8-AFA11)+3500-6260</f>
        <v>1558.3834114788842</v>
      </c>
      <c r="AFB15" s="1082">
        <f>(AFA15+AFB8-AFB11)+5700-4023</f>
        <v>2036.3495704288853</v>
      </c>
      <c r="AFC15" s="1082">
        <f>(AFB15+AFC8-AFC11)+5700-5908</f>
        <v>2096.8129848038861</v>
      </c>
      <c r="AFD15" s="1082">
        <f>(AFC15+AFD8-AFD11)+4700-5523</f>
        <v>1936.0902063038866</v>
      </c>
      <c r="AFE15" s="1082">
        <f>(AFD15+AFE8-AFE11)+3700-3840</f>
        <v>1746.6198303038873</v>
      </c>
      <c r="AFF15" s="1082">
        <f>(AFE15+AFF8-AFF11)+3800-5228</f>
        <v>1132.4721183038891</v>
      </c>
      <c r="AFG15" s="1082">
        <f>(AFF15+AFG8-AFG11)+5500-3587</f>
        <v>1394.40512630389</v>
      </c>
      <c r="AFH15" s="1082">
        <f>(AFG15+AFH8-AFH11)+4500-4732</f>
        <v>1705.5391423038909</v>
      </c>
      <c r="AFI15" s="1082">
        <f>(AFH15+AFI8-AFI11)+5000-6564</f>
        <v>1569.7837138038904</v>
      </c>
      <c r="AFJ15" s="1082">
        <f>(AFI15+AFJ8-AFJ11)+4600-6051</f>
        <v>1231.3906338038923</v>
      </c>
      <c r="AFK15" s="1082">
        <f>(AFJ15+AFK8-AFK11)+5500-4220</f>
        <v>1101.7414338038934</v>
      </c>
      <c r="AFL15" s="1082">
        <f>(AFK15+AFL8-AFL11)+4500-4952</f>
        <v>1215.8770713038939</v>
      </c>
      <c r="AFM15" s="1082">
        <f>(AFL15+AFM8-AFM11)+1500</f>
        <v>1351.2396400538946</v>
      </c>
      <c r="AFN15" s="1082">
        <f>(AFM15+AFN8-AFN11)-450</f>
        <v>1082.8699213038963</v>
      </c>
      <c r="AFO15" s="1082">
        <f>(AFN15+AFO8-AFO11)+1900</f>
        <v>1107.2271213038975</v>
      </c>
      <c r="AFP15" s="1082">
        <f>(AFO15+AFP8-AFP11)-700</f>
        <v>1093.5525373038981</v>
      </c>
      <c r="AFQ15" s="1082">
        <f>(AFP15+AFQ8-AFQ11)+750</f>
        <v>987.31037730389835</v>
      </c>
      <c r="AFR15" s="1082">
        <f>(AFQ15+AFR8-AFR11)-2070</f>
        <v>856.52541630389806</v>
      </c>
      <c r="AFS15" s="1082">
        <f>(AFR15+AFS8-AFS11)+1800</f>
        <v>777.22475540389769</v>
      </c>
      <c r="AFT15" s="1082">
        <f>(AFS15+AFT8-AFT11)-900</f>
        <v>1254.6560514038974</v>
      </c>
      <c r="AFU15" s="1082">
        <f>(AFT15+AFU8-AFU11)</f>
        <v>806.73609940389724</v>
      </c>
      <c r="AFV15" s="1082">
        <f>(AFU15+AFV8-AFV11)-1080</f>
        <v>1081.6027954038982</v>
      </c>
      <c r="AFW15" s="1082">
        <f>(AFV15+AFW8-AFW11)+2300</f>
        <v>830.43215440389849</v>
      </c>
      <c r="AFX15" s="1081">
        <f>(AFW15+AFX8-AFX11)-2300</f>
        <v>1086.9822379038997</v>
      </c>
      <c r="AFY15" s="1081">
        <f>(AFX15+AFY8-AFY11)+600</f>
        <v>2879.9186279039004</v>
      </c>
      <c r="AFZ15" s="1081">
        <f>(AFY15+AFZ8-AFZ11)-590</f>
        <v>2990.8799959039025</v>
      </c>
      <c r="AGA15" s="1081">
        <f>(AFZ15+AGA8-AGA11)-590</f>
        <v>1568.715131903904</v>
      </c>
      <c r="AGB15" s="1081">
        <f>(AGA15+AGB8-AGB11)</f>
        <v>2612.4230494039039</v>
      </c>
      <c r="AGC15" s="1081">
        <f>(AGB15+AGC8-AGC11)-1300</f>
        <v>1158.1438599039029</v>
      </c>
      <c r="AGD15" s="1081">
        <f>(AGC15+AGD8-AGD11)-100</f>
        <v>1969.2489161539033</v>
      </c>
      <c r="AGE15" s="1083">
        <f>(AGD15+AGE8-AGE11)-100</f>
        <v>1033.6512216539049</v>
      </c>
      <c r="AGF15" s="1082">
        <f>(AGE15+AGF8-AGF11)-1000</f>
        <v>1793.2602139039063</v>
      </c>
      <c r="AGG15" s="1082">
        <f>(AGF15+AGG8-AGG11)+500</f>
        <v>1566.6257389039074</v>
      </c>
      <c r="AGH15" s="1082">
        <f>(AGG15+AGH8-AGH11)+200</f>
        <v>1853.9534429039086</v>
      </c>
      <c r="AGI15" s="1082">
        <f>(AGH15+AGI8-AGI11)+200</f>
        <v>1188.5529591539089</v>
      </c>
      <c r="AGJ15" s="1082">
        <f>(AGI15+AGJ8-AGJ11)</f>
        <v>1433.4399676539106</v>
      </c>
      <c r="AGK15" s="1082">
        <f>(AGJ15+AGK9-AGK11)</f>
        <v>2900.4399676539106</v>
      </c>
      <c r="AGL15" s="1082">
        <f>(AGK15+AGL9-AGL11)-500</f>
        <v>1709.4399676539106</v>
      </c>
      <c r="AGM15" s="1082">
        <f>(AGL15+AGM9-AGM11)-500</f>
        <v>1747.4399676539106</v>
      </c>
      <c r="AGN15" s="1082">
        <f>(AGM15+AGN9-AGN11)+600</f>
        <v>1119.4399676539106</v>
      </c>
      <c r="AGO15" s="1082">
        <f>(AGN15+AGO9-AGO11)+2500</f>
        <v>1147.4399676539106</v>
      </c>
      <c r="AGP15" s="1082">
        <f>(AGO15+AGP9-AGP11)+1250</f>
        <v>1206.4399676539106</v>
      </c>
      <c r="AGQ15" s="1082">
        <f>(AGP15+AGQ9-AGQ11)+2600</f>
        <v>1125.4399676539106</v>
      </c>
      <c r="AGR15" s="1082">
        <f>(AGQ15+AGR9-AGR11)+1600</f>
        <v>1807.4399676539106</v>
      </c>
      <c r="AGS15" s="1082">
        <f>(AGR15+AGS9-AGS11)+1000</f>
        <v>1786.4399676539106</v>
      </c>
      <c r="AGT15" s="1082">
        <f>(AGS15+AGT9-AGT11)+100</f>
        <v>1435.4399676539106</v>
      </c>
      <c r="AGU15" s="1082">
        <f>(AGT15+AGU9-AGU11)+1000</f>
        <v>1335.4399676539106</v>
      </c>
      <c r="AGV15" s="1082">
        <f>(AGU15+AGV9-AGV11)+100</f>
        <v>1343.4399676539106</v>
      </c>
      <c r="AGW15" s="1082">
        <f>(AGV15+AGW9-AGW11)+800</f>
        <v>1318.4399676539106</v>
      </c>
      <c r="AGX15" s="1082">
        <f>(AGW15+AGX9-AGX11)+1800</f>
        <v>1329.4399676539106</v>
      </c>
      <c r="AGY15" s="1082">
        <f>(AGX15+AGY9-AGY11)</f>
        <v>1548.4399676539106</v>
      </c>
      <c r="AGZ15" s="1082">
        <f>(AGY15+AGZ9-AGZ11)+1700</f>
        <v>1050.4399676539106</v>
      </c>
      <c r="AHA15" s="1082">
        <f>(AGZ15+AHA9-AHA11)+300</f>
        <v>1114.4399676539106</v>
      </c>
      <c r="AHB15" s="1082">
        <f>(AGY15+AHB9-AHB11)-300</f>
        <v>2030.4399676539106</v>
      </c>
      <c r="AHC15" s="1082">
        <f>(AHB15+AHC9-AHC11)</f>
        <v>1514.4399676539106</v>
      </c>
      <c r="AHD15" s="1082">
        <f>(AGZ15+AHD9-AHD11)-300+1000</f>
        <v>1059.4399676539106</v>
      </c>
      <c r="AHE15" s="1082">
        <f>(AHC15+AHE9-AHE11)+700</f>
        <v>1558.4399676539106</v>
      </c>
      <c r="AHF15" s="1082">
        <f>(AHE15+AHF9-AHF11)+900</f>
        <v>1645.4399676539106</v>
      </c>
      <c r="AHG15" s="1082">
        <f>(AHF15+AHG9-AHG11)+900+1000</f>
        <v>1324.4399676539106</v>
      </c>
      <c r="AHH15" s="1082">
        <f>(AHG15+AHH9-AHH11)</f>
        <v>1186.4399676539106</v>
      </c>
      <c r="AHI15" s="1082">
        <f>(AHH15+AHI9-AHI11)+2560</f>
        <v>1075.4399676539106</v>
      </c>
      <c r="AHJ15" s="1082">
        <f>(AHH15+AHJ9-AHJ11)+1220</f>
        <v>1131.4399676539106</v>
      </c>
      <c r="AHK15" s="1082">
        <f>(AHH15+AHK9-AHK11)+2520</f>
        <v>1152.4399676539106</v>
      </c>
      <c r="AHL15" s="1082">
        <f>(AHI15+AHL9-AHL11)+250</f>
        <v>1161.4399676539106</v>
      </c>
      <c r="AHM15" s="1082">
        <f>(AHJ15+AHM9-AHM11)+1700</f>
        <v>1169.4399676539106</v>
      </c>
      <c r="AHN15" s="1082">
        <f>(AHK15+AHN9-AHN11)</f>
        <v>1428.4399676539106</v>
      </c>
      <c r="AHO15" s="1082">
        <f>(AHL15+AHO9-AHO11)+2000</f>
        <v>1088.4399676539106</v>
      </c>
      <c r="AHP15" s="1082">
        <f>(AHM15+AHP9-AHP11)+2500</f>
        <v>1212.4399676539106</v>
      </c>
      <c r="AHQ15" s="1082">
        <f>(AHN15+AHQ9-AHQ11)+2800</f>
        <v>1215.4399676539106</v>
      </c>
      <c r="AHR15" s="1082">
        <f>(AHO15+AHR9-AHR11)+1800</f>
        <v>1181.4399676539106</v>
      </c>
      <c r="AHS15" s="1082">
        <f>(AHP15+AHS9-AHS11)+2250</f>
        <v>1146.4399676539106</v>
      </c>
      <c r="AHT15" s="1082">
        <f>(AHQ15+AHT9-AHT11)-500</f>
        <v>981.43996765391057</v>
      </c>
      <c r="AHU15" s="1082">
        <f>(AHR15+AHU9-AHU11)+2500</f>
        <v>893.43996765391057</v>
      </c>
      <c r="AHV15" s="1082">
        <f>(AHS15+AHV9-AHV11)+2000</f>
        <v>847.43996765391057</v>
      </c>
      <c r="AHW15" s="1082">
        <f>(AHT15+AHW9-AHW11)+3100</f>
        <v>800.43996765391057</v>
      </c>
      <c r="AHX15" s="1082">
        <f>(AHU15+AHX9-AHX11)+1000</f>
        <v>892.43996765391057</v>
      </c>
      <c r="AHY15" s="1082">
        <f>(AHV15+AHY9-AHY11)-2100</f>
        <v>881.43996765391057</v>
      </c>
      <c r="AHZ15" s="1082">
        <f>(AHW15+AHZ9-AHZ11)+3800</f>
        <v>950.43996765391057</v>
      </c>
      <c r="AIA15" s="1082">
        <f>(AHX15+AIA9-AIA11)+800</f>
        <v>1015.4399676539106</v>
      </c>
      <c r="AIB15" s="1082">
        <f>(AHY15+AIB9-AIB11)-2000</f>
        <v>1085.4399676539106</v>
      </c>
      <c r="AIC15" s="1082">
        <f>(AHZ15+AIC9-AIC11)+3100</f>
        <v>1016.4399676539106</v>
      </c>
      <c r="AID15" s="1082">
        <f>(AIA15+AID9-AID11)+2700</f>
        <v>1512.4399676539106</v>
      </c>
      <c r="AIE15" s="1082">
        <f>(AIB15+AIE9-AIE11)+2400</f>
        <v>1007.4399676539106</v>
      </c>
      <c r="AIF15" s="1082">
        <f>(AIC15+AIF9-AIF11)+1690</f>
        <v>1041.4399676539106</v>
      </c>
      <c r="AIG15" s="1082">
        <f>(AID15+AIG9-AIG11)+3200</f>
        <v>1077.4399676539106</v>
      </c>
      <c r="AIH15" s="1082">
        <f>(AIE15+AIH9-AIH11)+1700</f>
        <v>1283.4399676539106</v>
      </c>
      <c r="AII15" s="1082">
        <f>(AIF15+AII9-AII11)+2000</f>
        <v>1052.4399676539106</v>
      </c>
      <c r="AIJ15" s="1082">
        <f>(AIG15+AIJ9-AIJ11)+820</f>
        <v>1006.4399676539106</v>
      </c>
      <c r="AIK15" s="1082">
        <f>(AIH15+AIK9-AIK11)+2500</f>
        <v>1021.4399676539106</v>
      </c>
      <c r="AIL15" s="1082">
        <f>(AII15+AIL9-AIL11)-1000</f>
        <v>948.43996765391057</v>
      </c>
      <c r="AIM15" s="1082">
        <f>(AIJ15+AIM9-AIM11)+2900</f>
        <v>965.43996765391057</v>
      </c>
      <c r="AIN15" s="1082">
        <f>(AIK15+AIN9-AIN11)+2000</f>
        <v>1257.4399676539106</v>
      </c>
      <c r="AIO15" s="1082">
        <f>(AIL15+AIO9-AIO11)+3300</f>
        <v>1010.4399676539106</v>
      </c>
      <c r="AIP15" s="1082">
        <f>(AIM15+AIP9-AIP11)+2500</f>
        <v>955.43996765391057</v>
      </c>
      <c r="AIQ15" s="1082">
        <f>(AIN15+AIQ9-AIQ11)+1900</f>
        <v>883.43996765391057</v>
      </c>
      <c r="AIR15" s="1082">
        <f>(AIO15+AIR9-AIR11)</f>
        <v>938.43996765391057</v>
      </c>
      <c r="AIS15" s="1082">
        <f>(AIP15+AIS9-AIS11)+1100</f>
        <v>851.43996765391057</v>
      </c>
      <c r="AIT15" s="1082">
        <f>(AIQ15+AIT9-AIT11)+1300</f>
        <v>932.43996765391057</v>
      </c>
      <c r="AIU15" s="1082">
        <f>(AIR15+AIU9-AIU11)+1300</f>
        <v>836.43996765391057</v>
      </c>
      <c r="AIV15" s="1082">
        <f>(AIS15+AIV9-AIV11)+1350</f>
        <v>868.43996765391057</v>
      </c>
      <c r="AIW15" s="1082">
        <f>(AIT15+AIW9-AIW11)+3500</f>
        <v>724.43996765391057</v>
      </c>
      <c r="AIX15" s="1082">
        <f>(AIU15+AIX9-AIX11)+2500</f>
        <v>1872.4399676539106</v>
      </c>
      <c r="AIY15" s="1082">
        <f>(AIV15+AIY9-AIY11)+2500</f>
        <v>1165.4399676539106</v>
      </c>
      <c r="AIZ15" s="1082">
        <f>(AIW15+AIZ9-AIZ11)+3300</f>
        <v>837.43996765391057</v>
      </c>
      <c r="AJA15" s="1082">
        <f>(AIX15+AJA9-AJA11)</f>
        <v>995.43996765391057</v>
      </c>
      <c r="AJB15" s="1082">
        <f>(AIY15+AJB9-AJB11)+1100</f>
        <v>838.43996765391057</v>
      </c>
      <c r="AJC15" s="1082">
        <f>(AIZ15+AJC9-AJC11)+3400</f>
        <v>946.43996765391057</v>
      </c>
      <c r="AJD15" s="1082">
        <f>(AJA15+AJD9-AJD11)+3000</f>
        <v>970.43996765391057</v>
      </c>
      <c r="AJE15" s="1082">
        <f>(AJB15+AJE9-AJE11)+1000</f>
        <v>1007.4399676539106</v>
      </c>
      <c r="AJF15" s="1082">
        <f>(AJC15+AJF9-AJF11)</f>
        <v>1056.4399676539106</v>
      </c>
      <c r="AJG15" s="1082">
        <f>(AJD15+AJG9-AJG11)+1450</f>
        <v>877.43996765391057</v>
      </c>
      <c r="AJH15" s="1082">
        <f>(AJE15+AJH9-AJH11)+2900</f>
        <v>892.43996765391057</v>
      </c>
      <c r="AJI15" s="1082">
        <f>(AJF15+AJI9-AJI11)+2200</f>
        <v>900.43996765391057</v>
      </c>
      <c r="AJJ15" s="1082">
        <f>(AJG15+AJJ9-AJJ11)+2560</f>
        <v>860.43996765391057</v>
      </c>
      <c r="AJK15" s="1082">
        <f>(AJH15+AJK9-AJK11)+1560</f>
        <v>1097.4399676539106</v>
      </c>
      <c r="AJL15" s="1082">
        <f>(AJI15+AJL9-AJL11)+2360</f>
        <v>946.43996765391057</v>
      </c>
      <c r="AJM15" s="1082">
        <f>(AJJ15+AJM9-AJM11)+3860</f>
        <v>792.43996765391057</v>
      </c>
      <c r="AJN15" s="1082">
        <f>(AJK15+AJN9-AJN11)+1260</f>
        <v>856.43996765391057</v>
      </c>
      <c r="AJO15" s="1082">
        <f>(AJL15+AJO9-AJO11)-600</f>
        <v>938.43996765391057</v>
      </c>
      <c r="AJP15" s="1082">
        <f>(AJM15+AJP9-AJP11)+2700</f>
        <v>752.43996765391057</v>
      </c>
      <c r="AJQ15" s="1082">
        <f>(AJN15+AJQ9-AJQ11)+1000</f>
        <v>894.43996765391057</v>
      </c>
      <c r="AJR15" s="1082">
        <f>(AJO15+AJR9-AJR11)+3800</f>
        <v>654.43996765391057</v>
      </c>
      <c r="AJS15" s="1082">
        <f>(AJP15+AJS9-AJS11)+300</f>
        <v>724.43996765391057</v>
      </c>
      <c r="AJT15" s="1082">
        <f>(AJQ15+AJT9-AJT11)+2000</f>
        <v>400.43996765391057</v>
      </c>
      <c r="AJU15" s="1082">
        <f>(AJR15+AJU9-AJU11)+1200</f>
        <v>762.43996765391057</v>
      </c>
      <c r="AJV15" s="1082">
        <f>(AJS15+AJV9-AJV11)+1600</f>
        <v>786.43996765391057</v>
      </c>
      <c r="AJW15" s="1082">
        <f>(AJT15+AJW9-AJW11)+1100</f>
        <v>750.43996765391057</v>
      </c>
      <c r="AJX15" s="1082">
        <f>(AJU15+AJX9-AJX11)+1400</f>
        <v>788.43996765391057</v>
      </c>
      <c r="AJY15" s="1082">
        <f>(AJV15+AJY9-AJY11)</f>
        <v>861.43996765391057</v>
      </c>
      <c r="AJZ15" s="1082">
        <f>(AJW15+AJZ9-AJZ11)+1200</f>
        <v>853.43996765391057</v>
      </c>
      <c r="AKA15" s="1082">
        <f>(AJX15+AKA9-AKA11)+2300</f>
        <v>642.43996765391057</v>
      </c>
      <c r="AKB15" s="1082">
        <f>(AJY15+AKB9-AKB11)+500</f>
        <v>897.43996765391057</v>
      </c>
      <c r="AKC15" s="1082">
        <f>(AJZ15+AKC9-AKC11)+700</f>
        <v>952.43996765391057</v>
      </c>
      <c r="AKD15" s="1082">
        <f>(AKA15+AKD9-AKD11)+2700</f>
        <v>1289.4399676539106</v>
      </c>
      <c r="AKE15" s="1082">
        <f>(AKB15+AKE9-AKE11)+1700</f>
        <v>1429.4399676539106</v>
      </c>
      <c r="AKF15" s="1082">
        <f>(AKC15+AKF9-AKF11)+1700</f>
        <v>1370.4399676539106</v>
      </c>
      <c r="AKG15" s="1082">
        <f>(AKD15+AKG9-AKG11)+1700</f>
        <v>864.43996765391057</v>
      </c>
      <c r="AKH15" s="1082">
        <f>(AKE15+AKH9-AKH11)</f>
        <v>787.43996765391057</v>
      </c>
      <c r="AKI15" s="1082">
        <f>(AKF15+AKI9-AKI11)+2200</f>
        <v>616.43996765391057</v>
      </c>
      <c r="AKJ15" s="1082">
        <f>(AKG15+AKJ9-AKJ11)+2700</f>
        <v>719.43996765391057</v>
      </c>
      <c r="AKK15" s="1082">
        <f>(AKH15+AKK9-AKK11)+2000</f>
        <v>986.43996765391057</v>
      </c>
      <c r="AKL15" s="1082">
        <f t="shared" ref="AKL15:AKQ15" si="856">(AKI15+AKL9-AKL11)+3200</f>
        <v>1040.4399676539106</v>
      </c>
      <c r="AKM15" s="1082">
        <f t="shared" si="856"/>
        <v>3004.4399676539106</v>
      </c>
      <c r="AKN15" s="1082">
        <f t="shared" si="856"/>
        <v>2473.4399676539106</v>
      </c>
      <c r="AKO15" s="1082">
        <f t="shared" si="856"/>
        <v>1762.4399676539106</v>
      </c>
      <c r="AKP15" s="1082">
        <f t="shared" si="856"/>
        <v>4471.4399676539106</v>
      </c>
      <c r="AKQ15" s="1082">
        <f t="shared" si="856"/>
        <v>1974.4399676539106</v>
      </c>
      <c r="AKR15" s="1082">
        <f>(AKO15+AKR9-AKR11)+1200</f>
        <v>1839.4399676539106</v>
      </c>
      <c r="AKS15" s="1082">
        <f>(AKP15+AKS9-AKS11)+1200</f>
        <v>1339.4399676539106</v>
      </c>
      <c r="AKT15" s="1082">
        <f>(AKQ15+AKT9-AKT11)+1000</f>
        <v>1996.4399676539106</v>
      </c>
      <c r="AKU15" s="1082">
        <f>(AKR15+AKU9-AKU11)+3800</f>
        <v>1938.4399676539106</v>
      </c>
      <c r="AKV15" s="1082">
        <f>(AKS15+AKV9-AKV11)+4800</f>
        <v>1769.4399676539106</v>
      </c>
      <c r="AKW15" s="1082">
        <f>(AKT15+AKW9-AKW11)</f>
        <v>1998.4399676539106</v>
      </c>
      <c r="AKX15" s="1082">
        <f>(AKU15+AKX9-AKX11)+1000</f>
        <v>2397.4399676539106</v>
      </c>
      <c r="AKY15" s="1082">
        <f>(AKV15+AKY9-AKY11)+3000</f>
        <v>2782.4399676539106</v>
      </c>
      <c r="AKZ15" s="1082">
        <f>(AKW15+AKZ9-AKZ11)+1500</f>
        <v>2862.4399676539106</v>
      </c>
      <c r="ALA15" s="1082">
        <f>(AKX15+ALA9-ALA11)+3000</f>
        <v>2381.4399676539106</v>
      </c>
      <c r="ALB15" s="1082">
        <f>(AKY15+ALB9-ALB11)+2000</f>
        <v>3692.4399676539106</v>
      </c>
      <c r="ALC15" s="1082">
        <f>(AKZ15+ALC9-ALC11)+2000</f>
        <v>2864.4399676539106</v>
      </c>
      <c r="ALD15" s="1082">
        <f>(ALA15+ALD9-ALD11)+1000</f>
        <v>3561.4399676539106</v>
      </c>
      <c r="ALE15" s="1082">
        <f>(ALB15+ALE9-ALE11)</f>
        <v>2395.4399676539106</v>
      </c>
      <c r="ALF15" s="1082">
        <f>(ALC15+ALF9-ALF11)</f>
        <v>2460.4399676539106</v>
      </c>
      <c r="ALG15" s="1082">
        <f>(ALD15+ALG9-ALG11)+1600</f>
        <v>1216.4399676539106</v>
      </c>
      <c r="ALH15" s="1082">
        <f>(ALE15+ALH9-ALH11)+2600</f>
        <v>1609.4399676539106</v>
      </c>
      <c r="ALI15" s="1082">
        <f>(ALF15+ALI9-ALI11)+5000</f>
        <v>1746.4399676539106</v>
      </c>
      <c r="ALJ15" s="1082">
        <f>(ALG15+ALJ9-ALJ11)+2000</f>
        <v>1074.4399676539106</v>
      </c>
      <c r="ALK15" s="1082">
        <f>(ALH15+ALK9-ALK11)+4500</f>
        <v>1272.4399676539106</v>
      </c>
      <c r="ALL15" s="1082">
        <f>(ALI15+ALL9-ALL11)+1000</f>
        <v>774.43996765391057</v>
      </c>
      <c r="ALM15" s="1082">
        <f>(ALJ15+ALM9-ALM11)+3500</f>
        <v>701.43996765391057</v>
      </c>
      <c r="ALN15" s="1082">
        <f>(ALK15+ALN9-ALN11)+200</f>
        <v>1685.4399676539106</v>
      </c>
      <c r="ALO15" s="1082">
        <f>(ALL15+ALO9-ALO11)+6000</f>
        <v>3794.4399676539106</v>
      </c>
      <c r="ALP15" s="1082">
        <f>(ALM15+ALP9-ALP11)+4000</f>
        <v>3103.4399676539106</v>
      </c>
      <c r="ALQ15" s="1082">
        <f>(ALN15+ALQ9-ALQ11)+4000</f>
        <v>2962.4399676539106</v>
      </c>
      <c r="ALR15" s="1082">
        <f t="shared" ref="ALR15:ALX15" si="857">(ALO15+ALR9-ALR11)+1000</f>
        <v>3132.4399676539106</v>
      </c>
      <c r="ALS15" s="1082">
        <f t="shared" si="857"/>
        <v>2024.4399676539106</v>
      </c>
      <c r="ALT15" s="1082">
        <f t="shared" si="857"/>
        <v>3407.4399676539106</v>
      </c>
      <c r="ALU15" s="1082">
        <f t="shared" si="857"/>
        <v>2063.4399676539106</v>
      </c>
      <c r="ALV15" s="1082">
        <f t="shared" si="857"/>
        <v>1696.4399676539106</v>
      </c>
      <c r="ALW15" s="1082">
        <f t="shared" si="857"/>
        <v>1978.4399676539106</v>
      </c>
      <c r="ALX15" s="1082">
        <f t="shared" si="857"/>
        <v>1575.4399676539106</v>
      </c>
      <c r="ALY15" s="1082">
        <f>(ALV15+ALY9-ALY11)+3000</f>
        <v>1060.4399676539106</v>
      </c>
      <c r="ALZ15" s="1082">
        <f>(ALW15+ALZ9-ALZ11)+1000</f>
        <v>995.43996765391057</v>
      </c>
      <c r="AMA15" s="1082">
        <f>(ALX15+AMA9-AMA11)+1500</f>
        <v>596.43996765391057</v>
      </c>
      <c r="AMB15" s="1082">
        <f>(ALY15+AMB9-AMB11)+3500</f>
        <v>1202.4399676539106</v>
      </c>
      <c r="AMC15" s="1082">
        <f>(ALZ15+AMC9-AMC11)+3500</f>
        <v>1801.4399676539106</v>
      </c>
      <c r="AMD15" s="1082">
        <f>(AMA15+AMD9-AMD11)+4000</f>
        <v>691.43996765391057</v>
      </c>
      <c r="AME15" s="1082">
        <f>(AMB15+AME9-AME11)+3500</f>
        <v>1941.4399676539106</v>
      </c>
      <c r="AMF15" s="1082">
        <f>(AMC15+AMF9-AMF11)-300</f>
        <v>314.43996765391057</v>
      </c>
      <c r="AMG15" s="1082">
        <f>(AMD15+AMG9-AMG11)+1000</f>
        <v>143.43996765391057</v>
      </c>
      <c r="AMH15" s="1082">
        <f>(AME15+AMH9-AMH11)-4000</f>
        <v>2524.4399676539106</v>
      </c>
      <c r="AMI15" s="1082">
        <f>(AMF15+AMI9-AMI11)+3800</f>
        <v>1094.4399676539106</v>
      </c>
      <c r="AMJ15" s="1082">
        <f>(AMG15+AMJ9-AMJ11)+6000</f>
        <v>1330.4399676539106</v>
      </c>
      <c r="AMK15" s="1082">
        <f>(AMH15+AMK9-AMK11)+3000</f>
        <v>2772.4399676539106</v>
      </c>
      <c r="AML15" s="1082">
        <f>(AMI15+AML9-AML11)+3000</f>
        <v>1437.4399676539106</v>
      </c>
      <c r="AMM15" s="1082">
        <f>(AMJ15+AMM9-AMM11)+3000</f>
        <v>343.43996765391057</v>
      </c>
      <c r="AMN15" s="1082">
        <f>(AMK15+AMN9-AMN11)+1000</f>
        <v>1634.4399676539106</v>
      </c>
      <c r="AMO15" s="1082">
        <f>(AML15+AMO9-AMO11)+4000</f>
        <v>1780.4399676539106</v>
      </c>
      <c r="AMP15" s="1082">
        <f>(AMO15+AMP9-AMP11)+4000</f>
        <v>1592.4399676539106</v>
      </c>
      <c r="AMQ15" s="1082">
        <f>(AMP15+AMQ9-AMQ11)+4000</f>
        <v>2575.4399676539106</v>
      </c>
      <c r="AMR15" s="1082">
        <f>(AMQ15+AMR9-AMR11)+4000</f>
        <v>4033.4399676539106</v>
      </c>
      <c r="AMS15" s="1082">
        <f>(AMR15+AMS9-AMS11)</f>
        <v>6293.4399676539106</v>
      </c>
      <c r="AMT15" s="1082">
        <f>(AMS15+AMT9-AMT11)</f>
        <v>4546.4399676539106</v>
      </c>
      <c r="AMU15" s="1082">
        <f>(AMT15+AMU9-AMU11)</f>
        <v>2689.4399676539106</v>
      </c>
      <c r="AMV15" s="1082">
        <f>(AMU15+AMV9-AMV11)</f>
        <v>801.43996765391057</v>
      </c>
      <c r="AMW15" s="1082">
        <f>(AMV15+AMW9-AMW11)+3500</f>
        <v>1270.4399676539106</v>
      </c>
      <c r="AMX15" s="1082">
        <f>(AMW15+AMX9-AMX11)+2500</f>
        <v>1155.4399676539106</v>
      </c>
      <c r="AMY15" s="1082">
        <f>(AMX15+AMY9-AMY11)+4800</f>
        <v>1119.4399676539106</v>
      </c>
      <c r="AMZ15" s="1082">
        <f>(AMY15+AMZ9-AMZ11)+3400</f>
        <v>1426.4399676539106</v>
      </c>
      <c r="ANA15" s="1082">
        <f>(AMZ15+ANA9-ANA11)+4800</f>
        <v>960.43996765391057</v>
      </c>
      <c r="ANB15" s="1082">
        <f>(ANA15+ANB9-ANB11)+3200</f>
        <v>817.43996765391057</v>
      </c>
      <c r="ANC15" s="1082">
        <f>(ANB15+ANC9-ANC11)+5200</f>
        <v>1692.4399676539106</v>
      </c>
      <c r="AND15" s="1082">
        <f>(ANC15+AND9-AND11)+4000</f>
        <v>1647.4399676539106</v>
      </c>
      <c r="ANE15" s="1082">
        <f>(AND15+ANE9-ANE11)+4000</f>
        <v>1210.4399676539106</v>
      </c>
      <c r="ANF15" s="1082">
        <f>(ANE15+ANF9-ANF11)+1500</f>
        <v>1397.4399676539106</v>
      </c>
      <c r="ANG15" s="1082">
        <f>(ANF15+ANG9-ANG11)+1500</f>
        <v>397.43996765391057</v>
      </c>
      <c r="ANH15" s="1082">
        <f>(ANG15+ANH9-ANH11)+2500</f>
        <v>834.43996765391057</v>
      </c>
      <c r="ANI15" s="1082">
        <f>(ANH15+ANI9-ANI11)+2500</f>
        <v>750.43996765391057</v>
      </c>
      <c r="ANJ15" s="1082">
        <f>(ANI15+ANJ9-ANJ11)+4500</f>
        <v>615.43996765391057</v>
      </c>
      <c r="ANK15" s="1082">
        <f>(ANJ15+ANK9-ANK11)+600</f>
        <v>543.43996765391057</v>
      </c>
      <c r="ANL15" s="1082">
        <f>(ANK15+ANL9-ANL11)+2400</f>
        <v>435.43996765391057</v>
      </c>
      <c r="ANM15" s="1082">
        <f>(ANL15+ANM9-ANM11)+2400</f>
        <v>288.43996765391057</v>
      </c>
      <c r="ANN15" s="1082">
        <f>(ANM15+ANN9-ANN11)+1800</f>
        <v>444.43996765391057</v>
      </c>
      <c r="ANO15" s="1082">
        <f>(ANN15+ANO9-ANO11)+2200</f>
        <v>158.43996765391057</v>
      </c>
      <c r="ANP15" s="1082">
        <f>(ANO15+ANP9-ANP11)+3500</f>
        <v>208.43996765391057</v>
      </c>
      <c r="ANQ15" s="1082">
        <f>(ANP15+ANQ9-ANQ11)</f>
        <v>641.43996765391057</v>
      </c>
      <c r="ANR15" s="1082">
        <f>(ANQ15+ANR9-ANR11)+1600</f>
        <v>898.43996765391057</v>
      </c>
      <c r="ANS15" s="1082">
        <f>(ANR15+ANS9-ANS11)+1600</f>
        <v>1202.4399676539106</v>
      </c>
      <c r="ANT15" s="1082">
        <f>(ANS15+ANT9-ANT11)+1600</f>
        <v>170.43996765391057</v>
      </c>
      <c r="ANU15" s="1082">
        <f>(ANT15+ANU9-ANU11)+5000</f>
        <v>314.43996765391057</v>
      </c>
      <c r="ANV15" s="1082">
        <f>(ANU15+ANV9-ANV11)+1200</f>
        <v>534.43996765391057</v>
      </c>
      <c r="ANW15" s="1082">
        <f>(ANV15+ANW9-ANW11)+4800</f>
        <v>1000.4399676539106</v>
      </c>
      <c r="ANX15" s="1082">
        <f>(ANW15+ANX9-ANX11)+1600</f>
        <v>951.43996765391057</v>
      </c>
      <c r="ANY15" s="1082">
        <f>(ANX15+ANY9-ANY11)+2600</f>
        <v>879.43996765391057</v>
      </c>
      <c r="ANZ15" s="1082">
        <f>(ANY15+ANZ9-ANZ11)+2000</f>
        <v>620.43996765391057</v>
      </c>
      <c r="AOA15" s="1082">
        <f>(ANZ15+AOA9-AOA11)+2000</f>
        <v>342.43996765391057</v>
      </c>
      <c r="AOB15" s="1082">
        <f>(AOA15+AOB9-AOB11)+4000</f>
        <v>305.43996765391057</v>
      </c>
      <c r="AOC15" s="1082">
        <f>(AOB15+AOC9-AOC11)+2000</f>
        <v>103.43996765391057</v>
      </c>
      <c r="AOD15" s="1082">
        <f>(AOC15+AOD9-AOD11)+2000</f>
        <v>610.43996765391057</v>
      </c>
      <c r="AOE15" s="1082">
        <f>(AOD15+AOE9-AOE11)+2000</f>
        <v>669.43996765391057</v>
      </c>
      <c r="AOF15" s="1082">
        <f>(AOE15+AOF9-AOF11)+2000</f>
        <v>2379.4399676539106</v>
      </c>
      <c r="AOG15" s="1082">
        <f>(AOF15+AOG9-AOG11)+1</f>
        <v>1117.4399676539106</v>
      </c>
      <c r="AOH15" s="1082">
        <f>(AOG15+AOH9-AOH11)+2000</f>
        <v>959.43996765391057</v>
      </c>
      <c r="AOI15" s="1082">
        <f>(AOH15+AOI9-AOI11)+1000</f>
        <v>1285.4399676539106</v>
      </c>
      <c r="AOJ15" s="1082">
        <f>(AOI15+AOJ9-AOJ11)+1000</f>
        <v>713.43996765391057</v>
      </c>
      <c r="AOK15" s="1082">
        <f>(AOJ15+AOK9-AOK11)+2000</f>
        <v>913.43996765391057</v>
      </c>
      <c r="AOL15" s="1082">
        <f>(AOK15+AOL9-AOL11)+3000</f>
        <v>807.43996765391057</v>
      </c>
      <c r="AOM15" s="1082">
        <f>(AOL15+AOM9-AOM11)+4000</f>
        <v>774.43996765391057</v>
      </c>
      <c r="AON15" s="1082">
        <f>(AOM15+AON9-AON11)+5500</f>
        <v>847.43996765391057</v>
      </c>
      <c r="AOO15" s="1082">
        <f>(AON15+AOO9-AOO11)+3500</f>
        <v>978.43996765391057</v>
      </c>
      <c r="AOP15" s="1082">
        <f>(AOO15+AOP9-AOP11)+3500</f>
        <v>701.43996765391057</v>
      </c>
      <c r="AOQ15" s="1082">
        <f>(AOP15+AOQ9-AOQ11)+4000</f>
        <v>693.43996765391057</v>
      </c>
      <c r="AOR15" s="1082">
        <f>(AOQ15+AOR9-AOR11)+2500</f>
        <v>863.43996765391057</v>
      </c>
      <c r="AOS15" s="1082">
        <f>(AOR15+AOS9-AOS11)+4000</f>
        <v>1096.4399676539106</v>
      </c>
      <c r="AOT15" s="1082">
        <f>(AOS15+AOT9-AOT11)+3000</f>
        <v>1169.4399676539106</v>
      </c>
      <c r="AOU15" s="1082">
        <f>(AOT15+AOU9-AOU11)+3000</f>
        <v>885.43996765391057</v>
      </c>
      <c r="AOV15" s="1082">
        <f>(AOU15+AOV9-AOV11)+3500</f>
        <v>1097.4399676539106</v>
      </c>
      <c r="AOW15" s="1082">
        <f>(AOV15+AOW9-AOW11)+4000</f>
        <v>540.43996765391057</v>
      </c>
      <c r="AOX15" s="1082">
        <f>(AOW15+AOX9-AOX11)+2000</f>
        <v>1378.4399676539106</v>
      </c>
      <c r="AOY15" s="1082">
        <f>(AOX15+AOY9-AOY11)+2000</f>
        <v>1704.4399676539106</v>
      </c>
      <c r="AOZ15" s="1082">
        <f>(AOY15+AOZ9-AOZ11)+2000</f>
        <v>1268.4399676539106</v>
      </c>
      <c r="APA15" s="1082">
        <f>(AOZ15+APA9-APA11)+4000</f>
        <v>593.43996765391057</v>
      </c>
      <c r="APB15" s="1082">
        <f>(APA15+APB9-APB11)+3500</f>
        <v>848.43996765391057</v>
      </c>
      <c r="APC15" s="1082">
        <f>(APB15+APC9-APC11)+3500</f>
        <v>805.43996765391057</v>
      </c>
      <c r="APD15" s="1082">
        <f>(APC15+APD9-APD11)+1500</f>
        <v>812.43996765391057</v>
      </c>
      <c r="APE15" s="1082">
        <f>(APD15+APE9-APE11)+1000</f>
        <v>1703.4399676539106</v>
      </c>
      <c r="APF15" s="1082">
        <f>(APE15+APF9-APF11)+1500</f>
        <v>1145.4399676539106</v>
      </c>
      <c r="APG15" s="1082">
        <f>(APF15+APG9-APG11)+4000</f>
        <v>650.43996765391057</v>
      </c>
      <c r="APH15" s="1082">
        <f>(APG15+APH9-APH11)+2000</f>
        <v>205.43996765391057</v>
      </c>
      <c r="API15" s="1082">
        <f>(APH15+API9-API11)+3000</f>
        <v>945.43996765391057</v>
      </c>
      <c r="APJ15" s="1082">
        <f>(API15+APJ9-APJ11)+3000</f>
        <v>225.43996765391057</v>
      </c>
      <c r="APK15" s="1082">
        <f>(APJ15+APK9-APK11)+3000</f>
        <v>317.43996765391057</v>
      </c>
      <c r="APL15" s="1082">
        <f>(APK15+APL9-APL11)+1000</f>
        <v>1141.4399676539106</v>
      </c>
      <c r="APM15" s="1082">
        <f>(APL15+APM9-APM11)+2500</f>
        <v>601.43996765391057</v>
      </c>
      <c r="APN15" s="1082">
        <f>(APM15+APN9-APN11)+2500</f>
        <v>582.43996765391057</v>
      </c>
      <c r="APO15" s="1082">
        <f>(APN15+APO9-APO11)+3500</f>
        <v>299.43996765391057</v>
      </c>
      <c r="APP15" s="1082">
        <f>(APO15+APP9-APP11)+3500</f>
        <v>693.43996765391057</v>
      </c>
      <c r="APQ15" s="1082">
        <f>(APP15+APQ9-APQ11)+3500</f>
        <v>673.43996765391057</v>
      </c>
      <c r="APR15" s="1082">
        <f>(APQ15+APR9-APR11)+3500</f>
        <v>1560.4399676539106</v>
      </c>
      <c r="APS15" s="1082">
        <f>(APR15+APS9-APS11)+3500</f>
        <v>1829.4399676539106</v>
      </c>
      <c r="APT15" s="1082">
        <f>(APS15+APT9-APT11)+1000</f>
        <v>455.43996765391057</v>
      </c>
      <c r="APU15" s="1082">
        <f>(APT15+APU9-APU11)+3000</f>
        <v>807.43996765391057</v>
      </c>
      <c r="APV15" s="1082">
        <f>(APU15+APV9-APV11)+1500</f>
        <v>796.43996765391057</v>
      </c>
      <c r="APW15" s="1082">
        <f>(APV15+APW9-APW11)+3000</f>
        <v>146.43996765391057</v>
      </c>
      <c r="APX15" s="1082">
        <f>(APW15+APX9-APX11)+2000</f>
        <v>542.43996765391057</v>
      </c>
      <c r="APY15" s="1082">
        <f>(APX15+APY9-APY11)+4000</f>
        <v>598.43996765391057</v>
      </c>
      <c r="APZ15" s="1082">
        <f>(APY15+APZ9-APZ11)+500</f>
        <v>593.43996765391057</v>
      </c>
      <c r="AQA15" s="1082">
        <f>(APZ15+AQA9-AQA11)+3700</f>
        <v>124.43996765391057</v>
      </c>
      <c r="AQB15" s="1082">
        <f>(AQA15+AQB9-AQB11)+3000</f>
        <v>438.43996765391057</v>
      </c>
      <c r="AQC15" s="1082">
        <f>(AQB15+AQC9-AQC11)+1500</f>
        <v>479.43996765391057</v>
      </c>
      <c r="AQD15" s="1082">
        <f>(AQC15+AQD9-AQD11)+500</f>
        <v>592.43996765391057</v>
      </c>
      <c r="AQE15" s="1082">
        <f>(AQD15+AQE9-AQE11)+3000</f>
        <v>160.43996765391057</v>
      </c>
      <c r="AQF15" s="1082">
        <f>(AQE15+AQF9-AQF11)+3000</f>
        <v>306.43996765391057</v>
      </c>
      <c r="AQG15" s="1082">
        <f>(AQF15+AQG9-AQG11)+2500</f>
        <v>115.43996765391057</v>
      </c>
      <c r="AQH15" s="1082">
        <f>(AQG15+AQH9-AQH11)+4000</f>
        <v>497.43996765391057</v>
      </c>
      <c r="AQI15" s="1082">
        <f>(AQH15+AQI9-AQI11)+1000</f>
        <v>514.43996765391057</v>
      </c>
      <c r="AQJ15" s="1082">
        <f>(AQI15+AQJ9-AQJ11)+2500</f>
        <v>343.43996765391057</v>
      </c>
      <c r="AQK15" s="1082">
        <f>(AQJ15+AQK9-AQK11)+1500</f>
        <v>231.43996765391057</v>
      </c>
      <c r="AQL15" s="1082">
        <f>(AQK15+AQL9-AQL11)+3000</f>
        <v>211.43996765391057</v>
      </c>
      <c r="AQM15" s="1082">
        <f>(AQL15+AQM9-AQM11)+3500</f>
        <v>503.43996765391057</v>
      </c>
      <c r="AQN15" s="1082">
        <f>(AQM15+AQN9-AQN11)+1000</f>
        <v>558.43996765391057</v>
      </c>
      <c r="AQO15" s="1082">
        <f>(AQN15+AQO9-AQO11)+2500</f>
        <v>326.43996765391057</v>
      </c>
      <c r="AQP15" s="1082">
        <f>(AQO15+AQP9-AQP11)+2500</f>
        <v>733.43996765391057</v>
      </c>
      <c r="AQQ15" s="1082">
        <f>(AQP15+AQQ9-AQQ11)+3000</f>
        <v>410.43996765391057</v>
      </c>
      <c r="AQR15" s="1082">
        <f>(AQQ15+AQR9-AQR11)+2000</f>
        <v>438.43996765391057</v>
      </c>
      <c r="AQS15" s="1082">
        <f>(AQR15+AQS9-AQS11)+1000</f>
        <v>126.43996765391057</v>
      </c>
      <c r="AQT15" s="1082">
        <f>(AQS15+AQT9-AQT11)+5000</f>
        <v>448.43996765391057</v>
      </c>
      <c r="AQU15" s="1082">
        <f>(AQT15+AQU9-AQU11)+3500</f>
        <v>569.43996765391057</v>
      </c>
      <c r="AQV15" s="1082">
        <f>(AQU15+AQV9-AQV11)-500</f>
        <v>245.43996765391057</v>
      </c>
      <c r="AQW15" s="1082">
        <f>(AQV15+AQW9-AQW11)+4000</f>
        <v>282.43996765391057</v>
      </c>
      <c r="AQX15" s="1082">
        <f>(AQW15+AQX9-AQX11)+1500</f>
        <v>260.43996765391057</v>
      </c>
      <c r="AQY15" s="1082">
        <f>(AQX15+AQY9-AQY11)+1000</f>
        <v>379.43996765391057</v>
      </c>
      <c r="AQZ15" s="1082">
        <f>(AQY15+AQZ9-AQZ11)+3000</f>
        <v>104.43996765391057</v>
      </c>
      <c r="ARA15" s="1082">
        <f>(AQZ15+ARA9-ARA11)+2500</f>
        <v>539.43996765391057</v>
      </c>
      <c r="ARB15" s="1082">
        <f>(ARA15+ARB9-ARB11)+2500</f>
        <v>210.43996765391057</v>
      </c>
      <c r="ARC15" s="1082">
        <f>(ARB15+ARC9-ARC11)+2500</f>
        <v>337.43996765391057</v>
      </c>
      <c r="ARD15" s="1082">
        <f>(ARC15+ARD9-ARD11)+2000</f>
        <v>416.43996765391057</v>
      </c>
      <c r="ARE15" s="1082">
        <f>(ARD15+ARE9-ARE11)+1500</f>
        <v>426.43996765391057</v>
      </c>
      <c r="ARF15" s="1082">
        <f>(ARE15+ARF9-ARF11)+2000</f>
        <v>169.43996765391057</v>
      </c>
      <c r="ARG15" s="1082">
        <f>(ARF15+ARG9-ARG11)+2500</f>
        <v>522.43996765391057</v>
      </c>
      <c r="ARH15" s="1082">
        <f>(ARG15+ARH9-ARH11)+3500</f>
        <v>400.43996765391057</v>
      </c>
      <c r="ARI15" s="1082">
        <f>(ARH15+ARI9-ARI11)+1500</f>
        <v>173.43996765391057</v>
      </c>
      <c r="ARJ15" s="1082">
        <f>(ARI15+ARJ9-ARJ11)+2500</f>
        <v>62.439967653910571</v>
      </c>
      <c r="ARK15" s="1082">
        <f>(ARJ15+ARK9-ARK11)+2000</f>
        <v>449.43996765391057</v>
      </c>
      <c r="ARL15" s="1082">
        <f>(ARK15+ARL9-ARL11)+1500</f>
        <v>250.43996765391057</v>
      </c>
      <c r="ARM15" s="1082">
        <f>(ARL15+ARM9-ARM11)+1500</f>
        <v>233.43996765391057</v>
      </c>
      <c r="ARN15" s="1082">
        <f>(ARM15+ARN9-ARN11)+3000</f>
        <v>165.43996765391057</v>
      </c>
      <c r="ARO15" s="1082">
        <f>(ARN15+ARO9-ARO11)+2500</f>
        <v>277.43996765391057</v>
      </c>
      <c r="ARP15" s="1082">
        <f>(ARO15+ARP9-ARP11)+2000</f>
        <v>483.43996765391057</v>
      </c>
      <c r="ARQ15" s="1082">
        <f>(ARP15+ARQ9-ARQ11)+2000</f>
        <v>420.43996765391057</v>
      </c>
      <c r="ARR15" s="1082">
        <f>(ARQ15+ARR9-ARR11)+3000</f>
        <v>490.43996765391057</v>
      </c>
      <c r="ARS15" s="1082">
        <f>(ARR15+ARS9-ARS11)+1500</f>
        <v>473.43996765391057</v>
      </c>
      <c r="ART15" s="1082">
        <f>(ARS15+ART9-ART11)+500</f>
        <v>416.43996765391057</v>
      </c>
      <c r="ARU15" s="1082">
        <f>(ART15+ARU9-ARU11)+1500</f>
        <v>520.43996765391057</v>
      </c>
      <c r="ARV15" s="1082">
        <f>(ARU15+ARV9-ARV11)+2500</f>
        <v>816.43996765391057</v>
      </c>
      <c r="ARW15" s="1082">
        <f>(ARV15+ARW9-ARW11)+1000</f>
        <v>692.43996765391057</v>
      </c>
      <c r="ARX15" s="1082">
        <f>(ARW15+ARX9-ARX11)+1000</f>
        <v>524.43996765391057</v>
      </c>
      <c r="ARY15" s="1082">
        <f>(ARX15+ARY9-ARY11)+2000</f>
        <v>438.43996765391057</v>
      </c>
      <c r="ARZ15" s="1082">
        <f>(ARY15+ARZ9-ARZ11)+500</f>
        <v>252.43996765391057</v>
      </c>
      <c r="ASA15" s="1082">
        <f>(ARZ15+ASA9-ASA11)+2500</f>
        <v>230.43996765391057</v>
      </c>
      <c r="ASB15" s="1082">
        <f t="shared" ref="ASB15:ASC15" si="858">(ASA15+ASB9-ASB11)+2500</f>
        <v>823.43996765391057</v>
      </c>
      <c r="ASC15" s="1082">
        <f t="shared" si="858"/>
        <v>807.43996765391057</v>
      </c>
      <c r="ASD15" s="1082">
        <f>(ASC15+ASD9-ASD11)+500</f>
        <v>691.43996765391057</v>
      </c>
      <c r="ASE15" s="1082">
        <f>(ASD15+ASE9-ASE11)+3500</f>
        <v>540.43996765391057</v>
      </c>
      <c r="ASF15" s="1082">
        <f>(ASE15+ASF9-ASF11)+2500</f>
        <v>444.43996765391057</v>
      </c>
      <c r="ASG15" s="1082">
        <f>(ASF15+ASG9-ASG11)+2500</f>
        <v>128.43996765391057</v>
      </c>
      <c r="ASH15" s="1082">
        <f>(ASG15+ASH9-ASH11)+1000</f>
        <v>133.43996765391057</v>
      </c>
      <c r="ASI15" s="1082">
        <f>(ASH15+ASI9-ASI11)+2000</f>
        <v>378.43996765391057</v>
      </c>
      <c r="ASJ15" s="1082">
        <f>(ASI15+ASJ9-ASJ11)+1500</f>
        <v>125.43996765391057</v>
      </c>
      <c r="ASK15" s="1082">
        <f>(ASJ15+ASK9-ASK11)+500</f>
        <v>794.43996765391057</v>
      </c>
      <c r="ASL15" s="1082">
        <f>(ASK15+ASL9-ASL11)+1500</f>
        <v>252.43996765391057</v>
      </c>
      <c r="ASM15" s="1082">
        <f>(ASL15+ASM9-ASM11)+1</f>
        <v>725.43996765391057</v>
      </c>
      <c r="ASN15" s="1082">
        <f>(ASM15+ASN9-ASN11)+1000</f>
        <v>223.43996765391057</v>
      </c>
      <c r="ASO15" s="1082">
        <f>(ASN15+ASO9-ASO11)+1500</f>
        <v>229.43996765391057</v>
      </c>
      <c r="ASP15" s="1082">
        <f>(ASO15+ASP9-ASP11)+1000</f>
        <v>77.439967653910571</v>
      </c>
      <c r="ASQ15" s="1082">
        <f>(ASP15+ASQ9-ASQ11)+1500</f>
        <v>203.43996765391057</v>
      </c>
      <c r="ASR15" s="1082">
        <f>(ASQ15+ASR9-ASR11)+2500</f>
        <v>468.43996765391057</v>
      </c>
      <c r="ASS15" s="1082">
        <f>(ASR15+ASS9-ASS11)+3000</f>
        <v>289.43996765391057</v>
      </c>
      <c r="AST15" s="1082">
        <f>(ASS15+AST9-AST11)+1500</f>
        <v>450.43996765391057</v>
      </c>
      <c r="ASU15" s="1082">
        <f>(AST15+ASU9-ASU11)+1500</f>
        <v>609.43996765391057</v>
      </c>
      <c r="ASV15" s="1082">
        <f>(ASU15+ASV9-ASV11)+1500</f>
        <v>440.43996765391057</v>
      </c>
      <c r="ASW15" s="1082">
        <f>(ASV15+ASW9-ASW11)-500</f>
        <v>216.43996765391057</v>
      </c>
      <c r="ASX15" s="1082">
        <f>(ASW15+ASX9-ASX11)-1000</f>
        <v>374.43996765391057</v>
      </c>
      <c r="ASY15" s="1082">
        <f>(ASX15+ASY9-ASY11)-500</f>
        <v>325.43996765391057</v>
      </c>
      <c r="ASZ15" s="1082">
        <f>(ASY15+ASZ9-ASZ11)+1000</f>
        <v>157.43996765391057</v>
      </c>
      <c r="ATA15" s="1082">
        <f>(ASZ15+ATA9-ATA11)+2000</f>
        <v>460.43996765391057</v>
      </c>
      <c r="ATB15" s="1082">
        <f>(ATA15+ATB9-ATB11)+4000</f>
        <v>36.439967653910571</v>
      </c>
      <c r="ATC15" s="1082">
        <f>(ATB15+ATC9-ATC11)+3000</f>
        <v>598.43996765391057</v>
      </c>
      <c r="ATD15" s="1082">
        <f>(ATC15+ATD9-ATD11)+3500</f>
        <v>286.43996765391057</v>
      </c>
      <c r="ATE15" s="1082">
        <f>(ATD15+ATE9-ATE11)+1500</f>
        <v>298.43996765391057</v>
      </c>
      <c r="ATF15" s="1082">
        <f>(ATE15+ATF9-ATF11)+2000</f>
        <v>451.43996765391057</v>
      </c>
      <c r="ATG15" s="1082">
        <f>(ATF15+ATG9-ATG11)+1000</f>
        <v>401.43996765391057</v>
      </c>
      <c r="ATH15" s="1082">
        <f>(ATG15+ATH9-ATH11)+2000</f>
        <v>396.43996765391057</v>
      </c>
      <c r="ATI15" s="1082">
        <f>(ATH15+ATI9-ATI11)+0.001</f>
        <v>244.44096765391058</v>
      </c>
      <c r="ATJ15" s="1082">
        <f>(ATI15+ATJ9-ATJ11)+3000</f>
        <v>393.44096765391077</v>
      </c>
      <c r="ATK15" s="1082">
        <f>(ATJ15+ATK9-ATK11)+1000</f>
        <v>158.44096765391077</v>
      </c>
      <c r="ATL15" s="1082">
        <f>(ATK15+ATL9-ATL11)+3500</f>
        <v>475.44096765391077</v>
      </c>
      <c r="ATM15" s="1082">
        <f>(ATL15+ATM9-ATM11)+1500</f>
        <v>116.44096765391077</v>
      </c>
      <c r="ATN15" s="1082">
        <f>(ATM15+ATN9-ATN11)+2500</f>
        <v>411.44096765391077</v>
      </c>
      <c r="ATO15" s="1082">
        <f>(ATN15+ATO9-ATO11)-2500</f>
        <v>324.44096765391077</v>
      </c>
      <c r="ATP15" s="1082">
        <f>(ATO15+ATP9-ATP11)+2500</f>
        <v>328.44096765391077</v>
      </c>
      <c r="ATQ15" s="1082">
        <f>(ATP15+ATQ9-ATQ11)+500</f>
        <v>600.44096765391077</v>
      </c>
      <c r="ATR15" s="1082">
        <f t="shared" ref="ATR15:ATS15" si="859">(ATQ15+ATR9-ATR11)+500</f>
        <v>274.44096765391077</v>
      </c>
      <c r="ATS15" s="1082">
        <f t="shared" si="859"/>
        <v>443.44096765391077</v>
      </c>
      <c r="ATT15" s="1082">
        <f>(ATS15+ATT9-ATT11)+2000</f>
        <v>435.44096765391077</v>
      </c>
      <c r="ATU15" s="1082">
        <f>(ATT15+ATU9-ATU11)+2000</f>
        <v>415.44096765391077</v>
      </c>
      <c r="ATV15" s="1082">
        <f>(ATU15+ATV9-ATV11)+1000</f>
        <v>249.44096765391077</v>
      </c>
      <c r="ATW15" s="1082">
        <f>(ATV15+ATW9-ATW11)+500</f>
        <v>663.44096765391077</v>
      </c>
      <c r="ATX15" s="1082">
        <f>(ATW15+ATX9-ATX11)+2000</f>
        <v>297.44096765391077</v>
      </c>
      <c r="ATY15" s="1082">
        <f t="shared" ref="ATY15" si="860">(ATX15+ATY9-ATY11)+2000</f>
        <v>359.44096765391077</v>
      </c>
      <c r="ATZ15" s="1082">
        <f>(ATY15+ATZ9-ATZ11)+2500</f>
        <v>196.44096765391077</v>
      </c>
      <c r="AUA15" s="1082">
        <f>(ATZ15+AUA9-AUA11)+3000</f>
        <v>266.44096765391077</v>
      </c>
      <c r="AUB15" s="1082">
        <f>(AUA15+AUB9-AUB11)+2500</f>
        <v>290.44096765391077</v>
      </c>
      <c r="AUC15" s="1082">
        <f>(AUB15+AUC9-AUC11)+1500</f>
        <v>250.44096765391077</v>
      </c>
      <c r="AUD15" s="1082">
        <f>(AUC15+AUD9-AUD11)+3000</f>
        <v>341.44096765391077</v>
      </c>
      <c r="AUE15" s="1082">
        <f>(AUD15+AUE9-AUE11)+1000</f>
        <v>575.44096765391077</v>
      </c>
      <c r="AUF15" s="1082">
        <f>(AUE15+AUF9-AUF11)+2500</f>
        <v>256.44096765391077</v>
      </c>
      <c r="AUG15" s="1082">
        <f>(AUF15+AUG9-AUG11)+500</f>
        <v>362.44096765391077</v>
      </c>
      <c r="AUH15" s="1082">
        <f>(AUG15+AUH9-AUH11)+2000</f>
        <v>128.44096765391077</v>
      </c>
      <c r="AUI15" s="1082">
        <f>(AUH15+AUI9-AUI11)+2500</f>
        <v>312.44096765391077</v>
      </c>
      <c r="AUJ15" s="1082">
        <f>(AUI15+AUJ9-AUJ11)-1500</f>
        <v>414.44096765391077</v>
      </c>
      <c r="AUK15" s="1082">
        <f>(AUJ15+AUK9-AUK11)+3000</f>
        <v>170.44096765391077</v>
      </c>
      <c r="AUL15" s="1082">
        <f>(AUK15+AUL9-AUL11)+1000</f>
        <v>548.44096765391077</v>
      </c>
      <c r="AUM15" s="1082">
        <f>(AUL15+AUM9-AUM11)+3500</f>
        <v>136.44096765391077</v>
      </c>
      <c r="AUN15" s="1082">
        <f>(AUM15+AUN9-AUN11)+500</f>
        <v>460.44096765391077</v>
      </c>
      <c r="AUO15" s="1082">
        <f>(AUN15+AUO9-AUO11)+1500</f>
        <v>418.44096765391077</v>
      </c>
      <c r="AUP15" s="1082">
        <f>(AUO15+AUP9-AUP11)+3900</f>
        <v>351.44096765391077</v>
      </c>
      <c r="AUQ15" s="1082">
        <f>(AUP15+AUQ9-AUQ11)+900</f>
        <v>105.44096765391077</v>
      </c>
      <c r="AUR15" s="1082">
        <f>(AUQ15+AUR9-AUR11)+900</f>
        <v>108.44096765391077</v>
      </c>
      <c r="AUS15" s="1082">
        <f>(AUR15+AUS9-AUS11)+3000</f>
        <v>372.44096765391077</v>
      </c>
      <c r="AUT15" s="1082">
        <f>(AUS15+AUT9-AUT11)+500</f>
        <v>308.44096765391077</v>
      </c>
      <c r="AUU15" s="1082">
        <f>(AUT15+AUU9-AUU11)+500</f>
        <v>493.44096765391077</v>
      </c>
      <c r="AUV15" s="1082">
        <f>(AUU15+AUV9-AUV11)+1500</f>
        <v>210.44096765391077</v>
      </c>
      <c r="AUW15" s="1082">
        <f>(AUV15+AUW9-AUW11)+2000</f>
        <v>152.44096765391077</v>
      </c>
      <c r="AUX15" s="1082">
        <f>(AUW15+AUX9-AUX11)+2000</f>
        <v>287.44096765391077</v>
      </c>
      <c r="AUY15" s="1082">
        <f>(AUX15+AUY9-AUY11)+500</f>
        <v>253.44096765391077</v>
      </c>
      <c r="AUZ15" s="1082">
        <f>(AUY15+AUZ9-AUZ11)+2000</f>
        <v>389.44096765391077</v>
      </c>
      <c r="AVA15" s="1082">
        <f>(AUZ15+AVA9-AVA11)+4000</f>
        <v>202.44096765391077</v>
      </c>
      <c r="AVB15" s="1082">
        <f>(AVA15+AVB9-AVB11)+2500</f>
        <v>564.44096765391077</v>
      </c>
      <c r="AVC15" s="1082">
        <f>(AVB15+AVC9-AVC11)+3000</f>
        <v>439.44096765391077</v>
      </c>
      <c r="AVD15" s="1082">
        <f>(AVC15+AVD9-AVD11)+1000</f>
        <v>602.44096765391077</v>
      </c>
      <c r="AVE15" s="1082">
        <f>(AVD15+AVE9-AVE11)+3500</f>
        <v>293.44096765391077</v>
      </c>
      <c r="AVF15" s="1082">
        <f>(AVE15+AVF9-AVF11)-1000</f>
        <v>321.44096765391077</v>
      </c>
      <c r="AVG15" s="1082">
        <f>(AVF15+AVG9-AVG11)+500</f>
        <v>541.44096765391077</v>
      </c>
      <c r="AVH15" s="1082">
        <f>(AVG15+AVH9-AVH11)+3000</f>
        <v>489.44096765391077</v>
      </c>
      <c r="AVI15" s="1082">
        <f>(AVH15+AVI9-AVI11)+1500</f>
        <v>404.44096765391077</v>
      </c>
      <c r="AVJ15" s="1082">
        <f>(AVI15+AVJ9-AVJ11)+2000</f>
        <v>519.44096765391077</v>
      </c>
      <c r="AVK15" s="1082">
        <f>(AVJ15+AVK9-AVK11)+2500</f>
        <v>212.44096765391077</v>
      </c>
      <c r="AVL15" s="1082">
        <f>(AVK15+AVL9-AVL11)+1000</f>
        <v>275.44096765391077</v>
      </c>
      <c r="AVM15" s="1082">
        <f>(AVL15+AVM9-AVM11)+1000</f>
        <v>555.44096765391077</v>
      </c>
      <c r="AVN15" s="1082">
        <f>(AVM15+AVN9-AVN11)+2000</f>
        <v>335.44096765391077</v>
      </c>
      <c r="AVO15" s="1082">
        <f>(AVN15+AVO9-AVO11)+2500</f>
        <v>167.44096765391077</v>
      </c>
      <c r="AVP15" s="1082">
        <f>(AVO15+AVP9-AVP11)+5000</f>
        <v>451.44096765391077</v>
      </c>
      <c r="AVQ15" s="1082">
        <f t="shared" ref="AVQ15" si="861">(AVP15+AVQ9-AVQ11)+2000</f>
        <v>246.44096765391077</v>
      </c>
      <c r="AVR15" s="1082">
        <f>(AVQ15+AVR9-AVR11)+3000</f>
        <v>452.44096765391077</v>
      </c>
      <c r="AVS15" s="1082">
        <f>(AVR15+AVS9-AVS11)+1500</f>
        <v>492.44096765391077</v>
      </c>
      <c r="AVT15" s="1082">
        <f>(AVS15+AVT9-AVT11)+500</f>
        <v>528.44096765391077</v>
      </c>
      <c r="AVU15" s="1082">
        <f>(AVT15+AVU9-AVU11)+2500</f>
        <v>333.44096765391077</v>
      </c>
      <c r="AVV15" s="1082">
        <f>(AVU15+AVV9-AVV11)+500</f>
        <v>226.44096765391077</v>
      </c>
      <c r="AVW15" s="1082">
        <f>(AVV15+AVW9-AVW11)+700</f>
        <v>139.44096765391077</v>
      </c>
      <c r="AVX15" s="1082">
        <f>(AVW15+AVX9-AVX11)+1500</f>
        <v>228.44096765391077</v>
      </c>
      <c r="AVY15" s="1082">
        <f>(AVX15+AVY9-AVY11)+2000</f>
        <v>418.44096765391077</v>
      </c>
      <c r="AVZ15" s="1082">
        <f>(AVY15+AVZ9-AVZ11)+3000</f>
        <v>876.44096765391077</v>
      </c>
      <c r="AWA15" s="1082">
        <f>(AVZ15+AWA9-AWA11)+0</f>
        <v>891.44096765391077</v>
      </c>
      <c r="AWB15" s="1082">
        <f>(AWA15+AWB9-AWB11)+3000</f>
        <v>498.44096765391077</v>
      </c>
      <c r="AWC15" s="1082">
        <f>(AWB15+AWC9-AWC11)-0</f>
        <v>554.44096765391077</v>
      </c>
      <c r="AWD15" s="1082">
        <f>(AWC15+AWD9-AWD11)+2500</f>
        <v>284.44096765391077</v>
      </c>
      <c r="AWE15" s="1082">
        <f>(AWD15+AWE9-AWE11)+1500</f>
        <v>107.44096765391077</v>
      </c>
      <c r="AWF15" s="1082">
        <f>(AWE15+AWF9-AWF11)+2200</f>
        <v>107.44096765391077</v>
      </c>
      <c r="AWG15" s="1082">
        <f t="shared" ref="AWG15" si="862">(AWF15+AWG9-AWG11)+2200</f>
        <v>47.440967653910775</v>
      </c>
      <c r="AWH15" s="1082">
        <f>(AWG15+AWH9-AWH11)+2700</f>
        <v>48.440967653910775</v>
      </c>
      <c r="AWI15" s="1082">
        <f>(AWH15+AWI9-AWI11)-2000</f>
        <v>340.44096765391077</v>
      </c>
      <c r="AWJ15" s="1082">
        <f>(AWI15+AWJ9-AWJ11)+3500</f>
        <v>173.44096765391077</v>
      </c>
      <c r="AWK15" s="1082">
        <f>(AWJ15+AWK9-AWK11)+3000</f>
        <v>208.44096765391077</v>
      </c>
      <c r="AWL15" s="1082">
        <f>(AWK15+AWL9-AWL11)+200</f>
        <v>153.44096765391077</v>
      </c>
      <c r="AWM15" s="1082">
        <f>(AWL15+AWM9-AWM11)+1800</f>
        <v>132.44096765391077</v>
      </c>
      <c r="AWN15" s="1082">
        <f>(AWM15+AWN9-AWN11)+1200</f>
        <v>142.44096765391077</v>
      </c>
      <c r="AWO15" s="1082">
        <f>(AWN15+AWO9-AWO11)+2300</f>
        <v>114.44096765391077</v>
      </c>
      <c r="AWP15" s="1082">
        <f>(AWO15+AWP9-AWP11)+1000</f>
        <v>202.44096765391077</v>
      </c>
      <c r="AWQ15" s="1082">
        <f t="shared" ref="AWQ15" si="863">(AWP15+AWQ9-AWQ11)+1000</f>
        <v>64.440967653910775</v>
      </c>
      <c r="AWR15" s="1082">
        <f>(AWQ15+AWR9-AWR11)+2100</f>
        <v>31.440967653910775</v>
      </c>
      <c r="AWS15" s="1082">
        <f>(AWR15+AWS9-AWS11)+500</f>
        <v>151.44096765391077</v>
      </c>
      <c r="AWT15" s="1082">
        <f>(AWS15+AWT9-AWT11)+0</f>
        <v>119.44096765391077</v>
      </c>
      <c r="AWU15" s="1082">
        <f>(AWT15+AWU9-AWU11)+800</f>
        <v>160.44096765391077</v>
      </c>
      <c r="AWV15" s="1082">
        <f>(AWU15+AWV9-AWV11)+2600</f>
        <v>152.44096765391077</v>
      </c>
      <c r="AWW15" s="1082">
        <f>(AWV15+AWW9-AWW11)-500</f>
        <v>221.44096765391077</v>
      </c>
      <c r="AWX15" s="1082">
        <f>(AWW15+AWX9-AWX11)+2000</f>
        <v>299.44096765391077</v>
      </c>
      <c r="AWY15" s="1082">
        <f>(AWX15+AWY9-AWY11)-700</f>
        <v>279.44096765391077</v>
      </c>
      <c r="AWZ15" s="1082">
        <f>(AWY15+AWZ9-AWZ11)+600</f>
        <v>125.44096765391077</v>
      </c>
      <c r="AXA15" s="1082">
        <f>(AWZ15+AXA9-AXA11)+700</f>
        <v>112.44096765391077</v>
      </c>
      <c r="AXB15" s="1082">
        <f>(AXA15+AXB9-AXB11)+1700</f>
        <v>135.44096765391077</v>
      </c>
      <c r="AXC15" s="1082">
        <f>(AXB15+AXC9-AXC11)+2000</f>
        <v>244.44096765391077</v>
      </c>
      <c r="AXD15" s="1082">
        <f>(AXC15+AXD9-AXD11)+1900</f>
        <v>112.44096765391077</v>
      </c>
      <c r="AXE15" s="1082">
        <f>(AXD15+AXE9-AXE11)+2200</f>
        <v>159.44096765391077</v>
      </c>
      <c r="AXF15" s="1082">
        <f>(AXE15+AXF9-AXF11)+2000</f>
        <v>103.44096765391077</v>
      </c>
      <c r="AXG15" s="1082">
        <f>(AXF15+AXG9-AXG11)+200</f>
        <v>136.44096765391077</v>
      </c>
      <c r="AXH15" s="1082">
        <f>(AXG15+AXH9-AXH11)+1100</f>
        <v>128.44096765391077</v>
      </c>
      <c r="AXI15" s="1082">
        <f>(AXH15+AXI9-AXI11)+1800</f>
        <v>46.440967653910775</v>
      </c>
      <c r="AXJ15" s="1082">
        <f>(AXI15+AXJ9-AXJ11)+2900</f>
        <v>104.44096765391077</v>
      </c>
      <c r="AXK15" s="1082">
        <f>(AXJ15+AXK9-AXK11)+1000</f>
        <v>143.44096765391077</v>
      </c>
      <c r="AXL15" s="1082">
        <f>(AXK15+AXL9-AXL11)-1000</f>
        <v>151.44096765391077</v>
      </c>
      <c r="AXM15" s="1082">
        <f>(AXL15+AXM9-AXM11)+1200</f>
        <v>269.44096765391077</v>
      </c>
      <c r="AXN15" s="1082">
        <f>(AXM15+AXN9-AXN11)+2300</f>
        <v>202.44096765391077</v>
      </c>
      <c r="AXO15" s="1082">
        <f>(AXN15+AXO9-AXO11)+1200</f>
        <v>280.44096765391077</v>
      </c>
      <c r="AXP15" s="1082">
        <f>(AXO15+AXP9-AXP11)+500</f>
        <v>270.44096765391077</v>
      </c>
      <c r="AXQ15" s="1082">
        <f>(AXP15+AXQ9-AXQ11)+2000</f>
        <v>274.44096765391077</v>
      </c>
      <c r="AXR15" s="1082">
        <f>(AXQ15+AXR9-AXR11)+2600</f>
        <v>204.44096765391077</v>
      </c>
      <c r="AXS15" s="1082">
        <f>(AXR15+AXS9-AXS11)+1800</f>
        <v>224.44096765391077</v>
      </c>
      <c r="AXT15" s="1082">
        <f>(AXS15+AXT9-AXT11)+3650</f>
        <v>195.44096765391077</v>
      </c>
      <c r="AXU15" s="1082">
        <f>(AXT15+AXU9-AXU11)+1400</f>
        <v>254.44096765391077</v>
      </c>
      <c r="AXV15" s="1082">
        <f>(AXU15+AXV9-AXV11)+1400</f>
        <v>128.44096765391077</v>
      </c>
      <c r="AXW15" s="1082">
        <f>(AXV15+AXW9-AXW11)+3150</f>
        <v>113.44096765391077</v>
      </c>
      <c r="AXX15" s="1082">
        <f>(AXW15+AXX9-AXX11)+3150</f>
        <v>1515.4409676539108</v>
      </c>
      <c r="AXY15" s="1082">
        <f>(AXX15+AXY9-AXY11)+3150</f>
        <v>2913.4409676539108</v>
      </c>
      <c r="AXZ15" s="1082">
        <f>(AXY15+AXZ9-AXZ11)+1200</f>
        <v>2906.4409676539108</v>
      </c>
      <c r="AYA15" s="1082">
        <f>(AXZ15+AYA9-AYA11)+2000</f>
        <v>1152.4409676539108</v>
      </c>
      <c r="AYB15" s="1082">
        <f>(AYA15+AYB9-AYB11)+2000</f>
        <v>940.44096765391077</v>
      </c>
      <c r="AYC15" s="1082">
        <f>(AYB15+AYC9-AYC11)+4800</f>
        <v>915.44096765391077</v>
      </c>
      <c r="AYD15" s="1082">
        <f>(AYC15+AYD9-AYD11)+3000</f>
        <v>860.44096765391077</v>
      </c>
      <c r="AYE15" s="1082">
        <f>(AYD15+AYE9-AYE11)+500</f>
        <v>512.44096765391077</v>
      </c>
      <c r="AYF15" s="1082">
        <f>(AYE15+AYF9-AYF11)+4000</f>
        <v>532.44096765391077</v>
      </c>
      <c r="AYG15" s="1082">
        <f t="shared" ref="AYG15" si="864">(AYF15+AYG9-AYG11)+4000</f>
        <v>3475.4409676539108</v>
      </c>
      <c r="AYH15" s="1082">
        <f>(AYG15+AYH9-AYH11)+3000</f>
        <v>2367.4409676539108</v>
      </c>
      <c r="AYI15" s="1082">
        <f>(AYH15+AYI9-AYI11)+3000</f>
        <v>2636.4409676539108</v>
      </c>
      <c r="AYJ15" s="1082">
        <f>(AYI15+AYJ9-AYJ11)+3000</f>
        <v>2250.4409676539108</v>
      </c>
      <c r="AYK15" s="1082">
        <f>(AYJ15+AYK9-AYK11)+2500</f>
        <v>1972.4409676539108</v>
      </c>
      <c r="AYL15" s="1082">
        <f>(AYK15+AYL9-AYL11)+2000</f>
        <v>259.44096765391077</v>
      </c>
      <c r="AYM15" s="1082">
        <f>(AYL15+AYM9-AYM11)+2500</f>
        <v>456.44096765391077</v>
      </c>
      <c r="AYN15" s="1082">
        <f>(AYM15+AYN9-AYN11)+2000</f>
        <v>422.44096765391077</v>
      </c>
      <c r="AYO15" s="1082">
        <f t="shared" ref="AYO15" si="865">(AYN15+AYO9-AYO11)+2500</f>
        <v>603.44096765391077</v>
      </c>
      <c r="AYP15" s="1082">
        <f>(AYO15+AYP9-AYP11)+2000</f>
        <v>791.44096765391077</v>
      </c>
      <c r="AYQ15" s="1082">
        <f>(AYP15+AYQ9-AYQ11)-1500</f>
        <v>268.44096765391077</v>
      </c>
      <c r="AYR15" s="1082">
        <f>(AYQ15+AYR9-AYR11)+500</f>
        <v>393.44096765391077</v>
      </c>
      <c r="AYS15" s="1082">
        <f>(AYR15+AYS9-AYS11)+0</f>
        <v>399.44096765391077</v>
      </c>
      <c r="AYT15" s="1082">
        <f>(AYS15+AYT9-AYT11)+1000</f>
        <v>439.44096765391077</v>
      </c>
      <c r="AYU15" s="1082">
        <f>(AYT15+AYU9-AYU11)+2200</f>
        <v>204.44096765391077</v>
      </c>
      <c r="AYV15" s="1082">
        <f>(AYU15+AYV9-AYV11)+1500</f>
        <v>382.44096765391077</v>
      </c>
      <c r="AYW15" s="1082">
        <f t="shared" ref="AYW15" si="866">(AYV15+AYW9-AYW11)+1000</f>
        <v>237.44096765391077</v>
      </c>
      <c r="AYX15" s="1082">
        <f>(AYW15+AYX9-AYX11)+300</f>
        <v>323.44096765391077</v>
      </c>
      <c r="AYY15" s="1082">
        <f>(AYX15+AYY9-AYY11)+2500</f>
        <v>375.44096765391077</v>
      </c>
      <c r="AYZ15" s="1082">
        <f>(AYY15+AYZ9-AYZ11)+4000</f>
        <v>156.44096765391077</v>
      </c>
      <c r="AZA15" s="1082">
        <f>(AYZ15+AZA9-AZA11)+3000</f>
        <v>431.44096765391077</v>
      </c>
      <c r="AZB15" s="1082">
        <f>(AZA15+AZB9-AZB11)+2500</f>
        <v>211.44096765391077</v>
      </c>
      <c r="AZC15" s="1082">
        <f>(AZB15+AZC9-AZC11)+3700</f>
        <v>116.44096765391077</v>
      </c>
      <c r="AZD15" s="1082">
        <f>(AZC15+AZD9-AZD11)+4500</f>
        <v>297.44096765391077</v>
      </c>
      <c r="AZE15" s="1082">
        <f>(AZD15+AZE9-AZE11)+5000</f>
        <v>243.44096765391077</v>
      </c>
      <c r="AZF15" s="1082">
        <f>(AZE15+AZF9-AZF11)+3000</f>
        <v>128.44096765391077</v>
      </c>
      <c r="AZG15" s="1082">
        <f>(AZF15+AZG9-AZG11)+4000</f>
        <v>169.44096765391077</v>
      </c>
      <c r="AZH15" s="1082">
        <f>(AZG15+AZH9-AZH11)+2300</f>
        <v>143.44096765391077</v>
      </c>
      <c r="AZI15" s="1082">
        <f>(AZH15+AZI9-AZI11)+3300</f>
        <v>128.44096765391077</v>
      </c>
      <c r="AZJ15" s="1082">
        <f>(AZI15+AZJ9-AZJ11)+1300</f>
        <v>109.44096765391077</v>
      </c>
      <c r="AZK15" s="1082">
        <f>(AZJ15+AZK9-AZK11)+4800</f>
        <v>118.44096765391077</v>
      </c>
      <c r="AZL15" s="1082">
        <f>(AZK15+AZL9-AZL11)+0</f>
        <v>366.44096765391077</v>
      </c>
      <c r="AZM15" s="1082">
        <f>(AZL15+AZM9-AZM11)+2500</f>
        <v>129.44096765391077</v>
      </c>
      <c r="AZN15" s="1082">
        <f>(AZM15+AZN9-AZN11)+1500</f>
        <v>295.44096765391077</v>
      </c>
      <c r="AZO15" s="1082">
        <f>(AZN15+AZO9-AZO11)+1500</f>
        <v>351.44096765391077</v>
      </c>
      <c r="AZP15" s="1082">
        <f>(AZO15+AZP9-AZP11)+1200</f>
        <v>216.44096765391077</v>
      </c>
      <c r="AZQ15" s="1082">
        <f>(AZP15+AZQ9-AZQ11)+2300</f>
        <v>234.44096765391077</v>
      </c>
      <c r="AZR15" s="1082">
        <f>(AZQ15+AZR9-AZR11)+1500</f>
        <v>26.440967653910775</v>
      </c>
      <c r="AZS15" s="1082">
        <f>(AZR15+AZS9-AZS11)+3300</f>
        <v>214.44096765391077</v>
      </c>
      <c r="AZT15" s="1082">
        <f>(AZS15+AZT9-AZT11)+1000</f>
        <v>146.44096765391077</v>
      </c>
      <c r="AZU15" s="1082">
        <f>(AZT15+AZU9-AZU11)+3800</f>
        <v>103.44096765391077</v>
      </c>
      <c r="AZV15" s="1082">
        <f>(AZU15+AZV9-AZV11)-1000</f>
        <v>232.44096765391077</v>
      </c>
      <c r="AZW15" s="1082">
        <f>(AZV15+AZW9-AZW11)+4300</f>
        <v>241.44096765391077</v>
      </c>
      <c r="AZX15" s="1082">
        <f>(AZW15+AZX9-AZX11)+500</f>
        <v>120.44096765391077</v>
      </c>
      <c r="AZY15" s="1082">
        <f>(AZX15+AZY9-AZY11)+2000</f>
        <v>315.44096765391077</v>
      </c>
      <c r="AZZ15" s="1082">
        <f>(AZY15+AZZ9-AZZ11)+2000</f>
        <v>42.440967653910775</v>
      </c>
      <c r="BAA15" s="1082">
        <f>(AZZ15+BAA9-BAA11)+4200</f>
        <v>123.44096765391077</v>
      </c>
      <c r="BAB15" s="1082">
        <f>(BAA15+BAB9-BAB11)+1000</f>
        <v>125.44096765391077</v>
      </c>
      <c r="BAC15" s="1082">
        <f>(BAB15+BAC9-BAC11)+1000</f>
        <v>104.44096765391077</v>
      </c>
      <c r="BAD15" s="1082">
        <f>(BAC15+BAD9-BAD11)+3000</f>
        <v>178.44096765391077</v>
      </c>
      <c r="BAE15" s="1082">
        <f>(BAD15+BAE9-BAE11)+4200</f>
        <v>268.44096765391077</v>
      </c>
      <c r="BAF15" s="1082">
        <f>(BAE15+BAF9-BAF11)-30</f>
        <v>205.44096765391077</v>
      </c>
      <c r="BAG15" s="1082">
        <f>(BAF15+BAG9-BAG11)+1800</f>
        <v>161.44096765391077</v>
      </c>
      <c r="BAH15" s="1082">
        <f>(BAG15+BAH9-BAH11)+5200</f>
        <v>187.44096765391077</v>
      </c>
      <c r="BAI15" s="1082">
        <f>(BAH15+BAI9-BAI11)+3700</f>
        <v>272.44096765391077</v>
      </c>
      <c r="BAJ15" s="1082">
        <f>(BAI15+BAJ9-BAJ11)+3800</f>
        <v>108.44096765391077</v>
      </c>
      <c r="BAK15" s="1082">
        <f>(BAJ15+BAK9-BAK11)+2400</f>
        <v>176.44096765391077</v>
      </c>
      <c r="BAL15" s="1082">
        <f>(BAK15+BAL9-BAL11)+1400</f>
        <v>171.44096765391077</v>
      </c>
      <c r="BAM15" s="1082">
        <f>(BAL15+BAM9-BAM11)+2100</f>
        <v>102.44096765391077</v>
      </c>
      <c r="BAN15" s="1082">
        <f>(BAM15+BAN9-BAN11)+1500</f>
        <v>203.44096765391077</v>
      </c>
      <c r="BAO15" s="1082">
        <f>(BAN15+BAO9-BAO11)+3500</f>
        <v>148.44096765391077</v>
      </c>
      <c r="BAP15" s="1082">
        <f>(BAO15+BAP9-BAP11)+2500</f>
        <v>130.44096765391077</v>
      </c>
      <c r="BAQ15" s="1082">
        <f>(BAP15+BAQ9-BAQ11)+4000</f>
        <v>33.440967653910775</v>
      </c>
      <c r="BAR15" s="1082">
        <f>(BAQ15+BAR9-BAR11)+2100</f>
        <v>95.440967653910775</v>
      </c>
      <c r="BAS15" s="1082">
        <f>(BAR15+BAS9-BAS11)+300</f>
        <v>177.44096765391077</v>
      </c>
      <c r="BAT15" s="1082">
        <f>(BAS15+BAT9-BAT11)+1800</f>
        <v>116.44096765391077</v>
      </c>
      <c r="BAU15" s="1082">
        <f>(BAT15+BAU9-BAU11)+4100</f>
        <v>110.44096765391077</v>
      </c>
      <c r="BAV15" s="1082">
        <f>(BAU15+BAV9-BAV11)+2100</f>
        <v>91.440967653910775</v>
      </c>
      <c r="BAW15" s="1082">
        <f>(BAV15+BAW9-BAW11)+3200</f>
        <v>85.440967653910775</v>
      </c>
      <c r="BAX15" s="1082">
        <f>(BAW15+BAX9-BAX11)+4000</f>
        <v>101.44096765391077</v>
      </c>
      <c r="BAY15" s="1082">
        <f>(BAX15+BAY9-BAY11)+2200</f>
        <v>133.44096765391077</v>
      </c>
      <c r="BAZ15" s="1082">
        <f>(BAY15+BAZ9-BAZ11)-500</f>
        <v>175.44096765391077</v>
      </c>
      <c r="BBA15" s="1082">
        <f>(BAZ15+BBA9-BBA11)+2700</f>
        <v>121.44096765391077</v>
      </c>
      <c r="BBB15" s="1082">
        <f>(BBA15+BBB9-BBB11)+1000</f>
        <v>193.44096765391077</v>
      </c>
      <c r="BBC15" s="1082">
        <f>(BBB15+BBC9-BBC11)+1000</f>
        <v>86.440967653910775</v>
      </c>
      <c r="BBD15" s="1082">
        <f>(BBC15+BBD9-BBD11)+3000</f>
        <v>174.44096765391077</v>
      </c>
      <c r="BBE15" s="1082">
        <f>(BBD15+BBE9-BBE11)+800</f>
        <v>137.44096765391077</v>
      </c>
      <c r="BBF15" s="1082">
        <f>(BBE15+BBF9-BBF11)-1200</f>
        <v>158.44096765391077</v>
      </c>
      <c r="BBG15" s="1082">
        <f>(BBF15+BBG9-BBG11)+4300</f>
        <v>147.44096765391077</v>
      </c>
      <c r="BBH15" s="1082">
        <f>(BBG15+BBH9-BBH11)-600</f>
        <v>137.44096765391077</v>
      </c>
      <c r="BBI15" s="1082">
        <f>(BBH15+BBI9-BBI11)+800</f>
        <v>140.44096765391077</v>
      </c>
      <c r="BBJ15" s="1082">
        <f>(BBI15+BBJ9-BBJ11)+3000</f>
        <v>140.44096765391077</v>
      </c>
      <c r="BBK15" s="1082">
        <f>(BBJ15+BBK9-BBK11)-900</f>
        <v>130.44096765391077</v>
      </c>
      <c r="BBL15" s="1082">
        <f>(BBK15+BBL9-BBL11)+700</f>
        <v>110.44096765391077</v>
      </c>
      <c r="BBM15" s="1082">
        <f>(BBL15+BBM9-BBM11)+1000</f>
        <v>58.440967653910775</v>
      </c>
      <c r="BBN15" s="1082">
        <f>(BBM15+BBN9-BBN11)+2100</f>
        <v>98.440967653910775</v>
      </c>
      <c r="BBO15" s="1082">
        <f>(BBN15+BBO9-BBO11)+3300</f>
        <v>168.44096765391077</v>
      </c>
      <c r="BBP15" s="1082">
        <f>(BBO15+BBP9-BBP11)+0</f>
        <v>80.440967653910775</v>
      </c>
      <c r="BBQ15" s="1082">
        <f>(BBP15+BBQ9-BBQ11)+300</f>
        <v>86.440967653910775</v>
      </c>
      <c r="BBR15" s="1082">
        <f>(BBQ15+BBR9-BBR11)-1300</f>
        <v>130.44096765391077</v>
      </c>
      <c r="BBS15" s="1082">
        <f>(BBR15+BBS9-BBS11)+2500</f>
        <v>285.44096765391077</v>
      </c>
      <c r="BBT15" s="1082">
        <f>(BBS15+BBT9-BBT11)+4600</f>
        <v>137.44096765391077</v>
      </c>
      <c r="BBU15" s="1082">
        <f>(BBT15+BBU9-BBU11)+5000</f>
        <v>136.44096765391077</v>
      </c>
      <c r="BBV15" s="1082">
        <f>(BBU15+BBV9-BBV11)+3500</f>
        <v>202.44096765391077</v>
      </c>
      <c r="BBW15" s="1082">
        <f>(BBV15+BBW9-BBW11)-1200</f>
        <v>143.44096765391077</v>
      </c>
      <c r="BBX15" s="1082">
        <f>(BBW15+BBX9-BBX11)+2600</f>
        <v>123.44096765391077</v>
      </c>
      <c r="BBY15" s="1082">
        <f>(BBX15+BBY9-BBY11)+4200</f>
        <v>113.44096765391077</v>
      </c>
      <c r="BBZ15" s="1082">
        <f>(BBY15+BBZ9-BBZ11)+4500</f>
        <v>105.44096765391077</v>
      </c>
      <c r="BCA15" s="1082">
        <f>(BBZ15+BCA9-BCA11)+2500</f>
        <v>177.44096765391077</v>
      </c>
      <c r="BCB15" s="1082">
        <f>(BCA15+BCB9-BCB11)+3100</f>
        <v>96.440967653910775</v>
      </c>
      <c r="BCC15" s="1082">
        <f>(BCB15+BCC9-BCC11)+3700</f>
        <v>113.44096765391077</v>
      </c>
      <c r="BCD15" s="1082">
        <f>(BCC15+BCD9-BCD11)+4400</f>
        <v>157.44096765391077</v>
      </c>
      <c r="BCE15" s="1082">
        <f>(BCD15+BCE9-BCE11)+1200</f>
        <v>50.440967653910775</v>
      </c>
      <c r="BCF15" s="1082">
        <f>(BCE15+BCF9-BCF11)+4200</f>
        <v>116.44096765391077</v>
      </c>
      <c r="BCG15" s="1082">
        <f>(BCF15+BCG9-BCG11)+600</f>
        <v>127.44096765391077</v>
      </c>
      <c r="BCH15" s="1082">
        <f>(BCG15+BCH9-BCH11)+3700</f>
        <v>111.44096765391077</v>
      </c>
      <c r="BCI15" s="1082">
        <f>(BCH15+BCI9-BCI11)-500</f>
        <v>193.44096765391077</v>
      </c>
      <c r="BCJ15" s="1082">
        <f>(BCI15+BCJ9-BCJ11)-6500</f>
        <v>279.44096765391077</v>
      </c>
      <c r="BCK15" s="1082">
        <f>(BCJ15+BCK9-BCK11)+6100</f>
        <v>124.44096765391077</v>
      </c>
      <c r="BCL15" s="1082">
        <f>(BCK15+BCL9-BCL11)+4800</f>
        <v>219.44096765391077</v>
      </c>
      <c r="BCM15" s="1082">
        <f>(BCL15+BCM9-BCM11)+3500</f>
        <v>122.44096765391077</v>
      </c>
      <c r="BCN15" s="1082">
        <f>(BCM15+BCN9-BCN11)+4300</f>
        <v>114.44096765391077</v>
      </c>
      <c r="BCO15" s="1082">
        <f>(BCN15+BCO9-BCO11)+4300</f>
        <v>45.440967653910775</v>
      </c>
      <c r="BCP15" s="1082">
        <f>(BCO15+BCP9-BCP11)+4200</f>
        <v>124.44096765391077</v>
      </c>
      <c r="BCQ15" s="1082">
        <f>(BCP15+BCQ9-BCQ11)+4600</f>
        <v>183.44096765391077</v>
      </c>
      <c r="BCR15" s="1082">
        <f>(BCQ15+BCR9-BCR11)+1500</f>
        <v>605.44096765391077</v>
      </c>
      <c r="BCS15" s="1082">
        <f>(BCR15+BCS9-BCS11)+4000</f>
        <v>435.44096765391077</v>
      </c>
      <c r="BCT15" s="1082">
        <f>(BCS15+BCT9-BCT11)</f>
        <v>492.44096765391077</v>
      </c>
      <c r="BCU15" s="1082">
        <f>(BCT15+BCU9-BCU11)</f>
        <v>817.44096765391077</v>
      </c>
      <c r="BCV15" s="1082">
        <f>(BCU15+BCV9-BCV11)+3000</f>
        <v>254.44096765391077</v>
      </c>
      <c r="BCW15" s="1082">
        <f>(BCV15+BCW9-BCW11)+1200</f>
        <v>282.44096765391077</v>
      </c>
      <c r="BCX15" s="1082">
        <f>(BCW15+BCX9-BCX11)+5000</f>
        <v>460.44096765391077</v>
      </c>
      <c r="BCY15" s="1082">
        <f>(BCX15+BCY9-BCY11)+440</f>
        <v>750.44096765391077</v>
      </c>
      <c r="BCZ15" s="1082">
        <f>(BCY15+BCZ9-BCZ11)+400</f>
        <v>1030.4409676539108</v>
      </c>
      <c r="BDA15" s="1082">
        <f>(BCZ15+BDA9-BDA11)+2500</f>
        <v>902.44096765391077</v>
      </c>
      <c r="BDB15" s="1082">
        <f>(BDA15+BDB9-BDB11)+6000</f>
        <v>830.44096765391077</v>
      </c>
      <c r="BDC15" s="1082">
        <f>(BDB15+BDC9-BDC11)+1</f>
        <v>1481.4409676539108</v>
      </c>
      <c r="BDD15" s="1082">
        <f>(BDC15+BDD9-BDD11)+2000</f>
        <v>322.44096765391077</v>
      </c>
      <c r="BDE15" s="1082">
        <f>(BDD15+BDE9-BDE11)+4000</f>
        <v>231.44096765391077</v>
      </c>
      <c r="BDF15" s="1082">
        <f>(BDE15+BDF9-BDF11)+1500</f>
        <v>878.44096765391077</v>
      </c>
      <c r="BDG15" s="1082">
        <f>(BDF15+BDG9-BDG11)+4500</f>
        <v>930.44096765391077</v>
      </c>
      <c r="BDH15" s="1082">
        <f>(BDG15+BDH9-BDH11)+3090</f>
        <v>1016.4409676539108</v>
      </c>
      <c r="BDI15" s="1082">
        <f>(BDH15+BDI9-BDI11)+2400</f>
        <v>2312.4409676539108</v>
      </c>
      <c r="BDJ15" s="1082">
        <f>(BDI15+BDJ9-BDJ11)+2400</f>
        <v>1024.4409676539108</v>
      </c>
      <c r="BDK15" s="1082">
        <f>(BDJ15+BDK9-BDK11)+3500</f>
        <v>113.44096765391077</v>
      </c>
      <c r="BDL15" s="1082">
        <f>(BDK15+BDL9-BDL11)+4500</f>
        <v>293.44096765391077</v>
      </c>
      <c r="BDM15" s="1082">
        <f>(BDL15+BDM9-BDM11)+2000</f>
        <v>755.44096765391077</v>
      </c>
      <c r="BDN15" s="1082">
        <f>(BDM15+BDN9-BDN11)+4100</f>
        <v>550.44096765391077</v>
      </c>
      <c r="BDO15" s="1082">
        <f>(BDN15+BDO9-BDO11)+2500</f>
        <v>858.44096765391077</v>
      </c>
      <c r="BDP15" s="1082">
        <f>(BDO15+BDP9-BDP11)+200</f>
        <v>1038.4409676539108</v>
      </c>
      <c r="BDQ15" s="1082">
        <f>(BDP15+BDQ9-BDQ11)+3500</f>
        <v>943.44096765391077</v>
      </c>
      <c r="BDR15" s="1082">
        <f>(BDQ15+BDR9-BDR11)+1000</f>
        <v>891.44096765391077</v>
      </c>
      <c r="BDS15" s="1082">
        <f>(BDR15+BDS9-BDS11)+2900</f>
        <v>966.44096765391077</v>
      </c>
      <c r="BDT15" s="1082">
        <f>(BDS15+BDT9-BDT11)+1200</f>
        <v>821.44096765391077</v>
      </c>
      <c r="BDU15" s="1082">
        <f>(BDT15+BDU9-BDU11)+3700</f>
        <v>557.44096765391077</v>
      </c>
      <c r="BDV15" s="1082">
        <f>(BDU15+BDV9-BDV11)+200</f>
        <v>940.44096765391077</v>
      </c>
      <c r="BDW15" s="1082">
        <f>(BDV15+BDW9-BDW11)+4600</f>
        <v>230.44096765391077</v>
      </c>
      <c r="BDX15" s="1082">
        <f>(BDW15+BDX9-BDX11)+1000</f>
        <v>578.44096765391077</v>
      </c>
      <c r="BDY15" s="1082">
        <f>(BDX15+BDY9-BDY11)+1000</f>
        <v>347.44096765391077</v>
      </c>
      <c r="BDZ15" s="1082">
        <f>(BDY15+BDZ9-BDZ11)+1500</f>
        <v>322.44096765391077</v>
      </c>
      <c r="BEA15" s="1082">
        <f>(BDZ15+BEA9-BEA11)+1100</f>
        <v>577.44096765391077</v>
      </c>
      <c r="BEB15" s="1082">
        <f>(BEA15+BEB9-BEB11)+1100</f>
        <v>978.44096765391077</v>
      </c>
      <c r="BEC15" s="1082">
        <f>(BEB15+BEC9-BEC11)+1100</f>
        <v>1212.4409676539108</v>
      </c>
      <c r="BED15" s="1082">
        <f>(BEC15+BED9-BED11)+3000</f>
        <v>635.44096765391077</v>
      </c>
      <c r="BEE15" s="1082">
        <f>(BED15+BEE9-BEE11)+3000</f>
        <v>631.44096765391077</v>
      </c>
      <c r="BEF15" s="1082">
        <f>(BEE15+BEF9-BEF11)+2000</f>
        <v>1085.4409676539108</v>
      </c>
      <c r="BEG15" s="1082">
        <f>(BEF15+BEG9-BEG11)+2000</f>
        <v>148.44096765391077</v>
      </c>
      <c r="BEH15" s="1082">
        <f>(BEG15+BEH9-BEH11)+1400</f>
        <v>639.44096765391077</v>
      </c>
      <c r="BEI15" s="1082">
        <f>(BEH15+BEI9-BEI11)+1000</f>
        <v>1932.4409676539108</v>
      </c>
      <c r="BEJ15" s="1082">
        <f t="shared" ref="BEJ15:BEM15" si="867">(BEI15+BEJ9-BEJ11)+3000</f>
        <v>1074.4409676539108</v>
      </c>
      <c r="BEK15" s="1082">
        <f t="shared" si="867"/>
        <v>860.44096765391077</v>
      </c>
      <c r="BEL15" s="1082">
        <f t="shared" si="867"/>
        <v>2134.4409676539108</v>
      </c>
      <c r="BEM15" s="1082">
        <f t="shared" si="867"/>
        <v>1542.4409676539108</v>
      </c>
      <c r="BEN15" s="1082">
        <f>(BEM15+BEN9-BEN11)+2000</f>
        <v>1156.4409676539108</v>
      </c>
      <c r="BEO15" s="1082">
        <f>(BEN15+BEO9-BEO11)+3500</f>
        <v>945.44096765391077</v>
      </c>
      <c r="BEP15" s="1082">
        <f>(BEO15+BEP9-BEP11)+1900</f>
        <v>635.44096765391077</v>
      </c>
      <c r="BEQ15" s="1082">
        <f>(BEP15+BEQ9-BEQ11)+3000</f>
        <v>594.44096765391077</v>
      </c>
      <c r="BER15" s="1082">
        <f>(BEQ15+BER9-BER11)+1600</f>
        <v>645.44096765391077</v>
      </c>
      <c r="BES15" s="1082">
        <f>(BER15+BES9-BES11)</f>
        <v>1902.4409676539108</v>
      </c>
      <c r="BET15" s="1082">
        <f>(BES15+BET9-BET11)+6000</f>
        <v>751.44096765391077</v>
      </c>
      <c r="BEU15" s="1082">
        <f>(BET15+BEU9-BEU11)+2500</f>
        <v>557.44096765391077</v>
      </c>
      <c r="BEV15" s="1082">
        <f>(BEU15+BEV9-BEV11)+3000</f>
        <v>973.44096765391077</v>
      </c>
      <c r="BEW15" s="1082">
        <f>(BEV15+BEW9-BEW11)+2000</f>
        <v>989.44096765391077</v>
      </c>
      <c r="BEX15" s="1082">
        <f>(BEW15+BEX9-BEX11)+3000</f>
        <v>987.44096765391077</v>
      </c>
      <c r="BEY15" s="1082">
        <f>(BEX15+BEY9-BEY11)+2500</f>
        <v>705.44096765391077</v>
      </c>
      <c r="BEZ15" s="1082">
        <f>(BEY15+BEZ9-BEZ11)+2500</f>
        <v>1116.4409676539108</v>
      </c>
      <c r="BFA15" s="1082">
        <f>(BEZ15+BFA9-BFA11)+1500</f>
        <v>3106.4409676539108</v>
      </c>
      <c r="BFB15" s="1082">
        <f>(BFA15+BFB9-BFB11)+1500</f>
        <v>2497.4409676539108</v>
      </c>
      <c r="BFC15" s="1082">
        <f>(BFB15+BFC9-BFC11)+2500</f>
        <v>636.44096765391077</v>
      </c>
      <c r="BFD15" s="1082">
        <f>(BFC15+BFD9-BFD11)+2000</f>
        <v>1440.4409676539108</v>
      </c>
      <c r="BFE15" s="1082">
        <f>(BFD15+BFE9-BFE11)+2000</f>
        <v>771.44096765391077</v>
      </c>
      <c r="BFF15" s="1082">
        <f>(BFE15+BFF9-BFF11)+2000</f>
        <v>525.44096765391077</v>
      </c>
      <c r="BFG15" s="1082">
        <f>(BFF15+BFG9-BFG11)+3500</f>
        <v>382.44096765391077</v>
      </c>
      <c r="BFH15" s="1082">
        <f>(BFG15+BFH9-BFH11)+3500</f>
        <v>977.44096765391077</v>
      </c>
      <c r="BFI15" s="1082">
        <f>(BFH15+BFI9-BFI11)+500</f>
        <v>524.44096765391077</v>
      </c>
      <c r="BFJ15" s="1082">
        <f>(BFI15+BFJ9-BFJ11)+4000</f>
        <v>412.44096765391077</v>
      </c>
      <c r="BFK15" s="1082">
        <f>(BFJ15+BFK9-BFK11)+1000</f>
        <v>1478.4409676539108</v>
      </c>
      <c r="BFL15" s="1082">
        <f>(BFK15+BFL9-BFL11)+500</f>
        <v>1936.4409676539108</v>
      </c>
      <c r="BFM15" s="1082">
        <f>(BFL15+BFM9-BFM11)+3000</f>
        <v>725.44096765391077</v>
      </c>
      <c r="BFN15" s="1082">
        <f>(BFM15+BFN9-BFN11)+3000</f>
        <v>992.44096765391077</v>
      </c>
      <c r="BFO15" s="1082">
        <f>(BFN15+BFO9-BFO11)+3000</f>
        <v>1288.4409676539108</v>
      </c>
      <c r="BFP15" s="1082">
        <f>(BFO15+BFP9-BFP11)</f>
        <v>752.44096765391077</v>
      </c>
      <c r="BFQ15" s="1082">
        <f>(BFP15+BFQ9-BFQ11)+2000</f>
        <v>522.44096765391077</v>
      </c>
      <c r="BFR15" s="1082">
        <f>(BFQ15+BFR9-BFR11)+2500</f>
        <v>600.44096765391077</v>
      </c>
      <c r="BFS15" s="1082">
        <f>(BFR15+BFS9-BFS11)-2000</f>
        <v>665.44096765391077</v>
      </c>
      <c r="BFT15" s="1082">
        <f>(BFS15+BFT9-BFT11)+500</f>
        <v>481.44096765391077</v>
      </c>
      <c r="BFU15" s="1082">
        <f>(BFT15+BFU9-BFU11)+100</f>
        <v>822.44096765391077</v>
      </c>
      <c r="BFV15" s="1082">
        <f>(BFU15+BFV9-BFV11)-1200</f>
        <v>1068.4409676539108</v>
      </c>
      <c r="BFW15" s="1082">
        <f>(BFV15+BFW9-BFW11)</f>
        <v>1278.4409676539108</v>
      </c>
      <c r="BFX15" s="1082">
        <f>(BFW15+BFX9-BFX11)-1700</f>
        <v>1897.4409676539108</v>
      </c>
      <c r="BFY15" s="1082">
        <f>(BFX15+BFY9-BFY11)-500</f>
        <v>1061.4409676539108</v>
      </c>
      <c r="BFZ15" s="1082">
        <f>(BFY15+BFZ9-BFZ11)-2000</f>
        <v>1023.4409676539108</v>
      </c>
      <c r="BGA15" s="1082">
        <f>(BFZ15+BGA9-BGA11)+2500</f>
        <v>1251.4409676539108</v>
      </c>
      <c r="BGB15" s="1082">
        <f>(BGA15+BGB9-BGB11)+1000</f>
        <v>1130.4409676539108</v>
      </c>
      <c r="BGC15" s="1082">
        <f>(BGB15+BGC9-BGC11)-1000</f>
        <v>1149.4409676539108</v>
      </c>
      <c r="BGD15" s="1082">
        <f>(BGC15+BGD9-BGD11)-1000</f>
        <v>1774.4409676539108</v>
      </c>
      <c r="BGE15" s="1082">
        <f>(BGD15+BGE9-BGE11)+100</f>
        <v>1383.4409676539108</v>
      </c>
      <c r="BGF15" s="1082">
        <f>(BGE15+BGF9-BGF11)+2000</f>
        <v>1276.4409676539108</v>
      </c>
      <c r="BGG15" s="1082">
        <f>(BGF15+BGG9-BGG11)+5000</f>
        <v>1482.4409676539108</v>
      </c>
      <c r="BGH15" s="1082">
        <f>(BGG15+BGH9-BGH11)+5000</f>
        <v>1245.4409676539108</v>
      </c>
      <c r="BGI15" s="1082">
        <f>(BGH15+BGI9-BGI11)+5000</f>
        <v>955.44096765391077</v>
      </c>
      <c r="BGJ15" s="1082">
        <f>(BGI15+BGJ9-BGJ11)+3000</f>
        <v>838.44096765391077</v>
      </c>
      <c r="BGK15" s="1082">
        <f>(BGJ15+BGK9-BGK11)+2000</f>
        <v>1270.4409676539108</v>
      </c>
      <c r="BGL15" s="1082">
        <f>(BGK15+BGL9-BGL11)+4200</f>
        <v>995.44096765391077</v>
      </c>
      <c r="BGM15" s="1155" t="e">
        <f t="shared" ref="BGM15:BHU15" si="868">BGM13*0.15</f>
        <v>#REF!</v>
      </c>
      <c r="BGN15" s="1155" t="e">
        <f t="shared" si="868"/>
        <v>#REF!</v>
      </c>
      <c r="BGO15" s="1155" t="e">
        <f t="shared" si="868"/>
        <v>#REF!</v>
      </c>
      <c r="BGP15" s="1155" t="e">
        <f t="shared" si="868"/>
        <v>#REF!</v>
      </c>
      <c r="BGQ15" s="1155" t="e">
        <f t="shared" si="868"/>
        <v>#REF!</v>
      </c>
      <c r="BGR15" s="1155" t="e">
        <f t="shared" si="868"/>
        <v>#REF!</v>
      </c>
      <c r="BGS15" s="1155" t="e">
        <f t="shared" si="868"/>
        <v>#REF!</v>
      </c>
      <c r="BGT15" s="1155" t="e">
        <f t="shared" si="868"/>
        <v>#REF!</v>
      </c>
      <c r="BGU15" s="1155" t="e">
        <f t="shared" si="868"/>
        <v>#REF!</v>
      </c>
      <c r="BGV15" s="1155" t="e">
        <f t="shared" si="868"/>
        <v>#REF!</v>
      </c>
      <c r="BGW15" s="1155" t="e">
        <f t="shared" si="868"/>
        <v>#REF!</v>
      </c>
      <c r="BGX15" s="1155" t="e">
        <f t="shared" si="868"/>
        <v>#REF!</v>
      </c>
      <c r="BGY15" s="1155" t="e">
        <f t="shared" si="868"/>
        <v>#REF!</v>
      </c>
      <c r="BGZ15" s="1155" t="e">
        <f t="shared" si="868"/>
        <v>#REF!</v>
      </c>
      <c r="BHA15" s="1155" t="e">
        <f t="shared" si="868"/>
        <v>#REF!</v>
      </c>
      <c r="BHB15" s="1155" t="e">
        <f t="shared" si="868"/>
        <v>#REF!</v>
      </c>
      <c r="BHC15" s="1155" t="e">
        <f t="shared" si="868"/>
        <v>#REF!</v>
      </c>
      <c r="BHD15" s="1155" t="e">
        <f t="shared" si="868"/>
        <v>#REF!</v>
      </c>
      <c r="BHE15" s="1155" t="e">
        <f t="shared" si="868"/>
        <v>#REF!</v>
      </c>
      <c r="BHF15" s="1155" t="e">
        <f t="shared" si="868"/>
        <v>#REF!</v>
      </c>
      <c r="BHG15" s="1155" t="e">
        <f t="shared" si="868"/>
        <v>#REF!</v>
      </c>
      <c r="BHH15" s="1155" t="e">
        <f t="shared" si="868"/>
        <v>#REF!</v>
      </c>
      <c r="BHI15" s="1155" t="e">
        <f t="shared" si="868"/>
        <v>#REF!</v>
      </c>
      <c r="BHJ15" s="1155" t="e">
        <f t="shared" si="868"/>
        <v>#REF!</v>
      </c>
      <c r="BHK15" s="1155" t="e">
        <f t="shared" si="868"/>
        <v>#REF!</v>
      </c>
      <c r="BHL15" s="1155" t="e">
        <f t="shared" si="868"/>
        <v>#REF!</v>
      </c>
      <c r="BHM15" s="1155" t="e">
        <f t="shared" si="868"/>
        <v>#REF!</v>
      </c>
      <c r="BHN15" s="1155" t="e">
        <f t="shared" si="868"/>
        <v>#REF!</v>
      </c>
      <c r="BHO15" s="1155" t="e">
        <f t="shared" si="868"/>
        <v>#REF!</v>
      </c>
      <c r="BHP15" s="1155" t="e">
        <f t="shared" si="868"/>
        <v>#REF!</v>
      </c>
      <c r="BHQ15" s="1155" t="e">
        <f t="shared" si="868"/>
        <v>#REF!</v>
      </c>
      <c r="BHR15" s="1155" t="e">
        <f t="shared" si="868"/>
        <v>#REF!</v>
      </c>
      <c r="BHS15" s="1155" t="e">
        <f t="shared" si="868"/>
        <v>#REF!</v>
      </c>
      <c r="BHT15" s="1155" t="e">
        <f t="shared" si="868"/>
        <v>#REF!</v>
      </c>
      <c r="BHU15" s="1155" t="e">
        <f t="shared" si="868"/>
        <v>#REF!</v>
      </c>
    </row>
    <row r="16" spans="1:1615" ht="21" customHeight="1" thickBot="1" x14ac:dyDescent="0.25">
      <c r="A16" s="1"/>
      <c r="B16" s="1"/>
      <c r="C16" s="1"/>
      <c r="D16" s="1"/>
      <c r="E16" s="1150"/>
      <c r="F16" s="1150"/>
      <c r="G16" s="1150"/>
      <c r="H16" s="1125"/>
      <c r="I16" s="1125"/>
      <c r="J16" s="1125"/>
      <c r="K16" s="1125"/>
      <c r="L16" s="1125"/>
      <c r="M16" s="1125"/>
      <c r="N16" s="1125"/>
      <c r="O16" s="1119"/>
      <c r="P16" s="1125"/>
      <c r="Q16" s="1125"/>
      <c r="R16" s="1125"/>
      <c r="S16" s="1125"/>
      <c r="T16" s="1125"/>
      <c r="U16" s="1125"/>
      <c r="V16" s="1125"/>
      <c r="W16" s="1125"/>
      <c r="X16" s="1125"/>
      <c r="Y16" s="1125"/>
      <c r="Z16" s="1125"/>
      <c r="AA16" s="1125"/>
      <c r="AB16" s="1125"/>
      <c r="AC16" s="1125"/>
      <c r="AD16" s="1125"/>
      <c r="AE16" s="1125"/>
      <c r="AF16" s="1125"/>
      <c r="AG16" s="1125"/>
      <c r="AH16" s="1125"/>
      <c r="AI16" s="1125"/>
      <c r="AJ16" s="1125"/>
      <c r="AK16" s="1125"/>
      <c r="AL16" s="1125"/>
      <c r="AM16" s="1125"/>
      <c r="AN16" s="1125"/>
      <c r="AO16" s="1125"/>
      <c r="AP16" s="1125"/>
      <c r="AQ16" s="1125"/>
      <c r="AR16" s="1125"/>
      <c r="AS16" s="1125"/>
      <c r="AT16" s="1125"/>
      <c r="AU16" s="1095"/>
      <c r="AV16" s="1095"/>
      <c r="AW16" s="1095"/>
      <c r="AX16" s="1125"/>
      <c r="AY16" s="1125"/>
      <c r="AZ16" s="1125"/>
      <c r="BA16" s="1125"/>
      <c r="BB16" s="1125"/>
      <c r="BC16" s="1125"/>
      <c r="BD16" s="1125"/>
      <c r="BE16" s="1125"/>
      <c r="BF16" s="1125"/>
      <c r="BG16" s="1125"/>
      <c r="BH16" s="1125"/>
      <c r="BI16" s="1125"/>
      <c r="BJ16" s="1125"/>
      <c r="BK16" s="1125"/>
      <c r="BL16" s="1125"/>
      <c r="BM16" s="1125"/>
      <c r="BN16" s="1125"/>
      <c r="BO16" s="1125"/>
      <c r="BP16" s="1125"/>
      <c r="BQ16" s="1125"/>
      <c r="BR16" s="1125"/>
      <c r="BS16" s="1125"/>
      <c r="BT16" s="1125"/>
      <c r="BU16" s="1125"/>
      <c r="BV16" s="1125"/>
      <c r="BW16" s="1125"/>
      <c r="BX16" s="1125"/>
      <c r="BY16" s="1125"/>
      <c r="BZ16" s="1125"/>
      <c r="CA16" s="1125"/>
      <c r="CB16" s="1125"/>
      <c r="CC16" s="1125"/>
      <c r="CD16" s="1125"/>
      <c r="CE16" s="1125"/>
      <c r="CF16" s="1125"/>
      <c r="CG16" s="1125"/>
      <c r="CH16" s="1125"/>
      <c r="CI16" s="1125"/>
      <c r="CJ16" s="1125"/>
      <c r="CK16" s="1125"/>
      <c r="CL16" s="1125"/>
      <c r="CM16" s="1125"/>
      <c r="CN16" s="1125"/>
      <c r="CO16" s="1125"/>
      <c r="CP16" s="1125"/>
      <c r="CQ16" s="1125"/>
      <c r="CR16" s="1125"/>
      <c r="CS16" s="1125"/>
      <c r="CT16" s="1125"/>
      <c r="CU16" s="1125"/>
      <c r="CV16" s="1125"/>
      <c r="CW16" s="1125"/>
      <c r="CX16" s="1125"/>
      <c r="CY16" s="1125"/>
      <c r="CZ16" s="1125"/>
      <c r="DA16" s="1125"/>
      <c r="DB16" s="1125"/>
      <c r="DC16" s="1125"/>
      <c r="DD16" s="1125"/>
      <c r="DE16" s="1125"/>
      <c r="DF16" s="1125"/>
      <c r="DG16" s="1125"/>
      <c r="DH16" s="1125"/>
      <c r="DI16" s="1125"/>
      <c r="DJ16" s="1125"/>
      <c r="DK16" s="1125"/>
      <c r="DL16" s="1125"/>
      <c r="DM16" s="1125"/>
      <c r="DN16" s="1125"/>
      <c r="DO16" s="1125"/>
      <c r="DP16" s="1125"/>
      <c r="DQ16" s="1125"/>
      <c r="DR16" s="1125"/>
      <c r="DS16" s="1125"/>
      <c r="DT16" s="1125"/>
      <c r="DU16" s="1125"/>
      <c r="DV16" s="1125"/>
      <c r="DW16" s="1125"/>
      <c r="DX16" s="1125"/>
      <c r="DY16" s="1125"/>
      <c r="DZ16" s="1125"/>
      <c r="EA16" s="1125"/>
      <c r="EB16" s="1125"/>
      <c r="EC16" s="1125"/>
      <c r="ED16" s="1125"/>
      <c r="EE16" s="1125"/>
      <c r="EF16" s="1125"/>
      <c r="EG16" s="1125"/>
      <c r="EH16" s="1125"/>
      <c r="EI16" s="1125"/>
      <c r="EJ16" s="1125"/>
      <c r="EK16" s="1125"/>
      <c r="EL16" s="1125"/>
      <c r="EM16" s="1125"/>
      <c r="EN16" s="1125"/>
      <c r="EO16" s="1125"/>
      <c r="EP16" s="1125"/>
      <c r="EQ16" s="1125"/>
      <c r="ER16" s="1125"/>
      <c r="ES16" s="1125"/>
      <c r="ET16" s="1125"/>
      <c r="EU16" s="1125"/>
      <c r="EV16" s="1125"/>
      <c r="EW16" s="1125"/>
      <c r="EX16" s="1125"/>
      <c r="EY16" s="1125"/>
      <c r="EZ16" s="1125"/>
      <c r="FA16" s="1125"/>
      <c r="FB16" s="1125"/>
      <c r="FC16" s="1125"/>
      <c r="FD16" s="1125"/>
      <c r="FE16" s="1125"/>
      <c r="FF16" s="1125"/>
      <c r="FG16" s="1125"/>
      <c r="FH16" s="1125"/>
      <c r="FI16" s="1125"/>
      <c r="FJ16" s="1125"/>
      <c r="FK16" s="1125"/>
      <c r="FL16" s="1125"/>
      <c r="FM16" s="1125"/>
      <c r="FN16" s="1125"/>
      <c r="FO16" s="1125"/>
      <c r="FP16" s="1125"/>
      <c r="FQ16" s="1125"/>
      <c r="FR16" s="1125"/>
      <c r="FS16" s="1125"/>
      <c r="FT16" s="1125"/>
      <c r="FU16" s="1125"/>
      <c r="FV16" s="1125"/>
      <c r="FW16" s="1125"/>
      <c r="FX16" s="1125"/>
      <c r="FY16" s="1125"/>
      <c r="FZ16" s="1125"/>
      <c r="GA16" s="1125"/>
      <c r="GB16" s="1125"/>
      <c r="GC16" s="1125"/>
      <c r="GD16" s="1125"/>
      <c r="GE16" s="1125"/>
      <c r="GF16" s="1125"/>
      <c r="GG16" s="1125"/>
      <c r="GH16" s="1125"/>
      <c r="GI16" s="1125"/>
      <c r="GJ16" s="1125"/>
      <c r="GK16" s="1125"/>
      <c r="GL16" s="1125"/>
      <c r="GM16" s="1125"/>
      <c r="GN16" s="1125"/>
      <c r="GO16" s="1125"/>
      <c r="GP16" s="1125"/>
      <c r="GQ16" s="1125"/>
      <c r="GR16" s="1125"/>
      <c r="GS16" s="1125"/>
      <c r="GT16" s="1125"/>
      <c r="GU16" s="1125"/>
      <c r="GV16" s="1125"/>
      <c r="GW16" s="1125"/>
      <c r="GX16" s="1125"/>
      <c r="GY16" s="1125"/>
      <c r="GZ16" s="1125"/>
      <c r="HA16" s="1125"/>
      <c r="HB16" s="1125"/>
      <c r="HC16" s="1125"/>
      <c r="HD16" s="1125"/>
      <c r="HE16" s="1125"/>
      <c r="HF16" s="1125"/>
      <c r="HG16" s="1125"/>
      <c r="HH16" s="1125"/>
      <c r="HI16" s="1125"/>
      <c r="HJ16" s="1126"/>
      <c r="HK16" s="1125"/>
      <c r="HL16" s="1122"/>
      <c r="HM16" s="1095"/>
      <c r="HN16" s="1095"/>
      <c r="HO16" s="1095"/>
      <c r="HP16" s="1095"/>
      <c r="HQ16" s="1095"/>
      <c r="HR16" s="1095"/>
      <c r="HS16" s="1095"/>
      <c r="HT16" s="1095"/>
      <c r="HU16" s="1095"/>
      <c r="HV16" s="1095"/>
      <c r="HW16" s="1095"/>
      <c r="HX16" s="1095"/>
      <c r="HY16" s="1095"/>
      <c r="HZ16" s="1095"/>
      <c r="IA16" s="1095"/>
      <c r="IB16" s="1095"/>
      <c r="IC16" s="1095"/>
      <c r="ID16" s="1095"/>
      <c r="IE16" s="1095"/>
      <c r="IF16" s="1095"/>
      <c r="IG16" s="1095"/>
      <c r="IH16" s="1095"/>
      <c r="II16" s="1095"/>
      <c r="IJ16" s="1095"/>
      <c r="IK16" s="1095"/>
      <c r="IL16" s="1095"/>
      <c r="IM16" s="1095"/>
      <c r="IN16" s="1095"/>
      <c r="IO16" s="1095"/>
      <c r="IP16" s="1095"/>
      <c r="IQ16" s="1095"/>
      <c r="IR16" s="1095"/>
      <c r="IS16" s="1095"/>
      <c r="IT16" s="1095"/>
      <c r="IU16" s="1095"/>
      <c r="IV16" s="1095"/>
      <c r="IW16" s="1095"/>
      <c r="IX16" s="1095"/>
      <c r="IY16" s="1095"/>
      <c r="IZ16" s="1095"/>
      <c r="JA16" s="1095"/>
      <c r="JB16" s="1095"/>
      <c r="JC16" s="1095"/>
      <c r="JD16" s="1095"/>
      <c r="JE16" s="1054"/>
      <c r="JF16" s="143">
        <f t="shared" ref="JF16:KK16" si="869">JF13-JF15</f>
        <v>19970.641999999756</v>
      </c>
      <c r="JG16" s="143">
        <f t="shared" si="869"/>
        <v>18222.111199999756</v>
      </c>
      <c r="JH16" s="143">
        <f t="shared" si="869"/>
        <v>15884.160399999753</v>
      </c>
      <c r="JI16" s="143">
        <f t="shared" si="869"/>
        <v>13911.049599999751</v>
      </c>
      <c r="JJ16" s="143">
        <f t="shared" si="869"/>
        <v>13789.418799999748</v>
      </c>
      <c r="JK16" s="143">
        <f t="shared" si="869"/>
        <v>14653.487999999747</v>
      </c>
      <c r="JL16" s="143">
        <f t="shared" si="869"/>
        <v>15516.017199999744</v>
      </c>
      <c r="JM16" s="143">
        <f t="shared" si="869"/>
        <v>16384.006399999744</v>
      </c>
      <c r="JN16" s="143">
        <f t="shared" si="869"/>
        <v>17427.463599999741</v>
      </c>
      <c r="JO16" s="143">
        <f t="shared" si="869"/>
        <v>21106.186799999738</v>
      </c>
      <c r="JP16" s="143">
        <f t="shared" si="869"/>
        <v>23310.605999999738</v>
      </c>
      <c r="JQ16" s="143">
        <f t="shared" si="869"/>
        <v>24325.911199999737</v>
      </c>
      <c r="JR16" s="143">
        <f t="shared" si="869"/>
        <v>21603.020399999736</v>
      </c>
      <c r="JS16" s="143">
        <f t="shared" si="869"/>
        <v>20416.413599999734</v>
      </c>
      <c r="JT16" s="143">
        <f t="shared" si="869"/>
        <v>20035.366799999734</v>
      </c>
      <c r="JU16" s="143">
        <f t="shared" si="869"/>
        <v>18689.671999999733</v>
      </c>
      <c r="JV16" s="143">
        <f t="shared" si="869"/>
        <v>19736.16519999973</v>
      </c>
      <c r="JW16" s="143">
        <f t="shared" si="869"/>
        <v>20570.138399999727</v>
      </c>
      <c r="JX16" s="143">
        <f t="shared" si="869"/>
        <v>21538.247599999726</v>
      </c>
      <c r="JY16" s="143">
        <f t="shared" si="869"/>
        <v>22357.040799999726</v>
      </c>
      <c r="JZ16" s="143">
        <f t="shared" si="869"/>
        <v>23320.595999999721</v>
      </c>
      <c r="KA16" s="143">
        <f t="shared" si="869"/>
        <v>24321.411199999719</v>
      </c>
      <c r="KB16" s="143">
        <f t="shared" si="869"/>
        <v>25116.40539999972</v>
      </c>
      <c r="KC16" s="143">
        <f t="shared" si="869"/>
        <v>24871.929599999719</v>
      </c>
      <c r="KD16" s="143">
        <f t="shared" si="869"/>
        <v>25098.086299999719</v>
      </c>
      <c r="KE16" s="143">
        <f t="shared" si="869"/>
        <v>25045.040499999719</v>
      </c>
      <c r="KF16" s="143">
        <f t="shared" si="869"/>
        <v>24780.03469999972</v>
      </c>
      <c r="KG16" s="143">
        <f t="shared" si="869"/>
        <v>22469.201399999714</v>
      </c>
      <c r="KH16" s="143">
        <f t="shared" si="869"/>
        <v>22515.710599999715</v>
      </c>
      <c r="KI16" s="143">
        <f t="shared" si="869"/>
        <v>21613.917299999714</v>
      </c>
      <c r="KJ16" s="143">
        <f t="shared" si="869"/>
        <v>21810.516499999714</v>
      </c>
      <c r="KK16" s="143">
        <f t="shared" si="869"/>
        <v>21439.740699999711</v>
      </c>
      <c r="KL16" s="143">
        <f t="shared" ref="KL16:LQ16" si="870">KL13-KL15</f>
        <v>19983.702399999711</v>
      </c>
      <c r="KM16" s="143">
        <f t="shared" si="870"/>
        <v>17724.47159999971</v>
      </c>
      <c r="KN16" s="143">
        <f t="shared" si="870"/>
        <v>16390.448299999709</v>
      </c>
      <c r="KO16" s="143">
        <f t="shared" si="870"/>
        <v>15320.412499999708</v>
      </c>
      <c r="KP16" s="143">
        <f t="shared" si="870"/>
        <v>13564.036699999708</v>
      </c>
      <c r="KQ16" s="143">
        <f t="shared" si="870"/>
        <v>11943.380899999707</v>
      </c>
      <c r="KR16" s="143">
        <f t="shared" si="870"/>
        <v>10838.365099999706</v>
      </c>
      <c r="KS16" s="143">
        <f t="shared" si="870"/>
        <v>7727.2792999997055</v>
      </c>
      <c r="KT16" s="143">
        <f t="shared" si="870"/>
        <v>5741.095999999704</v>
      </c>
      <c r="KU16" s="143">
        <f t="shared" si="870"/>
        <v>3462.9026999997031</v>
      </c>
      <c r="KV16" s="143">
        <f t="shared" si="870"/>
        <v>4045.4818999997024</v>
      </c>
      <c r="KW16" s="143">
        <f t="shared" si="870"/>
        <v>3441.9110999997019</v>
      </c>
      <c r="KX16" s="143">
        <f t="shared" si="870"/>
        <v>2996.1907999997029</v>
      </c>
      <c r="KY16" s="143">
        <f t="shared" si="870"/>
        <v>4230.899999999705</v>
      </c>
      <c r="KZ16" s="143">
        <f t="shared" si="870"/>
        <v>5025.2291999997051</v>
      </c>
      <c r="LA16" s="143">
        <f t="shared" si="870"/>
        <v>5721.4033999997046</v>
      </c>
      <c r="LB16" s="143">
        <f t="shared" si="870"/>
        <v>6450.7425999997031</v>
      </c>
      <c r="LC16" s="143">
        <f t="shared" si="870"/>
        <v>7060.2917999997007</v>
      </c>
      <c r="LD16" s="143">
        <f t="shared" si="870"/>
        <v>7769.2909999996991</v>
      </c>
      <c r="LE16" s="143">
        <f t="shared" si="870"/>
        <v>8365.610199999699</v>
      </c>
      <c r="LF16" s="143">
        <f t="shared" si="870"/>
        <v>7155.8593999996956</v>
      </c>
      <c r="LG16" s="143">
        <f t="shared" si="870"/>
        <v>5812.358599999694</v>
      </c>
      <c r="LH16" s="143">
        <f t="shared" si="870"/>
        <v>6472.739399999693</v>
      </c>
      <c r="LI16" s="143">
        <f t="shared" si="870"/>
        <v>6408.2570999996897</v>
      </c>
      <c r="LJ16" s="143">
        <f t="shared" si="870"/>
        <v>4908.0862999996898</v>
      </c>
      <c r="LK16" s="143">
        <f t="shared" si="870"/>
        <v>5465.8154999996887</v>
      </c>
      <c r="LL16" s="143">
        <f t="shared" si="870"/>
        <v>4490.9446999996881</v>
      </c>
      <c r="LM16" s="143">
        <f t="shared" si="870"/>
        <v>4897.8978999996889</v>
      </c>
      <c r="LN16" s="143">
        <f t="shared" si="870"/>
        <v>4733.9870999996892</v>
      </c>
      <c r="LO16" s="143">
        <f t="shared" si="870"/>
        <v>5395.3162999996903</v>
      </c>
      <c r="LP16" s="143">
        <f t="shared" si="870"/>
        <v>2966.39349999969</v>
      </c>
      <c r="LQ16" s="143">
        <f t="shared" si="870"/>
        <v>3970.4626999996917</v>
      </c>
      <c r="LR16" s="143">
        <f t="shared" ref="LR16:MW16" si="871">LR13-LR15</f>
        <v>4678.131899999692</v>
      </c>
      <c r="LS16" s="143">
        <f t="shared" si="871"/>
        <v>5669.041099999693</v>
      </c>
      <c r="LT16" s="143">
        <f t="shared" si="871"/>
        <v>6497.5502999996934</v>
      </c>
      <c r="LU16" s="143">
        <f t="shared" si="871"/>
        <v>7375.6594999996923</v>
      </c>
      <c r="LV16" s="143">
        <f t="shared" si="871"/>
        <v>8162.338699999691</v>
      </c>
      <c r="LW16" s="143">
        <f t="shared" si="871"/>
        <v>9166.44789999969</v>
      </c>
      <c r="LX16" s="143">
        <f t="shared" si="871"/>
        <v>9912.0770999996894</v>
      </c>
      <c r="LY16" s="143">
        <f t="shared" si="871"/>
        <v>10972.701299999688</v>
      </c>
      <c r="LZ16" s="143">
        <f t="shared" si="871"/>
        <v>11836.045499999687</v>
      </c>
      <c r="MA16" s="143">
        <f t="shared" si="871"/>
        <v>11622.794699999686</v>
      </c>
      <c r="MB16" s="143">
        <f t="shared" si="871"/>
        <v>11516.668699999685</v>
      </c>
      <c r="MC16" s="143">
        <f t="shared" si="871"/>
        <v>11539.038699999688</v>
      </c>
      <c r="MD16" s="143">
        <f t="shared" si="871"/>
        <v>10412.488699999689</v>
      </c>
      <c r="ME16" s="143">
        <f t="shared" si="871"/>
        <v>10154.978699999687</v>
      </c>
      <c r="MF16" s="143">
        <f t="shared" si="871"/>
        <v>9425.4286999996875</v>
      </c>
      <c r="MG16" s="143">
        <f t="shared" si="871"/>
        <v>8774.9346999996887</v>
      </c>
      <c r="MH16" s="143">
        <f t="shared" si="871"/>
        <v>9863.104699999687</v>
      </c>
      <c r="MI16" s="143">
        <f t="shared" si="871"/>
        <v>11017.139699999687</v>
      </c>
      <c r="MJ16" s="143">
        <f t="shared" si="871"/>
        <v>11941.689699999686</v>
      </c>
      <c r="MK16" s="143">
        <f t="shared" si="871"/>
        <v>12369.759699999686</v>
      </c>
      <c r="ML16" s="143">
        <f t="shared" si="871"/>
        <v>11941.349699999686</v>
      </c>
      <c r="MM16" s="143">
        <f t="shared" si="871"/>
        <v>10849.099699999686</v>
      </c>
      <c r="MN16" s="143">
        <f t="shared" si="871"/>
        <v>11934.684699999685</v>
      </c>
      <c r="MO16" s="143">
        <f t="shared" si="871"/>
        <v>11475.534699999687</v>
      </c>
      <c r="MP16" s="143">
        <f t="shared" si="871"/>
        <v>11393.624699999687</v>
      </c>
      <c r="MQ16" s="143">
        <f t="shared" si="871"/>
        <v>12275.402699999686</v>
      </c>
      <c r="MR16" s="143">
        <f t="shared" si="871"/>
        <v>11713.430699999684</v>
      </c>
      <c r="MS16" s="143">
        <f t="shared" si="871"/>
        <v>11431.888699999683</v>
      </c>
      <c r="MT16" s="143">
        <f t="shared" si="871"/>
        <v>10413.603699999683</v>
      </c>
      <c r="MU16" s="143">
        <f t="shared" si="871"/>
        <v>10628.893699999684</v>
      </c>
      <c r="MV16" s="143">
        <f t="shared" si="871"/>
        <v>8904.5906999996841</v>
      </c>
      <c r="MW16" s="143">
        <f t="shared" si="871"/>
        <v>8653.2056999996821</v>
      </c>
      <c r="MX16" s="143">
        <f t="shared" ref="MX16:OC16" si="872">MX13-MX15</f>
        <v>8063.1396999996832</v>
      </c>
      <c r="MY16" s="143">
        <f t="shared" si="872"/>
        <v>9185.0286999996824</v>
      </c>
      <c r="MZ16" s="143">
        <f t="shared" si="872"/>
        <v>8452.628699999681</v>
      </c>
      <c r="NA16" s="143">
        <f t="shared" si="872"/>
        <v>8168.5646999996789</v>
      </c>
      <c r="NB16" s="143">
        <f t="shared" si="872"/>
        <v>7902.8696999996791</v>
      </c>
      <c r="NC16" s="143">
        <f t="shared" si="872"/>
        <v>7550.6696999996784</v>
      </c>
      <c r="ND16" s="143">
        <f t="shared" si="872"/>
        <v>7257.3716999996795</v>
      </c>
      <c r="NE16" s="143">
        <f t="shared" si="872"/>
        <v>8505.8136999996786</v>
      </c>
      <c r="NF16" s="143">
        <f t="shared" si="872"/>
        <v>8020.1636999996772</v>
      </c>
      <c r="NG16" s="143">
        <f t="shared" si="872"/>
        <v>8260.3436999996775</v>
      </c>
      <c r="NH16" s="143">
        <f t="shared" si="872"/>
        <v>8595.4736999996785</v>
      </c>
      <c r="NI16" s="143">
        <f t="shared" si="872"/>
        <v>8043.5276999996786</v>
      </c>
      <c r="NJ16" s="143">
        <f t="shared" si="872"/>
        <v>8892.5216999996774</v>
      </c>
      <c r="NK16" s="143">
        <f t="shared" si="872"/>
        <v>9981.9856999996773</v>
      </c>
      <c r="NL16" s="143">
        <f t="shared" si="872"/>
        <v>9263.1716999996752</v>
      </c>
      <c r="NM16" s="143">
        <f t="shared" si="872"/>
        <v>9348.6876999996748</v>
      </c>
      <c r="NN16" s="143">
        <f t="shared" si="872"/>
        <v>9720.5796999996746</v>
      </c>
      <c r="NO16" s="143">
        <f t="shared" si="872"/>
        <v>9500.2796999996754</v>
      </c>
      <c r="NP16" s="143">
        <f t="shared" si="872"/>
        <v>9280.8716999996759</v>
      </c>
      <c r="NQ16" s="143">
        <f t="shared" si="872"/>
        <v>9342.2648999996745</v>
      </c>
      <c r="NR16" s="143">
        <f t="shared" si="872"/>
        <v>9079.1328999996731</v>
      </c>
      <c r="NS16" s="143">
        <f t="shared" si="872"/>
        <v>12108.058899999673</v>
      </c>
      <c r="NT16" s="143">
        <f t="shared" si="872"/>
        <v>12195.214899999672</v>
      </c>
      <c r="NU16" s="143">
        <f t="shared" si="872"/>
        <v>12489.289899999672</v>
      </c>
      <c r="NV16" s="143">
        <f t="shared" si="872"/>
        <v>12761.278699999672</v>
      </c>
      <c r="NW16" s="143">
        <f t="shared" si="872"/>
        <v>12697.354699999672</v>
      </c>
      <c r="NX16" s="143">
        <f t="shared" si="872"/>
        <v>12907.34989999967</v>
      </c>
      <c r="NY16" s="143">
        <f t="shared" si="872"/>
        <v>12937.785899999672</v>
      </c>
      <c r="NZ16" s="143">
        <f t="shared" si="872"/>
        <v>11805.790899999673</v>
      </c>
      <c r="OA16" s="143">
        <f t="shared" si="872"/>
        <v>11920.911899999672</v>
      </c>
      <c r="OB16" s="143">
        <f t="shared" si="872"/>
        <v>13050.927899999671</v>
      </c>
      <c r="OC16" s="143">
        <f t="shared" si="872"/>
        <v>13890.863899999673</v>
      </c>
      <c r="OD16" s="143">
        <f t="shared" ref="OD16:PI16" si="873">OD13-OD15</f>
        <v>13643.000899999672</v>
      </c>
      <c r="OE16" s="143">
        <f t="shared" si="873"/>
        <v>13485.245899999671</v>
      </c>
      <c r="OF16" s="143">
        <f t="shared" si="873"/>
        <v>13558.51189999967</v>
      </c>
      <c r="OG16" s="143">
        <f t="shared" si="873"/>
        <v>12224.04359999967</v>
      </c>
      <c r="OH16" s="143">
        <f t="shared" si="873"/>
        <v>11800.77659999967</v>
      </c>
      <c r="OI16" s="143">
        <f t="shared" si="873"/>
        <v>11642.472199999669</v>
      </c>
      <c r="OJ16" s="143">
        <f t="shared" si="873"/>
        <v>10233.610199999668</v>
      </c>
      <c r="OK16" s="143">
        <f t="shared" si="873"/>
        <v>6185.279199999668</v>
      </c>
      <c r="OL16" s="143">
        <f t="shared" si="873"/>
        <v>7597.0931999996683</v>
      </c>
      <c r="OM16" s="143">
        <f t="shared" si="873"/>
        <v>7198.0351999996674</v>
      </c>
      <c r="ON16" s="143">
        <f t="shared" si="873"/>
        <v>5284.6211999996667</v>
      </c>
      <c r="OO16" s="143">
        <f t="shared" si="873"/>
        <v>5277.1481999996668</v>
      </c>
      <c r="OP16" s="143">
        <f t="shared" si="873"/>
        <v>5340.9581999996662</v>
      </c>
      <c r="OQ16" s="143">
        <f t="shared" si="873"/>
        <v>4713.7061999996658</v>
      </c>
      <c r="OR16" s="143">
        <f t="shared" si="873"/>
        <v>4325.8681999996661</v>
      </c>
      <c r="OS16" s="143">
        <f t="shared" si="873"/>
        <v>4001.0391999996664</v>
      </c>
      <c r="OT16" s="143">
        <f t="shared" si="873"/>
        <v>3595.7311999996655</v>
      </c>
      <c r="OU16" s="143">
        <f t="shared" si="873"/>
        <v>3255.3541999996669</v>
      </c>
      <c r="OV16" s="143">
        <f t="shared" si="873"/>
        <v>4452.3541999996669</v>
      </c>
      <c r="OW16" s="143">
        <f t="shared" si="873"/>
        <v>3992.8821999996653</v>
      </c>
      <c r="OX16" s="143">
        <f t="shared" si="873"/>
        <v>4582.2131999996654</v>
      </c>
      <c r="OY16" s="143">
        <f t="shared" si="873"/>
        <v>4293.4951999996665</v>
      </c>
      <c r="OZ16" s="143">
        <f t="shared" si="873"/>
        <v>4277.4291999996676</v>
      </c>
      <c r="PA16" s="143">
        <f t="shared" si="873"/>
        <v>5280.0021999996679</v>
      </c>
      <c r="PB16" s="143">
        <f t="shared" si="873"/>
        <v>6170.0841999996701</v>
      </c>
      <c r="PC16" s="143">
        <f t="shared" si="873"/>
        <v>7126.2891999996718</v>
      </c>
      <c r="PD16" s="143">
        <f t="shared" si="873"/>
        <v>7972.7011999996721</v>
      </c>
      <c r="PE16" s="143">
        <f t="shared" si="873"/>
        <v>8582.2421999996732</v>
      </c>
      <c r="PF16" s="143">
        <f t="shared" si="873"/>
        <v>8738.2401999996728</v>
      </c>
      <c r="PG16" s="143">
        <f t="shared" si="873"/>
        <v>8092.3451999996723</v>
      </c>
      <c r="PH16" s="143">
        <f t="shared" si="873"/>
        <v>7720.5371999996714</v>
      </c>
      <c r="PI16" s="143">
        <f t="shared" si="873"/>
        <v>7140.3131999996695</v>
      </c>
      <c r="PJ16" s="143">
        <f t="shared" ref="PJ16:QC16" si="874">PJ13-PJ15</f>
        <v>7312.5091999996694</v>
      </c>
      <c r="PK16" s="143">
        <f t="shared" si="874"/>
        <v>7455.7371999996685</v>
      </c>
      <c r="PL16" s="143">
        <f t="shared" si="874"/>
        <v>7904.689199999666</v>
      </c>
      <c r="PM16" s="143">
        <f t="shared" si="874"/>
        <v>7920.7391999996653</v>
      </c>
      <c r="PN16" s="143">
        <f t="shared" si="874"/>
        <v>8488.6641999996646</v>
      </c>
      <c r="PO16" s="143">
        <f t="shared" si="874"/>
        <v>8946.9121999996642</v>
      </c>
      <c r="PP16" s="143">
        <f t="shared" si="874"/>
        <v>9709.9891999996653</v>
      </c>
      <c r="PQ16" s="143">
        <f t="shared" si="874"/>
        <v>10220.949199999664</v>
      </c>
      <c r="PR16" s="143">
        <f t="shared" si="874"/>
        <v>11043.225199999666</v>
      </c>
      <c r="PS16" s="143">
        <f t="shared" si="874"/>
        <v>11627.097199999665</v>
      </c>
      <c r="PT16" s="143">
        <f t="shared" si="874"/>
        <v>12455.370199999667</v>
      </c>
      <c r="PU16" s="143">
        <f t="shared" si="874"/>
        <v>12962.343199999668</v>
      </c>
      <c r="PV16" s="143">
        <f t="shared" si="874"/>
        <v>13715.508199999669</v>
      </c>
      <c r="PW16" s="143">
        <f t="shared" si="874"/>
        <v>13163.828199999669</v>
      </c>
      <c r="PX16" s="713">
        <f t="shared" si="874"/>
        <v>13984.793199999669</v>
      </c>
      <c r="PY16" s="143">
        <f t="shared" si="874"/>
        <v>14178.71119999967</v>
      </c>
      <c r="PZ16" s="143">
        <f t="shared" si="874"/>
        <v>12854.831199999669</v>
      </c>
      <c r="QA16" s="143">
        <f t="shared" si="874"/>
        <v>12700.526199999669</v>
      </c>
      <c r="QB16" s="143">
        <f t="shared" si="874"/>
        <v>12324.110199999668</v>
      </c>
      <c r="QC16" s="143">
        <f t="shared" si="874"/>
        <v>12322.311199999669</v>
      </c>
      <c r="QD16" s="143">
        <f t="shared" ref="QD16:RE16" si="875">QD14-QD15</f>
        <v>7734.0285119997461</v>
      </c>
      <c r="QE16" s="143">
        <f t="shared" si="875"/>
        <v>8400.7111263997467</v>
      </c>
      <c r="QF16" s="143">
        <f t="shared" si="875"/>
        <v>7690.1407463997566</v>
      </c>
      <c r="QG16" s="143">
        <f t="shared" si="875"/>
        <v>8188.5403805997412</v>
      </c>
      <c r="QH16" s="143">
        <f t="shared" si="875"/>
        <v>7913.6062227997463</v>
      </c>
      <c r="QI16" s="143">
        <f t="shared" si="875"/>
        <v>8710.5077065997411</v>
      </c>
      <c r="QJ16" s="143">
        <f t="shared" si="875"/>
        <v>10393.754506799751</v>
      </c>
      <c r="QK16" s="143">
        <f t="shared" si="875"/>
        <v>11735.795604799749</v>
      </c>
      <c r="QL16" s="143">
        <f t="shared" si="875"/>
        <v>13220.609475799742</v>
      </c>
      <c r="QM16" s="143">
        <f t="shared" si="875"/>
        <v>14408.225319599751</v>
      </c>
      <c r="QN16" s="143">
        <f t="shared" si="875"/>
        <v>15045.79586124975</v>
      </c>
      <c r="QO16" s="143">
        <f t="shared" si="875"/>
        <v>15799.77591199975</v>
      </c>
      <c r="QP16" s="143">
        <f t="shared" si="875"/>
        <v>17042.86741935974</v>
      </c>
      <c r="QQ16" s="143">
        <f t="shared" si="875"/>
        <v>17270.185118399746</v>
      </c>
      <c r="QR16" s="143">
        <f t="shared" si="875"/>
        <v>17870.784643199746</v>
      </c>
      <c r="QS16" s="143">
        <f t="shared" si="875"/>
        <v>16331.139322279745</v>
      </c>
      <c r="QT16" s="143">
        <f t="shared" si="875"/>
        <v>14163.792272799743</v>
      </c>
      <c r="QU16" s="143">
        <f t="shared" si="875"/>
        <v>13006.522679439742</v>
      </c>
      <c r="QV16" s="143">
        <f t="shared" si="875"/>
        <v>12032.859733439744</v>
      </c>
      <c r="QW16" s="143">
        <f t="shared" si="875"/>
        <v>11306.322847359745</v>
      </c>
      <c r="QX16" s="143">
        <f t="shared" si="875"/>
        <v>9934.8403825597416</v>
      </c>
      <c r="QY16" s="143">
        <f t="shared" si="875"/>
        <v>8416.0355017997426</v>
      </c>
      <c r="QZ16" s="143">
        <f t="shared" si="875"/>
        <v>9296.4656019997365</v>
      </c>
      <c r="RA16" s="143">
        <f t="shared" si="875"/>
        <v>9719.7793817597285</v>
      </c>
      <c r="RB16" s="143">
        <f t="shared" si="875"/>
        <v>9057.3242879997415</v>
      </c>
      <c r="RC16" s="143">
        <f t="shared" si="875"/>
        <v>8096.8974127997444</v>
      </c>
      <c r="RD16" s="143">
        <f t="shared" si="875"/>
        <v>8060.0829465597399</v>
      </c>
      <c r="RE16" s="143">
        <f t="shared" si="875"/>
        <v>8084.1798084797338</v>
      </c>
      <c r="RF16" s="143">
        <f t="shared" ref="RF16:TA16" si="876">RF14-RF15</f>
        <v>8319.8720351997472</v>
      </c>
      <c r="RG16" s="143">
        <f t="shared" si="876"/>
        <v>8874.4547519997395</v>
      </c>
      <c r="RH16" s="143">
        <f t="shared" si="876"/>
        <v>9891.4732745997335</v>
      </c>
      <c r="RI16" s="143">
        <f t="shared" si="876"/>
        <v>11602.459014599734</v>
      </c>
      <c r="RJ16" s="143">
        <f t="shared" si="876"/>
        <v>13727.940639999732</v>
      </c>
      <c r="RK16" s="143">
        <f t="shared" si="876"/>
        <v>14754.798876399744</v>
      </c>
      <c r="RL16" s="143">
        <f t="shared" si="876"/>
        <v>13769.998413679734</v>
      </c>
      <c r="RM16" s="143">
        <f t="shared" si="876"/>
        <v>12215.82579359973</v>
      </c>
      <c r="RN16" s="143">
        <f t="shared" si="876"/>
        <v>11700.005507799735</v>
      </c>
      <c r="RO16" s="143">
        <f t="shared" si="876"/>
        <v>10560.076947599733</v>
      </c>
      <c r="RP16" s="143">
        <f t="shared" si="876"/>
        <v>14188.527809599724</v>
      </c>
      <c r="RQ16" s="143">
        <f t="shared" si="876"/>
        <v>14119.130171199737</v>
      </c>
      <c r="RR16" s="143">
        <f t="shared" si="876"/>
        <v>13200.793772789737</v>
      </c>
      <c r="RS16" s="143">
        <f t="shared" si="876"/>
        <v>12941.236686599739</v>
      </c>
      <c r="RT16" s="143">
        <f t="shared" si="876"/>
        <v>11519.360450999746</v>
      </c>
      <c r="RU16" s="143">
        <f t="shared" si="876"/>
        <v>10473.22936439974</v>
      </c>
      <c r="RV16" s="143">
        <f t="shared" si="876"/>
        <v>11033.933412899742</v>
      </c>
      <c r="RW16" s="143">
        <f t="shared" si="876"/>
        <v>10472.471407599745</v>
      </c>
      <c r="RX16" s="143">
        <f t="shared" si="876"/>
        <v>9825.1622937997454</v>
      </c>
      <c r="RY16" s="143">
        <f t="shared" si="876"/>
        <v>10210.761828759749</v>
      </c>
      <c r="RZ16" s="143">
        <f t="shared" si="876"/>
        <v>11033.597691699741</v>
      </c>
      <c r="SA16" s="143">
        <f t="shared" si="876"/>
        <v>11154.21209989974</v>
      </c>
      <c r="SB16" s="143">
        <f t="shared" si="876"/>
        <v>12243.399032399735</v>
      </c>
      <c r="SC16" s="143">
        <f t="shared" si="876"/>
        <v>12360.811999399746</v>
      </c>
      <c r="SD16" s="143">
        <f t="shared" si="876"/>
        <v>12287.581500899742</v>
      </c>
      <c r="SE16" s="143">
        <f t="shared" si="876"/>
        <v>11420.440773299746</v>
      </c>
      <c r="SF16" s="143">
        <f t="shared" si="876"/>
        <v>11932.875812999744</v>
      </c>
      <c r="SG16" s="143">
        <f t="shared" si="876"/>
        <v>12663.580730399743</v>
      </c>
      <c r="SH16" s="143">
        <f t="shared" si="876"/>
        <v>11868.532092579748</v>
      </c>
      <c r="SI16" s="143">
        <f t="shared" si="876"/>
        <v>12560.507379899747</v>
      </c>
      <c r="SJ16" s="143">
        <f t="shared" si="876"/>
        <v>13684.606783999741</v>
      </c>
      <c r="SK16" s="143">
        <f t="shared" si="876"/>
        <v>13181.616173499735</v>
      </c>
      <c r="SL16" s="143">
        <f t="shared" si="876"/>
        <v>12540.134363599735</v>
      </c>
      <c r="SM16" s="143">
        <f t="shared" si="876"/>
        <v>12840.31554399973</v>
      </c>
      <c r="SN16" s="143">
        <f t="shared" si="876"/>
        <v>12953.198799999735</v>
      </c>
      <c r="SO16" s="143">
        <f t="shared" si="876"/>
        <v>11975.602513499734</v>
      </c>
      <c r="SP16" s="143">
        <f t="shared" si="876"/>
        <v>11898.599450849737</v>
      </c>
      <c r="SQ16" s="143">
        <f t="shared" si="876"/>
        <v>12483.451917719738</v>
      </c>
      <c r="SR16" s="143">
        <f t="shared" si="876"/>
        <v>12548.154979719748</v>
      </c>
      <c r="SS16" s="143">
        <f t="shared" si="876"/>
        <v>13711.25455009974</v>
      </c>
      <c r="ST16" s="143">
        <f t="shared" si="876"/>
        <v>13979.933776699741</v>
      </c>
      <c r="SU16" s="143">
        <f t="shared" si="876"/>
        <v>14037.523902799745</v>
      </c>
      <c r="SV16" s="143">
        <f t="shared" si="876"/>
        <v>13888.432877439755</v>
      </c>
      <c r="SW16" s="143">
        <f t="shared" si="876"/>
        <v>14650.186453449751</v>
      </c>
      <c r="SX16" s="143">
        <f t="shared" si="876"/>
        <v>14760.249343999752</v>
      </c>
      <c r="SY16" s="143">
        <f t="shared" si="876"/>
        <v>15528.556779999752</v>
      </c>
      <c r="SZ16" s="143">
        <f t="shared" si="876"/>
        <v>15522.894417499741</v>
      </c>
      <c r="TA16" s="143">
        <f t="shared" si="876"/>
        <v>14042.493004999749</v>
      </c>
      <c r="TB16" s="143">
        <f>TB13-TB15</f>
        <v>18682.609499999671</v>
      </c>
      <c r="TC16" s="143">
        <f t="shared" ref="TC16:UU16" si="877">TC13-TC15</f>
        <v>18816.448699999673</v>
      </c>
      <c r="TD16" s="143">
        <f t="shared" si="877"/>
        <v>18535.043699999675</v>
      </c>
      <c r="TE16" s="143">
        <f t="shared" si="877"/>
        <v>18152.123699999673</v>
      </c>
      <c r="TF16" s="143">
        <f t="shared" si="877"/>
        <v>17956.933699999674</v>
      </c>
      <c r="TG16" s="143">
        <f t="shared" si="877"/>
        <v>16976.430499999675</v>
      </c>
      <c r="TH16" s="143">
        <f t="shared" si="877"/>
        <v>16608.947299999672</v>
      </c>
      <c r="TI16" s="143">
        <f t="shared" si="877"/>
        <v>16218.648499999672</v>
      </c>
      <c r="TJ16" s="143">
        <f t="shared" si="877"/>
        <v>16155.968499999668</v>
      </c>
      <c r="TK16" s="143">
        <f t="shared" si="877"/>
        <v>15127.87769999967</v>
      </c>
      <c r="TL16" s="143">
        <f t="shared" si="877"/>
        <v>14985.993699999668</v>
      </c>
      <c r="TM16" s="143">
        <f t="shared" si="877"/>
        <v>14653.003699999666</v>
      </c>
      <c r="TN16" s="143">
        <f t="shared" si="877"/>
        <v>14916.123699999669</v>
      </c>
      <c r="TO16" s="143">
        <f t="shared" si="877"/>
        <v>14661.17889999967</v>
      </c>
      <c r="TP16" s="143">
        <f t="shared" si="877"/>
        <v>15073.362899999673</v>
      </c>
      <c r="TQ16" s="143">
        <f t="shared" si="877"/>
        <v>14895.884899999674</v>
      </c>
      <c r="TR16" s="143">
        <f t="shared" si="877"/>
        <v>12113.584899999674</v>
      </c>
      <c r="TS16" s="143">
        <f t="shared" si="877"/>
        <v>11012.725899999674</v>
      </c>
      <c r="TT16" s="143">
        <f t="shared" si="877"/>
        <v>11929.933899999673</v>
      </c>
      <c r="TU16" s="143">
        <f t="shared" si="877"/>
        <v>11751.147799999671</v>
      </c>
      <c r="TV16" s="143">
        <f t="shared" si="877"/>
        <v>11843.379799999671</v>
      </c>
      <c r="TW16" s="143">
        <f t="shared" si="877"/>
        <v>12200.77559999967</v>
      </c>
      <c r="TX16" s="143">
        <f t="shared" si="877"/>
        <v>13236.199599999669</v>
      </c>
      <c r="TY16" s="143">
        <f t="shared" si="877"/>
        <v>14125.067599999667</v>
      </c>
      <c r="TZ16" s="143">
        <f t="shared" si="877"/>
        <v>14794.472599999666</v>
      </c>
      <c r="UA16" s="143">
        <f t="shared" si="877"/>
        <v>13927.276599999663</v>
      </c>
      <c r="UB16" s="143">
        <f t="shared" si="877"/>
        <v>13459.63059999966</v>
      </c>
      <c r="UC16" s="143">
        <f t="shared" si="877"/>
        <v>13547.898599999662</v>
      </c>
      <c r="UD16" s="143">
        <f t="shared" si="877"/>
        <v>13847.619099999662</v>
      </c>
      <c r="UE16" s="143">
        <f t="shared" si="877"/>
        <v>13922.871099999662</v>
      </c>
      <c r="UF16" s="143">
        <f t="shared" si="877"/>
        <v>13861.623099999662</v>
      </c>
      <c r="UG16" s="143">
        <f t="shared" si="877"/>
        <v>13767.237249999664</v>
      </c>
      <c r="UH16" s="143">
        <f t="shared" si="877"/>
        <v>13819.199399999663</v>
      </c>
      <c r="UI16" s="143">
        <f t="shared" si="877"/>
        <v>13815.083399999661</v>
      </c>
      <c r="UJ16" s="143">
        <f t="shared" si="877"/>
        <v>13713.900499999661</v>
      </c>
      <c r="UK16" s="143">
        <f t="shared" si="877"/>
        <v>15733.427699999662</v>
      </c>
      <c r="UL16" s="143">
        <f t="shared" si="877"/>
        <v>15593.72369999966</v>
      </c>
      <c r="UM16" s="143">
        <f t="shared" si="877"/>
        <v>15697.743179999659</v>
      </c>
      <c r="UN16" s="143">
        <f t="shared" si="877"/>
        <v>15733.455079999661</v>
      </c>
      <c r="UO16" s="143">
        <f t="shared" si="877"/>
        <v>15531.339179999661</v>
      </c>
      <c r="UP16" s="143">
        <f t="shared" si="877"/>
        <v>14713.831979999661</v>
      </c>
      <c r="UQ16" s="143">
        <f t="shared" si="877"/>
        <v>14474.484139999659</v>
      </c>
      <c r="UR16" s="143">
        <f t="shared" si="877"/>
        <v>14609.554019999658</v>
      </c>
      <c r="US16" s="143">
        <f t="shared" si="877"/>
        <v>14666.81341999966</v>
      </c>
      <c r="UT16" s="143">
        <f t="shared" si="877"/>
        <v>15256.099819999661</v>
      </c>
      <c r="UU16" s="143">
        <f t="shared" si="877"/>
        <v>15230.076619999661</v>
      </c>
      <c r="UV16" s="143">
        <f t="shared" ref="UV16:WB16" si="878">UV13-UV15</f>
        <v>15229.67531999966</v>
      </c>
      <c r="UW16" s="143">
        <f t="shared" si="878"/>
        <v>15229.43351999966</v>
      </c>
      <c r="UX16" s="143">
        <f t="shared" si="878"/>
        <v>15228.604219999659</v>
      </c>
      <c r="UY16" s="143">
        <f t="shared" si="878"/>
        <v>15228.570419999658</v>
      </c>
      <c r="UZ16" s="143">
        <f t="shared" si="878"/>
        <v>18049.160419999658</v>
      </c>
      <c r="VA16" s="143">
        <f t="shared" si="878"/>
        <v>17855.570419999658</v>
      </c>
      <c r="VB16" s="143">
        <f t="shared" si="878"/>
        <v>17522.844719999659</v>
      </c>
      <c r="VC16" s="143">
        <f t="shared" si="878"/>
        <v>15485.404719999657</v>
      </c>
      <c r="VD16" s="143">
        <f t="shared" si="878"/>
        <v>15427.273919999654</v>
      </c>
      <c r="VE16" s="143">
        <f t="shared" si="878"/>
        <v>14811.797119999654</v>
      </c>
      <c r="VF16" s="143">
        <f t="shared" si="878"/>
        <v>14260.438119999657</v>
      </c>
      <c r="VG16" s="143">
        <f t="shared" si="878"/>
        <v>13676.883619999655</v>
      </c>
      <c r="VH16" s="143">
        <f t="shared" si="878"/>
        <v>13027.627619999657</v>
      </c>
      <c r="VI16" s="143">
        <f t="shared" si="878"/>
        <v>12545.890259999658</v>
      </c>
      <c r="VJ16" s="143">
        <f t="shared" si="878"/>
        <v>11921.694159999657</v>
      </c>
      <c r="VK16" s="143">
        <f t="shared" si="878"/>
        <v>11420.763359999659</v>
      </c>
      <c r="VL16" s="143">
        <f t="shared" si="878"/>
        <v>11373.244359999659</v>
      </c>
      <c r="VM16" s="143">
        <f t="shared" si="878"/>
        <v>11624.532359999659</v>
      </c>
      <c r="VN16" s="143">
        <f t="shared" si="878"/>
        <v>11123.278239999661</v>
      </c>
      <c r="VO16" s="143">
        <f t="shared" si="878"/>
        <v>11459.216919999657</v>
      </c>
      <c r="VP16" s="143">
        <f t="shared" si="878"/>
        <v>12453.006414399657</v>
      </c>
      <c r="VQ16" s="143">
        <f t="shared" si="878"/>
        <v>12634.692908799658</v>
      </c>
      <c r="VR16" s="143">
        <f t="shared" si="878"/>
        <v>12938.245016799658</v>
      </c>
      <c r="VS16" s="143">
        <f t="shared" si="878"/>
        <v>13043.359396799658</v>
      </c>
      <c r="VT16" s="143">
        <f t="shared" si="878"/>
        <v>12463.584681199658</v>
      </c>
      <c r="VU16" s="143">
        <f t="shared" si="878"/>
        <v>12142.584483599661</v>
      </c>
      <c r="VV16" s="143">
        <f t="shared" si="878"/>
        <v>10698.550793599663</v>
      </c>
      <c r="VW16" s="143">
        <f t="shared" si="878"/>
        <v>10857.031709599663</v>
      </c>
      <c r="VX16" s="143">
        <f t="shared" si="878"/>
        <v>10633.189380399663</v>
      </c>
      <c r="VY16" s="143">
        <f t="shared" si="878"/>
        <v>11779.451941999661</v>
      </c>
      <c r="VZ16" s="143">
        <f t="shared" si="878"/>
        <v>13037.703757999661</v>
      </c>
      <c r="WA16" s="143">
        <f t="shared" si="878"/>
        <v>10931.657145199662</v>
      </c>
      <c r="WB16" s="143">
        <f t="shared" si="878"/>
        <v>11377.213915199663</v>
      </c>
      <c r="WC16" s="143">
        <f t="shared" ref="WC16:WH16" si="879">WC13-WC15</f>
        <v>10620.841845199666</v>
      </c>
      <c r="WD16" s="143">
        <f t="shared" si="879"/>
        <v>10473.793245199664</v>
      </c>
      <c r="WE16" s="143">
        <f t="shared" si="879"/>
        <v>8467.8532451996634</v>
      </c>
      <c r="WF16" s="143">
        <f t="shared" si="879"/>
        <v>6973.4430051996605</v>
      </c>
      <c r="WG16" s="143">
        <f t="shared" si="879"/>
        <v>7307.9106051996587</v>
      </c>
      <c r="WH16" s="143">
        <f t="shared" si="879"/>
        <v>7861.58300519966</v>
      </c>
      <c r="WI16" s="143">
        <f t="shared" ref="WI16:XN16" si="880">WI13-WI15</f>
        <v>7452.35424519966</v>
      </c>
      <c r="WJ16" s="143">
        <f t="shared" si="880"/>
        <v>7108.3224051996604</v>
      </c>
      <c r="WK16" s="143">
        <f t="shared" si="880"/>
        <v>8839.4814451996608</v>
      </c>
      <c r="WL16" s="143">
        <f t="shared" si="880"/>
        <v>9586.6182051996584</v>
      </c>
      <c r="WM16" s="143">
        <f t="shared" si="880"/>
        <v>7062.9023051996592</v>
      </c>
      <c r="WN16" s="143">
        <f t="shared" si="880"/>
        <v>10934.746305199656</v>
      </c>
      <c r="WO16" s="143">
        <f t="shared" si="880"/>
        <v>14856.171355199654</v>
      </c>
      <c r="WP16" s="143">
        <f t="shared" si="880"/>
        <v>17054.507355199654</v>
      </c>
      <c r="WQ16" s="143">
        <f t="shared" si="880"/>
        <v>18986.983795199652</v>
      </c>
      <c r="WR16" s="143">
        <f t="shared" si="880"/>
        <v>17689.697675199655</v>
      </c>
      <c r="WS16" s="143">
        <f t="shared" si="880"/>
        <v>15154.602675199654</v>
      </c>
      <c r="WT16" s="143">
        <f t="shared" si="880"/>
        <v>14269.197650199654</v>
      </c>
      <c r="WU16" s="143">
        <f t="shared" si="880"/>
        <v>11807.822350199653</v>
      </c>
      <c r="WV16" s="143">
        <f t="shared" si="880"/>
        <v>10710.461950199653</v>
      </c>
      <c r="WW16" s="143">
        <f t="shared" si="880"/>
        <v>9568.8616301996517</v>
      </c>
      <c r="WX16" s="143">
        <f t="shared" si="880"/>
        <v>9585.2131501996519</v>
      </c>
      <c r="WY16" s="143">
        <f t="shared" si="880"/>
        <v>7815.1907501996502</v>
      </c>
      <c r="WZ16" s="143">
        <f t="shared" si="880"/>
        <v>13082.58663019965</v>
      </c>
      <c r="XA16" s="143">
        <f t="shared" si="880"/>
        <v>12977.209150199651</v>
      </c>
      <c r="XB16" s="143">
        <f t="shared" si="880"/>
        <v>13047.29935019965</v>
      </c>
      <c r="XC16" s="143">
        <f t="shared" si="880"/>
        <v>12418.644710199649</v>
      </c>
      <c r="XD16" s="143">
        <f t="shared" si="880"/>
        <v>12353.421270199648</v>
      </c>
      <c r="XE16" s="143">
        <f t="shared" si="880"/>
        <v>10408.116070199645</v>
      </c>
      <c r="XF16" s="143">
        <f t="shared" si="880"/>
        <v>10898.195910199645</v>
      </c>
      <c r="XG16" s="143">
        <f t="shared" si="880"/>
        <v>9826.9783901996434</v>
      </c>
      <c r="XH16" s="143">
        <f t="shared" si="880"/>
        <v>9566.3915901996425</v>
      </c>
      <c r="XI16" s="143">
        <f t="shared" si="880"/>
        <v>8925.8039101996401</v>
      </c>
      <c r="XJ16" s="143">
        <f t="shared" si="880"/>
        <v>9508.5783101996385</v>
      </c>
      <c r="XK16" s="143">
        <f t="shared" si="880"/>
        <v>13990.510470199635</v>
      </c>
      <c r="XL16" s="143">
        <f t="shared" si="880"/>
        <v>12885.002110199637</v>
      </c>
      <c r="XM16" s="143">
        <f t="shared" si="880"/>
        <v>11831.248190199636</v>
      </c>
      <c r="XN16" s="143">
        <f t="shared" si="880"/>
        <v>11997.889910199634</v>
      </c>
      <c r="XO16" s="143">
        <f t="shared" ref="XO16:YM16" si="881">XO13-XO15</f>
        <v>10375.853530199633</v>
      </c>
      <c r="XP16" s="143">
        <f t="shared" si="881"/>
        <v>9794.0335301996292</v>
      </c>
      <c r="XQ16" s="143">
        <f t="shared" si="881"/>
        <v>7120.2383301996306</v>
      </c>
      <c r="XR16" s="143">
        <f t="shared" si="881"/>
        <v>8796.9451301996287</v>
      </c>
      <c r="XS16" s="143">
        <f t="shared" si="881"/>
        <v>10891.700090199629</v>
      </c>
      <c r="XT16" s="143">
        <f t="shared" si="881"/>
        <v>14315.914482199627</v>
      </c>
      <c r="XU16" s="143">
        <f t="shared" si="881"/>
        <v>15878.454002199625</v>
      </c>
      <c r="XV16" s="143">
        <f t="shared" si="881"/>
        <v>19401.474162199625</v>
      </c>
      <c r="XW16" s="143">
        <f t="shared" si="881"/>
        <v>21984.895442199624</v>
      </c>
      <c r="XX16" s="143">
        <f t="shared" si="881"/>
        <v>28006.849842199626</v>
      </c>
      <c r="XY16" s="143">
        <f t="shared" si="881"/>
        <v>30345.703922199624</v>
      </c>
      <c r="XZ16" s="143">
        <f t="shared" si="881"/>
        <v>28529.100722199619</v>
      </c>
      <c r="YA16" s="143">
        <f t="shared" si="881"/>
        <v>25984.343442199613</v>
      </c>
      <c r="YB16" s="143">
        <f t="shared" si="881"/>
        <v>24214.860602199613</v>
      </c>
      <c r="YC16" s="143">
        <f t="shared" si="881"/>
        <v>24169.730202199611</v>
      </c>
      <c r="YD16" s="143">
        <f t="shared" si="881"/>
        <v>17559.377202199612</v>
      </c>
      <c r="YE16" s="143">
        <f t="shared" si="881"/>
        <v>14173.385202199614</v>
      </c>
      <c r="YF16" s="143">
        <f t="shared" si="881"/>
        <v>11708.325202199614</v>
      </c>
      <c r="YG16" s="143">
        <f t="shared" si="881"/>
        <v>7512.025202199613</v>
      </c>
      <c r="YH16" s="143">
        <f t="shared" si="881"/>
        <v>5620.6052021996129</v>
      </c>
      <c r="YI16" s="143">
        <f t="shared" si="881"/>
        <v>3988.3052021996127</v>
      </c>
      <c r="YJ16" s="143">
        <f t="shared" si="881"/>
        <v>3075.0652021996129</v>
      </c>
      <c r="YK16" s="143">
        <f t="shared" si="881"/>
        <v>2392.5852021996129</v>
      </c>
      <c r="YL16" s="143">
        <f t="shared" si="881"/>
        <v>2247.8552021996129</v>
      </c>
      <c r="YM16" s="143">
        <f t="shared" si="881"/>
        <v>1460.4652021996128</v>
      </c>
      <c r="YN16" s="143">
        <f t="shared" ref="YN16:YX16" si="882">YN13-YN15</f>
        <v>41.95620219961279</v>
      </c>
      <c r="YO16" s="143">
        <f t="shared" si="882"/>
        <v>20.066202199612789</v>
      </c>
      <c r="YP16" s="143">
        <f t="shared" si="882"/>
        <v>20.066202199612789</v>
      </c>
      <c r="YQ16" s="143">
        <f t="shared" si="882"/>
        <v>20.066202199612789</v>
      </c>
      <c r="YR16" s="143">
        <f t="shared" si="882"/>
        <v>20.066202199612789</v>
      </c>
      <c r="YS16" s="143">
        <f t="shared" si="882"/>
        <v>20.066202199612789</v>
      </c>
      <c r="YT16" s="143">
        <f t="shared" si="882"/>
        <v>10.07120219961279</v>
      </c>
      <c r="YU16" s="143">
        <f t="shared" si="882"/>
        <v>7.6202199612790622E-2</v>
      </c>
      <c r="YV16" s="143">
        <f t="shared" si="882"/>
        <v>7.6202199612790622E-2</v>
      </c>
      <c r="YW16" s="143">
        <f t="shared" si="882"/>
        <v>7.6202199612790622E-2</v>
      </c>
      <c r="YX16" s="143">
        <f t="shared" si="882"/>
        <v>7.6202199612790622E-2</v>
      </c>
      <c r="YY16" s="143">
        <f t="shared" ref="YY16:ZD16" si="883">YY13-YY15</f>
        <v>7.6202199612790622E-2</v>
      </c>
      <c r="YZ16" s="143">
        <f t="shared" si="883"/>
        <v>7.6202199612790622E-2</v>
      </c>
      <c r="ZA16" s="143">
        <f t="shared" si="883"/>
        <v>7.6202199612790622E-2</v>
      </c>
      <c r="ZB16" s="143">
        <f t="shared" si="883"/>
        <v>7.6202199612790622E-2</v>
      </c>
      <c r="ZC16" s="143">
        <f t="shared" si="883"/>
        <v>7.6202199612790622E-2</v>
      </c>
      <c r="ZD16" s="143">
        <f t="shared" si="883"/>
        <v>755.95523269961268</v>
      </c>
      <c r="ZE16" s="143">
        <f t="shared" ref="ZE16:ABP16" si="884">ZE13-ZE15</f>
        <v>3691.8172726996127</v>
      </c>
      <c r="ZF16" s="143">
        <f t="shared" si="884"/>
        <v>7140.0358915496126</v>
      </c>
      <c r="ZG16" s="143">
        <f t="shared" si="884"/>
        <v>7373.3809967496127</v>
      </c>
      <c r="ZH16" s="143">
        <f t="shared" si="884"/>
        <v>8536.5627336496109</v>
      </c>
      <c r="ZI16" s="143">
        <f t="shared" si="884"/>
        <v>7270.9844559246094</v>
      </c>
      <c r="ZJ16" s="143">
        <f t="shared" si="884"/>
        <v>7273.600622124608</v>
      </c>
      <c r="ZK16" s="143">
        <f t="shared" si="884"/>
        <v>6905.5567200246087</v>
      </c>
      <c r="ZL16" s="143">
        <f t="shared" si="884"/>
        <v>5658.7420078246078</v>
      </c>
      <c r="ZM16" s="143">
        <f t="shared" si="884"/>
        <v>5434.4846544246075</v>
      </c>
      <c r="ZN16" s="143">
        <f t="shared" si="884"/>
        <v>4788.4652860246069</v>
      </c>
      <c r="ZO16" s="143">
        <f t="shared" si="884"/>
        <v>4747.3165236746054</v>
      </c>
      <c r="ZP16" s="143">
        <f t="shared" si="884"/>
        <v>4500.1696461746042</v>
      </c>
      <c r="ZQ16" s="143">
        <f t="shared" si="884"/>
        <v>5344.0774343246021</v>
      </c>
      <c r="ZR16" s="143">
        <f t="shared" si="884"/>
        <v>5363.0763859246017</v>
      </c>
      <c r="ZS16" s="143">
        <f t="shared" si="884"/>
        <v>6291.6853839246014</v>
      </c>
      <c r="ZT16" s="143">
        <f t="shared" si="884"/>
        <v>6320.5957400246007</v>
      </c>
      <c r="ZU16" s="143">
        <f t="shared" si="884"/>
        <v>6251.3080818995995</v>
      </c>
      <c r="ZV16" s="143">
        <f t="shared" si="884"/>
        <v>5845.8827045495982</v>
      </c>
      <c r="ZW16" s="143">
        <f t="shared" si="884"/>
        <v>5057.3780982495973</v>
      </c>
      <c r="ZX16" s="143">
        <f t="shared" si="884"/>
        <v>4227.6014022495983</v>
      </c>
      <c r="ZY16" s="143">
        <f t="shared" si="884"/>
        <v>3922.2268682745989</v>
      </c>
      <c r="ZZ16" s="143">
        <f t="shared" si="884"/>
        <v>3750.801434974599</v>
      </c>
      <c r="AAA16" s="143">
        <f t="shared" si="884"/>
        <v>4136.842295369599</v>
      </c>
      <c r="AAB16" s="143">
        <f t="shared" si="884"/>
        <v>4336.7894421695974</v>
      </c>
      <c r="AAC16" s="143">
        <f t="shared" si="884"/>
        <v>3798.0224273457961</v>
      </c>
      <c r="AAD16" s="143">
        <f t="shared" si="884"/>
        <v>3773.8466010707953</v>
      </c>
      <c r="AAE16" s="143">
        <f t="shared" si="884"/>
        <v>3252.9818171707948</v>
      </c>
      <c r="AAF16" s="143">
        <f t="shared" si="884"/>
        <v>2499.1018579207948</v>
      </c>
      <c r="AAG16" s="143">
        <f t="shared" si="884"/>
        <v>2170.6787173707935</v>
      </c>
      <c r="AAH16" s="143">
        <f t="shared" si="884"/>
        <v>3019.1475537707938</v>
      </c>
      <c r="AAI16" s="143">
        <f t="shared" si="884"/>
        <v>3072.7438100207928</v>
      </c>
      <c r="AAJ16" s="143">
        <f t="shared" si="884"/>
        <v>3652.4452316207926</v>
      </c>
      <c r="AAK16" s="143">
        <f t="shared" si="884"/>
        <v>3692.7356188207932</v>
      </c>
      <c r="AAL16" s="143">
        <f t="shared" si="884"/>
        <v>3576.3479594207929</v>
      </c>
      <c r="AAM16" s="143">
        <f t="shared" si="884"/>
        <v>3702.9725344207909</v>
      </c>
      <c r="AAN16" s="143">
        <f t="shared" si="884"/>
        <v>4292.9591739207917</v>
      </c>
      <c r="AAO16" s="143">
        <f t="shared" si="884"/>
        <v>5053.4934249207909</v>
      </c>
      <c r="AAP16" s="143">
        <f t="shared" si="884"/>
        <v>6027.6240704207912</v>
      </c>
      <c r="AAQ16" s="143">
        <f t="shared" si="884"/>
        <v>5978.2157656207928</v>
      </c>
      <c r="AAR16" s="143">
        <f t="shared" si="884"/>
        <v>8911.7462103207927</v>
      </c>
      <c r="AAS16" s="143">
        <f t="shared" si="884"/>
        <v>10606.464065820794</v>
      </c>
      <c r="AAT16" s="143">
        <f t="shared" si="884"/>
        <v>11488.861866070794</v>
      </c>
      <c r="AAU16" s="143">
        <f t="shared" si="884"/>
        <v>12318.878944545795</v>
      </c>
      <c r="AAV16" s="143">
        <f t="shared" si="884"/>
        <v>12494.447740345791</v>
      </c>
      <c r="AAW16" s="143">
        <f t="shared" si="884"/>
        <v>12324.16536124579</v>
      </c>
      <c r="AAX16" s="143">
        <f t="shared" si="884"/>
        <v>14050.195059295787</v>
      </c>
      <c r="AAY16" s="143">
        <f t="shared" si="884"/>
        <v>14925.514721895786</v>
      </c>
      <c r="AAZ16" s="143">
        <f t="shared" si="884"/>
        <v>14832.690906545784</v>
      </c>
      <c r="ABA16" s="143">
        <f t="shared" si="884"/>
        <v>14885.867959595782</v>
      </c>
      <c r="ABB16" s="143">
        <f t="shared" si="884"/>
        <v>15041.088484395783</v>
      </c>
      <c r="ABC16" s="143">
        <f t="shared" si="884"/>
        <v>14235.393506795783</v>
      </c>
      <c r="ABD16" s="143">
        <f t="shared" si="884"/>
        <v>12614.732142895784</v>
      </c>
      <c r="ABE16" s="143">
        <f t="shared" si="884"/>
        <v>11227.580750895781</v>
      </c>
      <c r="ABF16" s="143">
        <f t="shared" si="884"/>
        <v>11128.116235645781</v>
      </c>
      <c r="ABG16" s="143">
        <f t="shared" si="884"/>
        <v>11892.28958327078</v>
      </c>
      <c r="ABH16" s="143">
        <f t="shared" si="884"/>
        <v>11938.286924270778</v>
      </c>
      <c r="ABI16" s="143">
        <f t="shared" si="884"/>
        <v>10426.186496020777</v>
      </c>
      <c r="ABJ16" s="143">
        <f t="shared" si="884"/>
        <v>9662.3324606707756</v>
      </c>
      <c r="ABK16" s="143">
        <f t="shared" si="884"/>
        <v>8924.2521784207747</v>
      </c>
      <c r="ABL16" s="143">
        <f t="shared" si="884"/>
        <v>9609.3042045207731</v>
      </c>
      <c r="ABM16" s="143">
        <f t="shared" si="884"/>
        <v>10631.047901720776</v>
      </c>
      <c r="ABN16" s="143">
        <f t="shared" si="884"/>
        <v>10655.653648670774</v>
      </c>
      <c r="ABO16" s="143">
        <f t="shared" si="884"/>
        <v>9585.1901106707719</v>
      </c>
      <c r="ABP16" s="143">
        <f t="shared" si="884"/>
        <v>9707.3303579207695</v>
      </c>
      <c r="ABQ16" s="143">
        <f t="shared" ref="ABQ16:ACI16" si="885">ABQ13-ABQ15</f>
        <v>7612.1140438207731</v>
      </c>
      <c r="ABR16" s="143">
        <f t="shared" si="885"/>
        <v>6371.4278965207741</v>
      </c>
      <c r="ABS16" s="143">
        <f t="shared" si="885"/>
        <v>5101.5331050207733</v>
      </c>
      <c r="ABT16" s="143">
        <f t="shared" si="885"/>
        <v>4957.7383973207725</v>
      </c>
      <c r="ABU16" s="143">
        <f t="shared" si="885"/>
        <v>5224.3583643207721</v>
      </c>
      <c r="ABV16" s="143">
        <f t="shared" si="885"/>
        <v>5098.9900663207718</v>
      </c>
      <c r="ABW16" s="143">
        <f t="shared" si="885"/>
        <v>5023.1824504207707</v>
      </c>
      <c r="ABX16" s="143">
        <f t="shared" si="885"/>
        <v>7630.65198292077</v>
      </c>
      <c r="ABY16" s="143">
        <f t="shared" si="885"/>
        <v>10044.842081920773</v>
      </c>
      <c r="ABZ16" s="143">
        <f t="shared" si="885"/>
        <v>10016.946604270774</v>
      </c>
      <c r="ACA16" s="143">
        <f t="shared" si="885"/>
        <v>10086.771550070773</v>
      </c>
      <c r="ACB16" s="143">
        <f t="shared" si="885"/>
        <v>8915.0061036707739</v>
      </c>
      <c r="ACC16" s="713">
        <f t="shared" si="885"/>
        <v>9022.9952801707732</v>
      </c>
      <c r="ACD16" s="721">
        <f t="shared" si="885"/>
        <v>7726.5662344207703</v>
      </c>
      <c r="ACE16" s="722">
        <f t="shared" si="885"/>
        <v>7594.9138897707708</v>
      </c>
      <c r="ACF16" s="722">
        <f t="shared" si="885"/>
        <v>7529.8715018707699</v>
      </c>
      <c r="ACG16" s="722">
        <f t="shared" si="885"/>
        <v>8435.0246985707709</v>
      </c>
      <c r="ACH16" s="722">
        <f t="shared" si="885"/>
        <v>9431.7280393707715</v>
      </c>
      <c r="ACI16" s="723">
        <f t="shared" si="885"/>
        <v>9559.6664318707735</v>
      </c>
      <c r="ACJ16" s="717">
        <f t="shared" ref="ACJ16:ACK16" si="886">ACJ13-ACJ15</f>
        <v>9882.1778418707727</v>
      </c>
      <c r="ACK16" s="717">
        <f t="shared" si="886"/>
        <v>10027.811878120774</v>
      </c>
      <c r="ACL16" s="717">
        <f t="shared" ref="ACL16:ACM16" si="887">ACL13-ACL15</f>
        <v>10099.780634120772</v>
      </c>
      <c r="ACM16" s="717">
        <f t="shared" si="887"/>
        <v>9659.7778541207717</v>
      </c>
      <c r="ACN16" s="717">
        <f t="shared" ref="ACN16:ACO16" si="888">ACN13-ACN15</f>
        <v>9926.0334329207708</v>
      </c>
      <c r="ACO16" s="717">
        <f t="shared" si="888"/>
        <v>10207.106796920771</v>
      </c>
      <c r="ACP16" s="717">
        <f t="shared" ref="ACP16:ACQ16" si="889">ACP13-ACP15</f>
        <v>10578.085526920771</v>
      </c>
      <c r="ACQ16" s="717">
        <f t="shared" si="889"/>
        <v>9951.5426859207728</v>
      </c>
      <c r="ACR16" s="717">
        <f t="shared" ref="ACR16:ACS16" si="890">ACR13-ACR15</f>
        <v>9039.8425014207733</v>
      </c>
      <c r="ACS16" s="717">
        <f t="shared" si="890"/>
        <v>9508.4661889207709</v>
      </c>
      <c r="ACT16" s="717">
        <f t="shared" ref="ACT16:ACU16" si="891">ACT13-ACT15</f>
        <v>9902.7611249207712</v>
      </c>
      <c r="ACU16" s="717">
        <f t="shared" si="891"/>
        <v>9767.0075825207678</v>
      </c>
      <c r="ACV16" s="717">
        <f t="shared" ref="ACV16:ACW16" si="892">ACV13-ACV15</f>
        <v>9392.7389505207648</v>
      </c>
      <c r="ACW16" s="717">
        <f t="shared" si="892"/>
        <v>8666.0787442207657</v>
      </c>
      <c r="ACX16" s="717">
        <f t="shared" ref="ACX16:ACY16" si="893">ACX13-ACX15</f>
        <v>8240.2546590207658</v>
      </c>
      <c r="ACY16" s="717">
        <f t="shared" si="893"/>
        <v>7832.6874304207631</v>
      </c>
      <c r="ACZ16" s="717">
        <f t="shared" ref="ACZ16:ADA16" si="894">ACZ13-ACZ15</f>
        <v>9712.5008196207637</v>
      </c>
      <c r="ADA16" s="717">
        <f t="shared" si="894"/>
        <v>9986.8868596207631</v>
      </c>
      <c r="ADB16" s="717">
        <f t="shared" ref="ADB16:ADC16" si="895">ADB13-ADB15</f>
        <v>9369.1190436207653</v>
      </c>
      <c r="ADC16" s="717">
        <f t="shared" si="895"/>
        <v>11024.712123620764</v>
      </c>
      <c r="ADD16" s="717">
        <f t="shared" ref="ADD16:ADE16" si="896">ADD13-ADD15</f>
        <v>9710.0884123207616</v>
      </c>
      <c r="ADE16" s="717">
        <f t="shared" si="896"/>
        <v>10889.584899070762</v>
      </c>
      <c r="ADF16" s="717">
        <f t="shared" ref="ADF16" si="897">ADF13-ADF15</f>
        <v>12118.828003320761</v>
      </c>
      <c r="ADG16" s="717">
        <f t="shared" ref="ADG16:ADH16" si="898">ADG13-ADG15</f>
        <v>11604.514992320759</v>
      </c>
      <c r="ADH16" s="717">
        <f t="shared" si="898"/>
        <v>11869.599731620759</v>
      </c>
      <c r="ADI16" s="717">
        <f t="shared" ref="ADI16:ADJ16" si="899">ADI13-ADI15</f>
        <v>11900.622779620759</v>
      </c>
      <c r="ADJ16" s="717">
        <f t="shared" si="899"/>
        <v>11739.089697620755</v>
      </c>
      <c r="ADK16" s="717">
        <f t="shared" ref="ADK16" si="900">ADK13-ADK15</f>
        <v>11668.940924120754</v>
      </c>
      <c r="ADL16" s="717">
        <f t="shared" ref="ADL16:ADM16" si="901">ADL13-ADL15</f>
        <v>10808.066297120753</v>
      </c>
      <c r="ADM16" s="717">
        <f t="shared" si="901"/>
        <v>12394.718595370752</v>
      </c>
      <c r="ADN16" s="717">
        <f t="shared" ref="ADN16:ADO16" si="902">ADN13-ADN15</f>
        <v>12018.037691620752</v>
      </c>
      <c r="ADO16" s="717">
        <f t="shared" si="902"/>
        <v>12189.378239320753</v>
      </c>
      <c r="ADP16" s="717">
        <f t="shared" ref="ADP16:ADQ16" si="903">ADP13-ADP15</f>
        <v>14177.658092320753</v>
      </c>
      <c r="ADQ16" s="717">
        <f t="shared" si="903"/>
        <v>15417.124769720755</v>
      </c>
      <c r="ADR16" s="717">
        <f t="shared" ref="ADR16" si="904">ADR13-ADR15</f>
        <v>16664.744150520753</v>
      </c>
      <c r="ADS16" s="717">
        <f t="shared" ref="ADS16" si="905">ADS13-ADS15</f>
        <v>16174.033496520753</v>
      </c>
      <c r="ADT16" s="717">
        <f t="shared" ref="ADT16:ADU16" si="906">ADT13-ADT15</f>
        <v>15723.243617620754</v>
      </c>
      <c r="ADU16" s="717">
        <f t="shared" si="906"/>
        <v>13402.887951820752</v>
      </c>
      <c r="ADV16" s="717">
        <f t="shared" ref="ADV16:AEC16" si="907">ADV13-ADV15</f>
        <v>13135.432646070753</v>
      </c>
      <c r="ADW16" s="717">
        <f t="shared" si="907"/>
        <v>12631.97897182075</v>
      </c>
      <c r="ADX16" s="717">
        <f t="shared" si="907"/>
        <v>12003.583972420749</v>
      </c>
      <c r="ADY16" s="717">
        <f t="shared" si="907"/>
        <v>11709.444365570747</v>
      </c>
      <c r="ADZ16" s="717">
        <f t="shared" si="907"/>
        <v>11661.642827170748</v>
      </c>
      <c r="AEA16" s="717">
        <f t="shared" si="907"/>
        <v>10229.339523570747</v>
      </c>
      <c r="AEB16" s="717">
        <f t="shared" si="907"/>
        <v>10125.022505170744</v>
      </c>
      <c r="AEC16" s="717">
        <f t="shared" si="907"/>
        <v>9238.6177837707437</v>
      </c>
      <c r="AED16" s="717">
        <f t="shared" ref="AED16:AEE16" si="908">AED13-AED15</f>
        <v>9077.5820335707431</v>
      </c>
      <c r="AEE16" s="717">
        <f t="shared" si="908"/>
        <v>8054.8785386957425</v>
      </c>
      <c r="AEF16" s="717">
        <f t="shared" ref="AEF16:AEG16" si="909">AEF13-AEF15</f>
        <v>8854.601317195742</v>
      </c>
      <c r="AEG16" s="717">
        <f t="shared" si="909"/>
        <v>8831.3704933457411</v>
      </c>
      <c r="AEH16" s="717">
        <f t="shared" ref="AEH16:AEI16" si="910">AEH13-AEH15</f>
        <v>9679.6847597957403</v>
      </c>
      <c r="AEI16" s="717">
        <f t="shared" si="910"/>
        <v>7655.8914925707422</v>
      </c>
      <c r="AEJ16" s="717">
        <f t="shared" ref="AEJ16:AEK16" si="911">AEJ13-AEJ15</f>
        <v>8058.2480378207401</v>
      </c>
      <c r="AEK16" s="717">
        <f t="shared" si="911"/>
        <v>6572.999589020741</v>
      </c>
      <c r="AEL16" s="717">
        <f t="shared" ref="AEL16:AEM16" si="912">AEL13-AEL15</f>
        <v>7165.514069020739</v>
      </c>
      <c r="AEM16" s="717">
        <f t="shared" si="912"/>
        <v>7304.9069484707397</v>
      </c>
      <c r="AEN16" s="717">
        <f t="shared" ref="AEN16:AEO16" si="913">AEN13-AEN15</f>
        <v>7249.7654764707368</v>
      </c>
      <c r="AEO16" s="717">
        <f t="shared" si="913"/>
        <v>5980.715788470734</v>
      </c>
      <c r="AEP16" s="717">
        <f t="shared" ref="AEP16:AEQ16" si="914">AEP13-AEP15</f>
        <v>6212.4438104707333</v>
      </c>
      <c r="AEQ16" s="717">
        <f t="shared" si="914"/>
        <v>6112.9029779707325</v>
      </c>
      <c r="AER16" s="717">
        <f t="shared" ref="AER16:AES16" si="915">AER13-AER15</f>
        <v>5866.4756527707323</v>
      </c>
      <c r="AES16" s="717">
        <f t="shared" si="915"/>
        <v>4816.2835375207314</v>
      </c>
      <c r="AET16" s="717">
        <f t="shared" ref="AET16:AEV16" si="916">AET13-AET15</f>
        <v>3704.2630445207287</v>
      </c>
      <c r="AEU16" s="717">
        <f t="shared" si="916"/>
        <v>2324.3624305207277</v>
      </c>
      <c r="AEV16" s="717">
        <f t="shared" si="916"/>
        <v>2977.438494670726</v>
      </c>
      <c r="AEW16" s="717">
        <f t="shared" ref="AEW16:AEX16" si="917">AEW13-AEW15</f>
        <v>3419.7586011707263</v>
      </c>
      <c r="AEX16" s="717">
        <f t="shared" si="917"/>
        <v>4453.3880336707252</v>
      </c>
      <c r="AEY16" s="717">
        <f t="shared" ref="AEY16:AEZ16" si="918">AEY13-AEY15</f>
        <v>2258.8552666707265</v>
      </c>
      <c r="AEZ16" s="717">
        <f t="shared" si="918"/>
        <v>2930.5668975207263</v>
      </c>
      <c r="AFA16" s="717">
        <f t="shared" ref="AFA16" si="919">AFA13-AFA15</f>
        <v>6937.2618347207244</v>
      </c>
      <c r="AFB16" s="717">
        <f t="shared" ref="AFB16:AFC16" si="920">AFB13-AFB15</f>
        <v>5386.629175770724</v>
      </c>
      <c r="AFC16" s="717">
        <f t="shared" si="920"/>
        <v>5513.8547613957235</v>
      </c>
      <c r="AFD16" s="717">
        <f t="shared" ref="AFD16:AFE16" si="921">AFD13-AFD15</f>
        <v>6199.2375398957229</v>
      </c>
      <c r="AFE16" s="717">
        <f t="shared" si="921"/>
        <v>6289.1479158957218</v>
      </c>
      <c r="AFF16" s="717">
        <f t="shared" ref="AFF16:AFG16" si="922">AFF13-AFF15</f>
        <v>7551.6156278957205</v>
      </c>
      <c r="AFG16" s="717">
        <f t="shared" si="922"/>
        <v>5782.8826198957195</v>
      </c>
      <c r="AFH16" s="717">
        <f t="shared" ref="AFH16" si="923">AFH13-AFH15</f>
        <v>5886.0686038957192</v>
      </c>
      <c r="AFI16" s="717">
        <f>AFI13-AFI15-1000</f>
        <v>6206.3640323957206</v>
      </c>
      <c r="AFJ16" s="717">
        <f>AFJ13-AFJ15-1200</f>
        <v>5548.9571123957194</v>
      </c>
      <c r="AFK16" s="717">
        <f>AFK13-AFK15+150</f>
        <v>6278.8463123957181</v>
      </c>
      <c r="AFL16" s="717">
        <f t="shared" ref="AFL16:AFQ16" si="924">AFL13-AFL15</f>
        <v>6253.2106748957176</v>
      </c>
      <c r="AFM16" s="717">
        <f t="shared" si="924"/>
        <v>4881.3481061457169</v>
      </c>
      <c r="AFN16" s="717">
        <f t="shared" si="924"/>
        <v>4605.2178248957152</v>
      </c>
      <c r="AFO16" s="717">
        <f t="shared" si="924"/>
        <v>3586.7006248957141</v>
      </c>
      <c r="AFP16" s="717">
        <f t="shared" si="924"/>
        <v>3450.2552088957136</v>
      </c>
      <c r="AFQ16" s="717">
        <f t="shared" si="924"/>
        <v>2760.9773688957121</v>
      </c>
      <c r="AFR16" s="717">
        <f>AFR13-AFR15+230</f>
        <v>3069.3323298957121</v>
      </c>
      <c r="AFS16" s="717">
        <f>AFS13-AFS15+800</f>
        <v>2038.0728907957118</v>
      </c>
      <c r="AFT16" s="717">
        <f>AFT13-AFT15+1200</f>
        <v>3602.4815947957122</v>
      </c>
      <c r="AFU16" s="717">
        <f t="shared" ref="AFU16:AGA16" si="925">AFU13-AFU15</f>
        <v>2395.1215467957127</v>
      </c>
      <c r="AFV16" s="717">
        <f t="shared" si="925"/>
        <v>2987.094850795711</v>
      </c>
      <c r="AFW16" s="717">
        <f t="shared" si="925"/>
        <v>2192.9904917957101</v>
      </c>
      <c r="AFX16" s="721">
        <f t="shared" si="925"/>
        <v>6606.440408295708</v>
      </c>
      <c r="AFY16" s="721">
        <f t="shared" si="925"/>
        <v>5100.204018295708</v>
      </c>
      <c r="AFZ16" s="721">
        <f t="shared" si="925"/>
        <v>4419.8426502957063</v>
      </c>
      <c r="AGA16" s="721">
        <f t="shared" si="925"/>
        <v>3938.807514295705</v>
      </c>
      <c r="AGB16" s="721">
        <f t="shared" ref="AGB16" si="926">AGB13-AGB15</f>
        <v>3747.0895967957058</v>
      </c>
      <c r="AGC16" s="721">
        <f t="shared" ref="AGC16:AGD16" si="927">AGC13-AGC15</f>
        <v>5021.6587862957067</v>
      </c>
      <c r="AGD16" s="721">
        <f t="shared" si="927"/>
        <v>4941.0537300457054</v>
      </c>
      <c r="AGE16" s="943">
        <f t="shared" ref="AGE16" si="928">AGE13-AGE15</f>
        <v>4768.3514245457036</v>
      </c>
      <c r="AGF16" s="717">
        <f t="shared" ref="AGF16:AGG16" si="929">AGF13-AGF15</f>
        <v>5181.8124322957028</v>
      </c>
      <c r="AGG16" s="717">
        <f t="shared" si="929"/>
        <v>4388.2169072957013</v>
      </c>
      <c r="AGH16" s="717">
        <f t="shared" ref="AGH16:AGI16" si="930">AGH13-AGH15</f>
        <v>3817.0092032957009</v>
      </c>
      <c r="AGI16" s="717">
        <f t="shared" si="930"/>
        <v>3422.8496870456993</v>
      </c>
      <c r="AGJ16" s="717">
        <f>AGJ13-AGJ15+200</f>
        <v>3627.1676785456966</v>
      </c>
      <c r="AGK16" s="717">
        <f>AGK13-AGK15+200</f>
        <v>6337.637678545696</v>
      </c>
      <c r="AGL16" s="717">
        <f t="shared" ref="AGL16:AGQ16" si="931">AGL13-AGL15</f>
        <v>5977.637678545696</v>
      </c>
      <c r="AGM16" s="717">
        <f t="shared" si="931"/>
        <v>7088.9376785456952</v>
      </c>
      <c r="AGN16" s="717">
        <f t="shared" si="931"/>
        <v>7437.4026785456954</v>
      </c>
      <c r="AGO16" s="717">
        <f t="shared" si="931"/>
        <v>4754.2526785456948</v>
      </c>
      <c r="AGP16" s="717">
        <f t="shared" si="931"/>
        <v>4424.6226785456938</v>
      </c>
      <c r="AGQ16" s="717">
        <f t="shared" si="931"/>
        <v>3862.3826785456931</v>
      </c>
      <c r="AGR16" s="717">
        <f t="shared" ref="AGR16:AGT16" si="932">AGR13-AGR15</f>
        <v>4014.4626785456931</v>
      </c>
      <c r="AGS16" s="717">
        <f t="shared" si="932"/>
        <v>3937.9826785456935</v>
      </c>
      <c r="AGT16" s="717">
        <f t="shared" si="932"/>
        <v>5443.542678545693</v>
      </c>
      <c r="AGU16" s="717">
        <f t="shared" ref="AGU16:AGV16" si="933">AGU13-AGU15</f>
        <v>5678.5326785456928</v>
      </c>
      <c r="AGV16" s="717">
        <f t="shared" si="933"/>
        <v>6350.6326785456922</v>
      </c>
      <c r="AGW16" s="717">
        <f t="shared" ref="AGW16" si="934">AGW13-AGW15</f>
        <v>6294.5576785456915</v>
      </c>
      <c r="AGX16" s="717">
        <f t="shared" ref="AGX16:AGY16" si="935">AGX13-AGX15</f>
        <v>5384.1276785456903</v>
      </c>
      <c r="AGY16" s="717">
        <f t="shared" si="935"/>
        <v>6119.0276785456899</v>
      </c>
      <c r="AGZ16" s="717">
        <f t="shared" ref="AGZ16:AHA16" si="936">AGZ13-AGZ15</f>
        <v>5298.4026785456899</v>
      </c>
      <c r="AHA16" s="717">
        <f t="shared" si="936"/>
        <v>5770.5026785456894</v>
      </c>
      <c r="AHB16" s="717">
        <f t="shared" ref="AHB16" si="937">AHB13-AHB15</f>
        <v>7159.3326785456902</v>
      </c>
      <c r="AHC16" s="717">
        <f>AHC13-AHC15-500</f>
        <v>7341.3326785456902</v>
      </c>
      <c r="AHD16" s="717">
        <f t="shared" ref="AHD16" si="938">AHD13-AHD15</f>
        <v>5467.8376785456894</v>
      </c>
      <c r="AHE16" s="717">
        <f t="shared" ref="AHE16:AHJ16" si="939">AHE13-AHE15-500</f>
        <v>7398.5176785456897</v>
      </c>
      <c r="AHF16" s="717">
        <f t="shared" si="939"/>
        <v>7483.2626785456887</v>
      </c>
      <c r="AHG16" s="717">
        <f t="shared" si="939"/>
        <v>6571.82267854569</v>
      </c>
      <c r="AHH16" s="717">
        <f t="shared" si="939"/>
        <v>7438.2926785456912</v>
      </c>
      <c r="AHI16" s="717">
        <f t="shared" si="939"/>
        <v>5801.5576785456906</v>
      </c>
      <c r="AHJ16" s="717">
        <f t="shared" si="939"/>
        <v>7146.4076785456891</v>
      </c>
      <c r="AHK16" s="717">
        <f t="shared" ref="AHK16:AHR16" si="940">AHK13-AHK15</f>
        <v>6511.9076785456891</v>
      </c>
      <c r="AHL16" s="717">
        <f t="shared" si="940"/>
        <v>7052.2826785456891</v>
      </c>
      <c r="AHM16" s="717">
        <f t="shared" si="940"/>
        <v>6953.7736785456891</v>
      </c>
      <c r="AHN16" s="717">
        <f t="shared" si="940"/>
        <v>7873.6136785456893</v>
      </c>
      <c r="AHO16" s="717">
        <f t="shared" si="940"/>
        <v>6402.1646785456887</v>
      </c>
      <c r="AHP16" s="717">
        <f t="shared" si="940"/>
        <v>4205.812678545688</v>
      </c>
      <c r="AHQ16" s="717">
        <f t="shared" si="940"/>
        <v>3564.2226785456878</v>
      </c>
      <c r="AHR16" s="717">
        <f t="shared" si="940"/>
        <v>3136.4626785456876</v>
      </c>
      <c r="AHS16" s="717">
        <f t="shared" ref="AHS16" si="941">AHS13-AHS15</f>
        <v>2688.9246785456871</v>
      </c>
      <c r="AHT16" s="717">
        <f>AHT13-AHT15</f>
        <v>3979.2846785456868</v>
      </c>
      <c r="AHU16" s="717">
        <f>AHU13-AHU15</f>
        <v>3014.6046785456856</v>
      </c>
      <c r="AHV16" s="717">
        <f>AHV13-AHV15</f>
        <v>2672.6446785456847</v>
      </c>
      <c r="AHW16" s="717">
        <f t="shared" ref="AHW16:AHX16" si="942">AHW13-AHW15</f>
        <v>1624.9146785456851</v>
      </c>
      <c r="AHX16" s="717">
        <f t="shared" si="942"/>
        <v>1245.8346785456852</v>
      </c>
      <c r="AHY16" s="717">
        <f t="shared" ref="AHY16:AHZ16" si="943">AHY13-AHY15</f>
        <v>7758.3946785456847</v>
      </c>
      <c r="AHZ16" s="717">
        <f t="shared" si="943"/>
        <v>5678.6646785456851</v>
      </c>
      <c r="AIA16" s="717">
        <f t="shared" ref="AIA16:AIB16" si="944">AIA13-AIA15</f>
        <v>6012.8046785456854</v>
      </c>
      <c r="AIB16" s="717">
        <f t="shared" si="944"/>
        <v>9693.8846785456863</v>
      </c>
      <c r="AIC16" s="717">
        <f t="shared" ref="AIC16:AIE16" si="945">AIC13-AIC15</f>
        <v>7932.0346785456841</v>
      </c>
      <c r="AID16" s="717">
        <f t="shared" si="945"/>
        <v>6735.8846785456863</v>
      </c>
      <c r="AIE16" s="717">
        <f t="shared" si="945"/>
        <v>5932.7946785456861</v>
      </c>
      <c r="AIF16" s="717">
        <f t="shared" ref="AIF16:AIG16" si="946">AIF13-AIF15</f>
        <v>5244.5846785456861</v>
      </c>
      <c r="AIG16" s="717">
        <f t="shared" si="946"/>
        <v>2763.5846785456852</v>
      </c>
      <c r="AIH16" s="717">
        <f t="shared" ref="AIH16:AII16" si="947">AIH13-AIH15</f>
        <v>2287.159678545685</v>
      </c>
      <c r="AII16" s="717">
        <f t="shared" si="947"/>
        <v>2189.5596785456864</v>
      </c>
      <c r="AIJ16" s="717">
        <f t="shared" ref="AIJ16:AIL16" si="948">AIJ13-AIJ15</f>
        <v>2539.2196785456872</v>
      </c>
      <c r="AIK16" s="717">
        <f t="shared" si="948"/>
        <v>1327.8196785456876</v>
      </c>
      <c r="AIL16" s="717">
        <f t="shared" si="948"/>
        <v>5045.1696785456879</v>
      </c>
      <c r="AIM16" s="717">
        <f t="shared" ref="AIM16:AIN16" si="949">AIM13-AIM15</f>
        <v>3146.2896785456878</v>
      </c>
      <c r="AIN16" s="717">
        <f t="shared" si="949"/>
        <v>2737.9096785456868</v>
      </c>
      <c r="AIO16" s="717">
        <f t="shared" ref="AIO16:AIP16" si="950">AIO13-AIO15</f>
        <v>2352.1596785456859</v>
      </c>
      <c r="AIP16" s="717">
        <f t="shared" si="950"/>
        <v>2222.1996785456859</v>
      </c>
      <c r="AIQ16" s="717">
        <f t="shared" ref="AIQ16:AIR16" si="951">AIQ13-AIQ15</f>
        <v>1177.0696785456867</v>
      </c>
      <c r="AIR16" s="717">
        <f t="shared" si="951"/>
        <v>2183.0896785456862</v>
      </c>
      <c r="AIS16" s="717">
        <f t="shared" ref="AIS16:AIT16" si="952">AIS13-AIS15</f>
        <v>2327.4896785456867</v>
      </c>
      <c r="AIT16" s="717">
        <f t="shared" si="952"/>
        <v>2428.6096785456875</v>
      </c>
      <c r="AIU16" s="717">
        <f t="shared" ref="AIU16:AIV16" si="953">AIU13-AIU15</f>
        <v>3214.289678545686</v>
      </c>
      <c r="AIV16" s="717">
        <f t="shared" si="953"/>
        <v>3512.3376785456867</v>
      </c>
      <c r="AIW16" s="717">
        <f t="shared" ref="AIW16" si="954">AIW13-AIW15</f>
        <v>2532.2276785456861</v>
      </c>
      <c r="AIX16" s="717">
        <f t="shared" ref="AIX16" si="955">AIX13-AIX15</f>
        <v>2510.1276785456857</v>
      </c>
      <c r="AIY16" s="717">
        <f t="shared" ref="AIY16" si="956">AIY13-AIY15</f>
        <v>2901.8976785456862</v>
      </c>
      <c r="AIZ16" s="717">
        <f t="shared" ref="AIZ16:AJA16" si="957">AIZ13-AIZ15</f>
        <v>2770.5476785456876</v>
      </c>
      <c r="AJA16" s="717">
        <f t="shared" si="957"/>
        <v>3096.7076785456884</v>
      </c>
      <c r="AJB16" s="717">
        <f t="shared" ref="AJB16" si="958">AJB13-AJB15</f>
        <v>3143.1226785456884</v>
      </c>
      <c r="AJC16" s="717">
        <f t="shared" ref="AJC16" si="959">AJC13-AJC15</f>
        <v>2670.0876785456894</v>
      </c>
      <c r="AJD16" s="717">
        <f t="shared" ref="AJD16" si="960">AJD13-AJD15</f>
        <v>2475.2076785456893</v>
      </c>
      <c r="AJE16" s="717">
        <f t="shared" ref="AJE16" si="961">AJE13-AJE15</f>
        <v>3205.0876785456885</v>
      </c>
      <c r="AJF16" s="717">
        <f t="shared" ref="AJF16" si="962">AJF13-AJF15</f>
        <v>4434.4976785456893</v>
      </c>
      <c r="AJG16" s="717">
        <f t="shared" ref="AJG16:AJH16" si="963">AJG13-AJG15</f>
        <v>4123.4126785456892</v>
      </c>
      <c r="AJH16" s="717">
        <f t="shared" si="963"/>
        <v>2564.0826785456902</v>
      </c>
      <c r="AJI16" s="717">
        <f t="shared" ref="AJI16:AJJ16" si="964">AJI13-AJI15</f>
        <v>2391.82267854569</v>
      </c>
      <c r="AJJ16" s="717">
        <f t="shared" si="964"/>
        <v>2389.7126785456894</v>
      </c>
      <c r="AJK16" s="717">
        <f t="shared" ref="AJK16" si="965">AJK13-AJK15</f>
        <v>3002.4846785456893</v>
      </c>
      <c r="AJL16" s="717">
        <f t="shared" ref="AJL16:AJM16" si="966">AJL13-AJL15</f>
        <v>3144.7026785456901</v>
      </c>
      <c r="AJM16" s="717">
        <f t="shared" si="966"/>
        <v>1920.9626785456912</v>
      </c>
      <c r="AJN16" s="717">
        <f t="shared" ref="AJN16" si="967">AJN13-AJN15</f>
        <v>2532.287678545692</v>
      </c>
      <c r="AJO16" s="717">
        <f t="shared" ref="AJO16" si="968">AJO13-AJO15</f>
        <v>4039.037678545692</v>
      </c>
      <c r="AJP16" s="717">
        <f t="shared" ref="AJP16" si="969">AJP13-AJP15</f>
        <v>2689.0936785456925</v>
      </c>
      <c r="AJQ16" s="717">
        <f t="shared" ref="AJQ16:AJR16" si="970">AJQ13-AJQ15</f>
        <v>2485.9096785456923</v>
      </c>
      <c r="AJR16" s="717">
        <f t="shared" si="970"/>
        <v>1060.7296785456929</v>
      </c>
      <c r="AJS16" s="717">
        <f t="shared" ref="AJS16" si="971">AJS13-AJS15</f>
        <v>1208.0796785456928</v>
      </c>
      <c r="AJT16" s="717">
        <f t="shared" ref="AJT16" si="972">AJT13-AJT15</f>
        <v>806.64967854569386</v>
      </c>
      <c r="AJU16" s="717">
        <f t="shared" ref="AJU16:AJV16" si="973">AJU13-AJU15</f>
        <v>847.42337854569359</v>
      </c>
      <c r="AJV16" s="717">
        <f t="shared" si="973"/>
        <v>808.82337854569414</v>
      </c>
      <c r="AJW16" s="717">
        <f t="shared" ref="AJW16" si="974">AJW13-AJW15</f>
        <v>875.57337854569414</v>
      </c>
      <c r="AJX16" s="717">
        <f t="shared" ref="AJX16" si="975">AJX13-AJX15</f>
        <v>452.58337854569436</v>
      </c>
      <c r="AJY16" s="717">
        <f t="shared" ref="AJY16" si="976">AJY13-AJY15</f>
        <v>1213.7483785456943</v>
      </c>
      <c r="AJZ16" s="717">
        <f t="shared" ref="AJZ16" si="977">AJZ13-AJZ15</f>
        <v>1737.188378545693</v>
      </c>
      <c r="AKA16" s="717">
        <f t="shared" ref="AKA16:AKB16" si="978">AKA13-AKA15</f>
        <v>1080.6883785456921</v>
      </c>
      <c r="AKB16" s="717">
        <f t="shared" si="978"/>
        <v>1405.0883785456926</v>
      </c>
      <c r="AKC16" s="717">
        <f t="shared" ref="AKC16" si="979">AKC13-AKC15</f>
        <v>2157.7283785456939</v>
      </c>
      <c r="AKD16" s="717">
        <f t="shared" ref="AKD16" si="980">AKD13-AKD15</f>
        <v>1135.728378545693</v>
      </c>
      <c r="AKE16" s="717">
        <f t="shared" ref="AKE16" si="981">AKE13-AKE15</f>
        <v>1954.6723785456925</v>
      </c>
      <c r="AKF16" s="717">
        <f t="shared" ref="AKF16" si="982">AKF13-AKF15</f>
        <v>2415.9223785456925</v>
      </c>
      <c r="AKG16" s="717">
        <f t="shared" ref="AKG16" si="983">AKG13-AKG15</f>
        <v>2691.8823785456934</v>
      </c>
      <c r="AKH16" s="717">
        <f t="shared" ref="AKH16:AKN16" si="984">AKH13-AKH15</f>
        <v>3886.0663785456936</v>
      </c>
      <c r="AKI16" s="717">
        <f t="shared" si="984"/>
        <v>3060.2623785456926</v>
      </c>
      <c r="AKJ16" s="717">
        <f t="shared" si="984"/>
        <v>2315.362378545693</v>
      </c>
      <c r="AKK16" s="717">
        <f t="shared" si="984"/>
        <v>2249.4773785456928</v>
      </c>
      <c r="AKL16" s="717">
        <f t="shared" si="984"/>
        <v>2530.813378545693</v>
      </c>
      <c r="AKM16" s="717">
        <f t="shared" si="984"/>
        <v>2662.7533785456926</v>
      </c>
      <c r="AKN16" s="717">
        <f t="shared" si="984"/>
        <v>4751.3033785456928</v>
      </c>
      <c r="AKO16" s="717">
        <f t="shared" ref="AKO16:AKP16" si="985">AKO13-AKO15</f>
        <v>6015.0873785456943</v>
      </c>
      <c r="AKP16" s="717">
        <f t="shared" si="985"/>
        <v>4556.9673785456944</v>
      </c>
      <c r="AKQ16" s="717">
        <f t="shared" ref="AKQ16:AKR16" si="986">AKQ13-AKQ15</f>
        <v>5842.1923785456956</v>
      </c>
      <c r="AKR16" s="717">
        <f t="shared" si="986"/>
        <v>7007.1203785456964</v>
      </c>
      <c r="AKS16" s="717">
        <f t="shared" ref="AKS16" si="987">AKS13-AKS15</f>
        <v>5353.5303785456963</v>
      </c>
      <c r="AKT16" s="717">
        <f t="shared" ref="AKT16:AKU16" si="988">AKT13-AKT15</f>
        <v>6074.5103785456959</v>
      </c>
      <c r="AKU16" s="717">
        <f t="shared" si="988"/>
        <v>4626.0713785456974</v>
      </c>
      <c r="AKV16" s="717">
        <f t="shared" ref="AKV16:AKW16" si="989">AKV13-AKV15</f>
        <v>2574.4173785456987</v>
      </c>
      <c r="AKW16" s="717">
        <f t="shared" si="989"/>
        <v>4261.0133785457001</v>
      </c>
      <c r="AKX16" s="717">
        <f t="shared" ref="AKX16:AKY16" si="990">AKX13-AKX15</f>
        <v>5493.9973785457014</v>
      </c>
      <c r="AKY16" s="717">
        <f t="shared" si="990"/>
        <v>4983.3973785457019</v>
      </c>
      <c r="AKZ16" s="717">
        <f t="shared" ref="AKZ16" si="991">AKZ13-AKZ15</f>
        <v>6504.6773785457026</v>
      </c>
      <c r="ALA16" s="717">
        <f t="shared" ref="ALA16:ALB16" si="992">ALA13-ALA15</f>
        <v>6247.5173785457046</v>
      </c>
      <c r="ALB16" s="717">
        <f t="shared" si="992"/>
        <v>6286.9173785457042</v>
      </c>
      <c r="ALC16" s="717">
        <f t="shared" ref="ALC16:ALD16" si="993">ALC13-ALC15</f>
        <v>7375.8123785457046</v>
      </c>
      <c r="ALD16" s="717">
        <f t="shared" si="993"/>
        <v>9076.9763785457035</v>
      </c>
      <c r="ALE16" s="717">
        <f t="shared" ref="ALE16:ALF16" si="994">ALE13-ALE15</f>
        <v>10973.684378545706</v>
      </c>
      <c r="ALF16" s="717">
        <f t="shared" si="994"/>
        <v>12695.834378545707</v>
      </c>
      <c r="ALG16" s="717">
        <f t="shared" ref="ALG16" si="995">ALG13-ALG15</f>
        <v>12070.454378545706</v>
      </c>
      <c r="ALH16" s="717">
        <f t="shared" ref="ALH16:ALI16" si="996">ALH13-ALH15</f>
        <v>10665.043678545706</v>
      </c>
      <c r="ALI16" s="717">
        <f t="shared" si="996"/>
        <v>6663.1936785457074</v>
      </c>
      <c r="ALJ16" s="717">
        <f t="shared" ref="ALJ16:ALK16" si="997">ALJ13-ALJ15</f>
        <v>7458.4936785457066</v>
      </c>
      <c r="ALK16" s="717">
        <f t="shared" si="997"/>
        <v>4112.5286785457074</v>
      </c>
      <c r="ALL16" s="717">
        <f t="shared" ref="ALL16:ALR16" si="998">ALL13-ALL15</f>
        <v>4773.3916785457077</v>
      </c>
      <c r="ALM16" s="717">
        <f t="shared" si="998"/>
        <v>4687.2316785457097</v>
      </c>
      <c r="ALN16" s="717">
        <f t="shared" si="998"/>
        <v>8148.58167854571</v>
      </c>
      <c r="ALO16" s="717">
        <f t="shared" si="998"/>
        <v>5361.5424785457108</v>
      </c>
      <c r="ALP16" s="717">
        <f t="shared" si="998"/>
        <v>6445.3504785457098</v>
      </c>
      <c r="ALQ16" s="717">
        <f t="shared" si="998"/>
        <v>6285.0854785457086</v>
      </c>
      <c r="ALR16" s="717">
        <f t="shared" si="998"/>
        <v>6674.7534785457101</v>
      </c>
      <c r="ALS16" s="717">
        <f t="shared" ref="ALS16:ALT16" si="999">ALS13-ALS15</f>
        <v>7685.9534785457108</v>
      </c>
      <c r="ALT16" s="717">
        <f t="shared" si="999"/>
        <v>7917.1814785457118</v>
      </c>
      <c r="ALU16" s="717">
        <f t="shared" ref="ALU16" si="1000">ALU13-ALU15</f>
        <v>9275.5814785457096</v>
      </c>
      <c r="ALV16" s="717">
        <f t="shared" ref="ALV16:ALW16" si="1001">ALV13-ALV15</f>
        <v>10297.401478545711</v>
      </c>
      <c r="ALW16" s="717">
        <f t="shared" si="1001"/>
        <v>9415.4664785457098</v>
      </c>
      <c r="ALX16" s="717">
        <f t="shared" ref="ALX16:ALY16" si="1002">ALX13-ALX15</f>
        <v>9520.3984785457124</v>
      </c>
      <c r="ALY16" s="717">
        <f t="shared" si="1002"/>
        <v>7441.2784785457116</v>
      </c>
      <c r="ALZ16" s="717">
        <f t="shared" ref="ALZ16:AMA16" si="1003">ALZ13-ALZ15</f>
        <v>6494.1034785457123</v>
      </c>
      <c r="AMA16" s="717">
        <f t="shared" si="1003"/>
        <v>5426.3884785457121</v>
      </c>
      <c r="AMB16" s="717">
        <f t="shared" ref="AMB16:AMC16" si="1004">AMB13-AMB15</f>
        <v>3328.2384785457116</v>
      </c>
      <c r="AMC16" s="717">
        <f t="shared" si="1004"/>
        <v>1898.2484785457136</v>
      </c>
      <c r="AMD16" s="717">
        <f t="shared" ref="AMD16" si="1005">AMD13-AMD15</f>
        <v>1016.588478545712</v>
      </c>
      <c r="AME16" s="717">
        <f>AME13-AME15</f>
        <v>-1467.004521454287</v>
      </c>
      <c r="AMF16" s="717">
        <f t="shared" ref="AMF16:AMG16" si="1006">AMF13-AMF15</f>
        <v>902.45547854571396</v>
      </c>
      <c r="AMG16" s="717">
        <f t="shared" si="1006"/>
        <v>1203.6044785457152</v>
      </c>
      <c r="AMH16" s="717">
        <f>AMH13-AMH15</f>
        <v>4637.1684785457146</v>
      </c>
      <c r="AMI16" s="717">
        <f t="shared" ref="AMI16" si="1007">AMI13-AMI15</f>
        <v>5236.8704785457139</v>
      </c>
      <c r="AMJ16" s="717">
        <f t="shared" ref="AMJ16" si="1008">AMJ13-AMJ15</f>
        <v>2620.1129785457142</v>
      </c>
      <c r="AMK16" s="717">
        <f t="shared" ref="AMK16" si="1009">AMK13-AMK15</f>
        <v>952.05237854571533</v>
      </c>
      <c r="AML16" s="717">
        <f t="shared" ref="AML16" si="1010">AML13-AML15</f>
        <v>2222.8791785457161</v>
      </c>
      <c r="AMM16" s="717">
        <f t="shared" ref="AMM16" si="1011">AMM13-AMM15</f>
        <v>1694.0471785457157</v>
      </c>
      <c r="AMN16" s="717">
        <f t="shared" ref="AMN16" si="1012">AMN13-AMN15</f>
        <v>557.76357854571688</v>
      </c>
      <c r="AMO16" s="717">
        <f t="shared" ref="AMO16:AMP16" si="1013">AMO13-AMO15</f>
        <v>1160.3505785457173</v>
      </c>
      <c r="AMP16" s="717">
        <f t="shared" si="1013"/>
        <v>2477.5505785457171</v>
      </c>
      <c r="AMQ16" s="717">
        <f t="shared" ref="AMQ16:AMR16" si="1014">AMQ13-AMQ15</f>
        <v>2694.8535785457179</v>
      </c>
      <c r="AMR16" s="717">
        <f t="shared" si="1014"/>
        <v>2790.5359785457176</v>
      </c>
      <c r="AMS16" s="717">
        <f t="shared" ref="AMS16" si="1015">AMS13-AMS15</f>
        <v>2932.0059785457197</v>
      </c>
      <c r="AMT16" s="717">
        <f t="shared" ref="AMT16:AMU16" si="1016">AMT13-AMT15</f>
        <v>3736.6987785457204</v>
      </c>
      <c r="AMU16" s="717">
        <f t="shared" si="1016"/>
        <v>5589.4947785457189</v>
      </c>
      <c r="AMV16" s="717">
        <f t="shared" ref="AMV16" si="1017">AMV13-AMV15</f>
        <v>8008.8927785457199</v>
      </c>
      <c r="AMW16" s="717">
        <f t="shared" ref="AMW16:AMX16" si="1018">AMW13-AMW15</f>
        <v>6559.9967785457193</v>
      </c>
      <c r="AMX16" s="717">
        <f t="shared" si="1018"/>
        <v>6491.4217785457195</v>
      </c>
      <c r="AMY16" s="717">
        <f t="shared" ref="AMY16" si="1019">AMY13-AMY15</f>
        <v>4257.6697785457181</v>
      </c>
      <c r="AMZ16" s="717">
        <f t="shared" ref="AMZ16" si="1020">AMZ13-AMZ15</f>
        <v>3356.0087785457181</v>
      </c>
      <c r="ANA16" s="717">
        <f t="shared" ref="ANA16" si="1021">ANA13-ANA15</f>
        <v>2109.2129785457182</v>
      </c>
      <c r="ANB16" s="717">
        <f t="shared" ref="ANB16" si="1022">ANB13-ANB15</f>
        <v>2339.0129785457193</v>
      </c>
      <c r="ANC16" s="717">
        <f t="shared" ref="ANC16" si="1023">ANC13-ANC15</f>
        <v>2315.0577785457208</v>
      </c>
      <c r="AND16" s="717">
        <f t="shared" ref="AND16" si="1024">AND13-AND15</f>
        <v>1737.3877785457207</v>
      </c>
      <c r="ANE16" s="717">
        <f t="shared" ref="ANE16" si="1025">ANE13-ANE15</f>
        <v>1520.8697785457207</v>
      </c>
      <c r="ANF16" s="717">
        <f t="shared" ref="ANF16" si="1026">ANF13-ANF15</f>
        <v>1796.0697785457214</v>
      </c>
      <c r="ANG16" s="717">
        <f t="shared" ref="ANG16:ANO16" si="1027">ANG13-ANG15</f>
        <v>2261.9647785457219</v>
      </c>
      <c r="ANH16" s="717">
        <f t="shared" si="1027"/>
        <v>1386.3267785457219</v>
      </c>
      <c r="ANI16" s="717">
        <f t="shared" si="1027"/>
        <v>930.67677854572139</v>
      </c>
      <c r="ANJ16" s="717">
        <f t="shared" si="1027"/>
        <v>650.3687785457214</v>
      </c>
      <c r="ANK16" s="717">
        <f t="shared" si="1027"/>
        <v>677.63177854572132</v>
      </c>
      <c r="ANL16" s="717">
        <f t="shared" si="1027"/>
        <v>661.26577854572133</v>
      </c>
      <c r="ANM16" s="717">
        <f t="shared" si="1027"/>
        <v>1060.1377785457216</v>
      </c>
      <c r="ANN16" s="717">
        <f t="shared" si="1027"/>
        <v>730.06177854572161</v>
      </c>
      <c r="ANO16" s="717">
        <f t="shared" si="1027"/>
        <v>763.89917854572195</v>
      </c>
      <c r="ANP16" s="717">
        <f t="shared" ref="ANP16" si="1028">ANP13-ANP15</f>
        <v>505.56217854572242</v>
      </c>
      <c r="ANQ16" s="717">
        <f t="shared" ref="ANQ16:ANW16" si="1029">ANQ13-ANQ15-600</f>
        <v>704.65197854572216</v>
      </c>
      <c r="ANR16" s="717">
        <f t="shared" si="1029"/>
        <v>786.16637854572218</v>
      </c>
      <c r="ANS16" s="717">
        <f t="shared" si="1029"/>
        <v>1057.7663785457225</v>
      </c>
      <c r="ANT16" s="717">
        <f t="shared" si="1029"/>
        <v>1545.9439785457216</v>
      </c>
      <c r="ANU16" s="717">
        <f t="shared" si="1029"/>
        <v>1128.5741785457212</v>
      </c>
      <c r="ANV16" s="717">
        <f t="shared" si="1029"/>
        <v>4104.8241785457212</v>
      </c>
      <c r="ANW16" s="717">
        <f t="shared" si="1029"/>
        <v>3359.944178545722</v>
      </c>
      <c r="ANX16" s="717">
        <f t="shared" ref="ANX16" si="1030">ANX13-ANX15-600</f>
        <v>3670.0941785457226</v>
      </c>
      <c r="ANY16" s="717">
        <f t="shared" ref="ANY16" si="1031">ANY13-ANY15-600</f>
        <v>3124.2626785457214</v>
      </c>
      <c r="ANZ16" s="717">
        <f t="shared" ref="ANZ16:AOA16" si="1032">ANZ13-ANZ15-600</f>
        <v>3297.5656785457213</v>
      </c>
      <c r="AOA16" s="717">
        <f t="shared" si="1032"/>
        <v>3185.6326785457213</v>
      </c>
      <c r="AOB16" s="717">
        <f t="shared" ref="AOB16:AOC16" si="1033">AOB13-AOB15-600</f>
        <v>1231.8586785457228</v>
      </c>
      <c r="AOC16" s="717">
        <f t="shared" si="1033"/>
        <v>1191.7322785457236</v>
      </c>
      <c r="AOD16" s="717">
        <f t="shared" ref="AOD16:AOE16" si="1034">AOD13-AOD15-600</f>
        <v>989.55227854572422</v>
      </c>
      <c r="AOE16" s="717">
        <f t="shared" si="1034"/>
        <v>803.11827854572402</v>
      </c>
      <c r="AOF16" s="717">
        <f t="shared" ref="AOF16:AOG16" si="1035">AOF13-AOF15-600</f>
        <v>847.88027854572465</v>
      </c>
      <c r="AOG16" s="717">
        <f t="shared" si="1035"/>
        <v>2579.283278545724</v>
      </c>
      <c r="AOH16" s="717">
        <f t="shared" ref="AOH16:AOI16" si="1036">AOH13-AOH15-600</f>
        <v>2581.0412785457247</v>
      </c>
      <c r="AOI16" s="717">
        <f t="shared" si="1036"/>
        <v>3712.4872785457273</v>
      </c>
      <c r="AOJ16" s="717">
        <f t="shared" ref="AOJ16:AOK16" si="1037">AOJ13-AOJ15-600</f>
        <v>4736.4102785457271</v>
      </c>
      <c r="AOK16" s="717">
        <f t="shared" si="1037"/>
        <v>4761.2102785457291</v>
      </c>
      <c r="AOL16" s="717">
        <f t="shared" ref="AOL16:AOM16" si="1038">AOL13-AOL15-600</f>
        <v>4095.0452785457292</v>
      </c>
      <c r="AOM16" s="717">
        <f t="shared" si="1038"/>
        <v>4092.1702785457292</v>
      </c>
      <c r="AON16" s="717">
        <f t="shared" ref="AON16:AOO16" si="1039">AON13-AON15-600</f>
        <v>3234.9182785457288</v>
      </c>
      <c r="AOO16" s="717">
        <f t="shared" si="1039"/>
        <v>3822.9782785457301</v>
      </c>
      <c r="AOP16" s="717">
        <f t="shared" ref="AOP16:AOQ16" si="1040">AOP13-AOP15-600</f>
        <v>4506.4982785457305</v>
      </c>
      <c r="AOQ16" s="717">
        <f t="shared" si="1040"/>
        <v>4887.4932785457313</v>
      </c>
      <c r="AOR16" s="717">
        <f t="shared" ref="AOR16:AOS16" si="1041">AOR13-AOR15-600</f>
        <v>6506.0252785457305</v>
      </c>
      <c r="AOS16" s="717">
        <f t="shared" si="1041"/>
        <v>6745.1852785457322</v>
      </c>
      <c r="AOT16" s="717">
        <f t="shared" ref="AOT16:AOU16" si="1042">AOT13-AOT15-600</f>
        <v>7738.5802785457308</v>
      </c>
      <c r="AOU16" s="717">
        <f t="shared" si="1042"/>
        <v>6987.0543785457321</v>
      </c>
      <c r="AOV16" s="717">
        <f t="shared" ref="AOV16:AOW16" si="1043">AOV13-AOV15-600</f>
        <v>5643.7394785457318</v>
      </c>
      <c r="AOW16" s="717">
        <f t="shared" si="1043"/>
        <v>4034.4885785457327</v>
      </c>
      <c r="AOX16" s="717">
        <f t="shared" ref="AOX16" si="1044">AOX13-AOX15-600</f>
        <v>4306.065678545735</v>
      </c>
      <c r="AOY16" s="717">
        <f t="shared" ref="AOY16:AOZ16" si="1045">AOY13-AOY15-600</f>
        <v>4153.4057785457344</v>
      </c>
      <c r="AOZ16" s="717">
        <f t="shared" si="1045"/>
        <v>4173.9808785457353</v>
      </c>
      <c r="APA16" s="717">
        <f t="shared" ref="APA16:APB16" si="1046">APA13-APA15-600</f>
        <v>2185.7269785457365</v>
      </c>
      <c r="APB16" s="717">
        <f t="shared" si="1046"/>
        <v>3651.0369785457378</v>
      </c>
      <c r="APC16" s="717">
        <f t="shared" ref="APC16:APE16" si="1047">APC13-APC15-600</f>
        <v>5195.1449785457389</v>
      </c>
      <c r="APD16" s="717">
        <f t="shared" si="1047"/>
        <v>6289.0149785457388</v>
      </c>
      <c r="APE16" s="717">
        <f t="shared" si="1047"/>
        <v>8282.4149785457375</v>
      </c>
      <c r="APF16" s="717">
        <f t="shared" ref="APF16:APG16" si="1048">APF13-APF15-600</f>
        <v>6768.9869785457377</v>
      </c>
      <c r="APG16" s="717">
        <f t="shared" si="1048"/>
        <v>4803.6170785457389</v>
      </c>
      <c r="APH16" s="717">
        <f t="shared" ref="APH16:API16" si="1049">APH13-APH15-600</f>
        <v>4776.49217854574</v>
      </c>
      <c r="API16" s="717">
        <f t="shared" si="1049"/>
        <v>3920.996278545741</v>
      </c>
      <c r="APJ16" s="717">
        <f t="shared" ref="APJ16:APK16" si="1050">APJ13-APJ15-600</f>
        <v>2906.7263785457417</v>
      </c>
      <c r="APK16" s="717">
        <f t="shared" si="1050"/>
        <v>2110.7264785457428</v>
      </c>
      <c r="APL16" s="717">
        <f t="shared" ref="APL16:APM16" si="1051">APL13-APL15-600</f>
        <v>3145.5165785457448</v>
      </c>
      <c r="APM16" s="717">
        <f t="shared" si="1051"/>
        <v>2500.7206785457447</v>
      </c>
      <c r="APN16" s="717">
        <f t="shared" ref="APN16:APO16" si="1052">APN13-APN15-600</f>
        <v>2148.3167785457463</v>
      </c>
      <c r="APO16" s="717">
        <f t="shared" si="1052"/>
        <v>2582.8167785457463</v>
      </c>
      <c r="APP16" s="717">
        <f t="shared" ref="APP16:APQ16" si="1053">APP13-APP15-600</f>
        <v>3355.7207785457485</v>
      </c>
      <c r="APQ16" s="717">
        <f t="shared" si="1053"/>
        <v>3748.7977785457488</v>
      </c>
      <c r="APR16" s="717">
        <f t="shared" ref="APR16:APS16" si="1054">APR13-APR15-600</f>
        <v>4503.2137785457508</v>
      </c>
      <c r="APS16" s="717">
        <f t="shared" si="1054"/>
        <v>4972.8637785457531</v>
      </c>
      <c r="APT16" s="717">
        <f>APT13-APT15-600</f>
        <v>6819.7017785457556</v>
      </c>
      <c r="APU16" s="717">
        <f>APU13-APU15-600</f>
        <v>5691.1058785457553</v>
      </c>
      <c r="APV16" s="717">
        <f>APV13-APV15-600</f>
        <v>6123.2059785457568</v>
      </c>
      <c r="APW16" s="717">
        <f>APW13-APW15-600</f>
        <v>5256.1400785457581</v>
      </c>
      <c r="APX16" s="717">
        <f>APX13-APX15-600</f>
        <v>5078.1381785457588</v>
      </c>
      <c r="APY16" s="717">
        <f t="shared" ref="APY16:APZ16" si="1055">APY13-APY15-600</f>
        <v>3000.4342785457602</v>
      </c>
      <c r="APZ16" s="717">
        <f t="shared" si="1055"/>
        <v>4202.0143785457612</v>
      </c>
      <c r="AQA16" s="717">
        <f t="shared" ref="AQA16:AQB16" si="1056">AQA13-AQA15-600</f>
        <v>3480.580378545762</v>
      </c>
      <c r="AQB16" s="717">
        <f t="shared" si="1056"/>
        <v>3349.5703785457627</v>
      </c>
      <c r="AQC16" s="717">
        <f t="shared" ref="AQC16:AQD16" si="1057">AQC13-AQC15-600</f>
        <v>4749.8943785457632</v>
      </c>
      <c r="AQD16" s="717">
        <f t="shared" si="1057"/>
        <v>7253.8083785457638</v>
      </c>
      <c r="AQE16" s="717">
        <f t="shared" ref="AQE16:AQG16" si="1058">AQE13-AQE15-600</f>
        <v>7255.3283785457643</v>
      </c>
      <c r="AQF16" s="717">
        <f t="shared" si="1058"/>
        <v>6992.903378545765</v>
      </c>
      <c r="AQG16" s="717">
        <f t="shared" si="1058"/>
        <v>7570.5373785457668</v>
      </c>
      <c r="AQH16" s="717">
        <f t="shared" ref="AQH16:AQI16" si="1059">AQH13-AQH15-600</f>
        <v>5830.5773785457659</v>
      </c>
      <c r="AQI16" s="717">
        <f t="shared" si="1059"/>
        <v>7093.8013785457661</v>
      </c>
      <c r="AQJ16" s="717">
        <f t="shared" ref="AQJ16:AQK16" si="1060">AQJ13-AQJ15-600</f>
        <v>6329.850378545766</v>
      </c>
      <c r="AQK16" s="717">
        <f t="shared" si="1060"/>
        <v>6782.4903785457664</v>
      </c>
      <c r="AQL16" s="717">
        <f t="shared" ref="AQL16:AQN16" si="1061">AQL13-AQL15-600</f>
        <v>5535.4283785457674</v>
      </c>
      <c r="AQM16" s="717">
        <f t="shared" si="1061"/>
        <v>3945.0353785457692</v>
      </c>
      <c r="AQN16" s="717">
        <f t="shared" si="1061"/>
        <v>4805.1523785457712</v>
      </c>
      <c r="AQO16" s="717">
        <f t="shared" ref="AQO16:AQP16" si="1062">AQO13-AQO15-600</f>
        <v>5687.5923785457699</v>
      </c>
      <c r="AQP16" s="717">
        <f t="shared" si="1062"/>
        <v>5970.0183785457684</v>
      </c>
      <c r="AQQ16" s="717">
        <f t="shared" ref="AQQ16:AQR16" si="1063">AQQ13-AQQ15-600</f>
        <v>6063.5993785457686</v>
      </c>
      <c r="AQR16" s="717">
        <f t="shared" si="1063"/>
        <v>7289.7193785457675</v>
      </c>
      <c r="AQS16" s="717">
        <f t="shared" ref="AQS16:AQU16" si="1064">AQS13-AQS15-600</f>
        <v>9374.9343785457677</v>
      </c>
      <c r="AQT16" s="717">
        <f t="shared" si="1064"/>
        <v>7850.6443785457668</v>
      </c>
      <c r="AQU16" s="717">
        <f t="shared" si="1064"/>
        <v>7383.7693785457668</v>
      </c>
      <c r="AQV16" s="717">
        <f t="shared" ref="AQV16:AQW16" si="1065">AQV13-AQV15-600</f>
        <v>8343.4493785457671</v>
      </c>
      <c r="AQW16" s="717">
        <f t="shared" si="1065"/>
        <v>7506.4673785457671</v>
      </c>
      <c r="AQX16" s="717">
        <f t="shared" ref="AQX16:AQY16" si="1066">AQX13-AQX15-600</f>
        <v>8955.8963785457672</v>
      </c>
      <c r="AQY16" s="717">
        <f t="shared" si="1066"/>
        <v>9748.8663785457666</v>
      </c>
      <c r="AQZ16" s="717">
        <f t="shared" ref="AQZ16:ARB16" si="1067">AQZ13-AQZ15-600</f>
        <v>8934.1393785457658</v>
      </c>
      <c r="ARA16" s="717">
        <f t="shared" si="1067"/>
        <v>8519.3973785457692</v>
      </c>
      <c r="ARB16" s="717">
        <f t="shared" si="1067"/>
        <v>8069.8073785457691</v>
      </c>
      <c r="ARC16" s="717">
        <f t="shared" ref="ARC16:ARD16" si="1068">ARC13-ARC15-600</f>
        <v>7713.7523785457688</v>
      </c>
      <c r="ARD16" s="717">
        <f t="shared" si="1068"/>
        <v>7735.8663785457684</v>
      </c>
      <c r="ARE16" s="717">
        <f t="shared" ref="ARE16:ARF16" si="1069">ARE13-ARE15-600</f>
        <v>8648.7263785457671</v>
      </c>
      <c r="ARF16" s="717">
        <f t="shared" si="1069"/>
        <v>9240.6433785457666</v>
      </c>
      <c r="ARG16" s="717">
        <f t="shared" ref="ARG16:ARI16" si="1070">ARG13-ARG15-600</f>
        <v>8773.0883785457663</v>
      </c>
      <c r="ARH16" s="717">
        <f t="shared" si="1070"/>
        <v>7932.4603785457657</v>
      </c>
      <c r="ARI16" s="717">
        <f t="shared" si="1070"/>
        <v>8913.2443785457654</v>
      </c>
      <c r="ARJ16" s="717">
        <f t="shared" ref="ARJ16:ARK16" si="1071">ARJ13-ARJ15-600</f>
        <v>9030.6033785457657</v>
      </c>
      <c r="ARK16" s="717">
        <f t="shared" si="1071"/>
        <v>9544.4443785457661</v>
      </c>
      <c r="ARL16" s="717">
        <f t="shared" ref="ARL16:ARM16" si="1072">ARL13-ARL15-600</f>
        <v>10594.458378545765</v>
      </c>
      <c r="ARM16" s="717">
        <f t="shared" si="1072"/>
        <v>11180.981378545766</v>
      </c>
      <c r="ARN16" s="717">
        <f t="shared" ref="ARN16:ARP16" si="1073">ARN13-ARN15-600</f>
        <v>10799.992378545767</v>
      </c>
      <c r="ARO16" s="717">
        <f t="shared" si="1073"/>
        <v>11005.864378545768</v>
      </c>
      <c r="ARP16" s="717">
        <f t="shared" si="1073"/>
        <v>11015.574378545767</v>
      </c>
      <c r="ARQ16" s="717">
        <f t="shared" ref="ARQ16:ARR16" si="1074">ARQ13-ARQ15-600</f>
        <v>11233.365378545768</v>
      </c>
      <c r="ARR16" s="717">
        <f t="shared" si="1074"/>
        <v>10469.698378545771</v>
      </c>
      <c r="ARS16" s="717">
        <f t="shared" ref="ARS16:ART16" si="1075">ARS13-ARS15-600</f>
        <v>10974.169378545768</v>
      </c>
      <c r="ART16" s="717">
        <f t="shared" si="1075"/>
        <v>12311.183378545767</v>
      </c>
      <c r="ARU16" s="717">
        <f t="shared" ref="ARU16:ARW16" si="1076">ARU13-ARU15-600</f>
        <v>12973.892378545766</v>
      </c>
      <c r="ARV16" s="717">
        <f t="shared" si="1076"/>
        <v>12707.041378545768</v>
      </c>
      <c r="ARW16" s="717">
        <f t="shared" si="1076"/>
        <v>13569.890378545768</v>
      </c>
      <c r="ARX16" s="717">
        <f t="shared" ref="ARX16:ARY16" si="1077">ARX13-ARX15-600</f>
        <v>14527.221378545768</v>
      </c>
      <c r="ARY16" s="717">
        <f t="shared" si="1077"/>
        <v>14663.776378545768</v>
      </c>
      <c r="ARZ16" s="717">
        <f t="shared" ref="ARZ16:ASA16" si="1078">ARZ13-ARZ15-600</f>
        <v>16073.879378545771</v>
      </c>
      <c r="ASA16" s="717">
        <f t="shared" si="1078"/>
        <v>14261.207378545772</v>
      </c>
      <c r="ASB16" s="717">
        <f t="shared" ref="ASB16:ASD16" si="1079">ASB13-ASB15-600</f>
        <v>12768.008378545772</v>
      </c>
      <c r="ASC16" s="717">
        <f t="shared" si="1079"/>
        <v>10870.957378545772</v>
      </c>
      <c r="ASD16" s="717">
        <f t="shared" si="1079"/>
        <v>10651.35737854577</v>
      </c>
      <c r="ASE16" s="717">
        <f t="shared" ref="ASE16:ASF16" si="1080">ASE13-ASE15-600</f>
        <v>8187.7133785457681</v>
      </c>
      <c r="ASF16" s="717">
        <f t="shared" si="1080"/>
        <v>6311.6013785457671</v>
      </c>
      <c r="ASG16" s="717">
        <f t="shared" ref="ASG16:ASH16" si="1081">ASG13-ASG15-600</f>
        <v>6779.2913785457667</v>
      </c>
      <c r="ASH16" s="717">
        <f t="shared" si="1081"/>
        <v>8407.5913785457651</v>
      </c>
      <c r="ASI16" s="717">
        <f t="shared" ref="ASI16:ASK16" si="1082">ASI13-ASI15-600</f>
        <v>8940.3543785457659</v>
      </c>
      <c r="ASJ16" s="717">
        <f t="shared" si="1082"/>
        <v>9557.3313785457649</v>
      </c>
      <c r="ASK16" s="717">
        <f t="shared" si="1082"/>
        <v>11384.137378545765</v>
      </c>
      <c r="ASL16" s="717">
        <f t="shared" ref="ASL16:ASM16" si="1083">ASL13-ASL15-600</f>
        <v>12014.777378545765</v>
      </c>
      <c r="ASM16" s="717">
        <f t="shared" si="1083"/>
        <v>13145.709378545764</v>
      </c>
      <c r="ASN16" s="717">
        <f t="shared" ref="ASN16:ASP16" si="1084">ASN13-ASN15-600</f>
        <v>13335.939378545761</v>
      </c>
      <c r="ASO16" s="717">
        <f t="shared" si="1084"/>
        <v>13381.639378545762</v>
      </c>
      <c r="ASP16" s="717">
        <f t="shared" si="1084"/>
        <v>13425.09137854576</v>
      </c>
      <c r="ASQ16" s="717">
        <f t="shared" ref="ASQ16:ASR16" si="1085">ASQ13-ASQ15-600</f>
        <v>13210.02137854576</v>
      </c>
      <c r="ASR16" s="717">
        <f t="shared" si="1085"/>
        <v>11790.28737854576</v>
      </c>
      <c r="ASS16" s="717">
        <f t="shared" ref="ASS16:AST16" si="1086">ASS13-ASS15-600</f>
        <v>10044.374378545759</v>
      </c>
      <c r="AST16" s="717">
        <f t="shared" si="1086"/>
        <v>9874.0683785457604</v>
      </c>
      <c r="ASU16" s="717">
        <f t="shared" ref="ASU16:ASW16" si="1087">ASU13-ASU15-600</f>
        <v>9496.7183785457601</v>
      </c>
      <c r="ASV16" s="717">
        <f t="shared" si="1087"/>
        <v>9258.9283785457592</v>
      </c>
      <c r="ASW16" s="717">
        <f t="shared" si="1087"/>
        <v>10424.05937854576</v>
      </c>
      <c r="ASX16" s="717">
        <f t="shared" ref="ASX16:ASY16" si="1088">ASX13-ASX15-600</f>
        <v>12457.584378545762</v>
      </c>
      <c r="ASY16" s="717">
        <f t="shared" si="1088"/>
        <v>14242.256378545762</v>
      </c>
      <c r="ASZ16" s="717">
        <f t="shared" ref="ASZ16:ATA16" si="1089">ASZ13-ASZ15-600</f>
        <v>14116.511378545762</v>
      </c>
      <c r="ATA16" s="717">
        <f t="shared" si="1089"/>
        <v>13413.924378545762</v>
      </c>
      <c r="ATB16" s="717">
        <f t="shared" ref="ATB16:ATC16" si="1090">ATB13-ATB15-600</f>
        <v>10677.90437854576</v>
      </c>
      <c r="ATC16" s="717">
        <f t="shared" si="1090"/>
        <v>9298.2943785457574</v>
      </c>
      <c r="ATD16" s="717">
        <f t="shared" ref="ATD16:ATF16" si="1091">ATD13-ATD15-600</f>
        <v>7162.3703785457565</v>
      </c>
      <c r="ATE16" s="717">
        <f t="shared" si="1091"/>
        <v>7172.7463785457549</v>
      </c>
      <c r="ATF16" s="717">
        <f t="shared" si="1091"/>
        <v>6088.2933785457544</v>
      </c>
      <c r="ATG16" s="717">
        <f t="shared" ref="ATG16:ATH16" si="1092">ATG13-ATG15-600</f>
        <v>6409.9933785457542</v>
      </c>
      <c r="ATH16" s="717">
        <f t="shared" si="1092"/>
        <v>5347.7223785457545</v>
      </c>
      <c r="ATI16" s="717">
        <f t="shared" ref="ATI16:ATJ16" si="1093">ATI13-ATI15-600</f>
        <v>6603.8863785457525</v>
      </c>
      <c r="ATJ16" s="717">
        <f t="shared" si="1093"/>
        <v>4777.6313785457514</v>
      </c>
      <c r="ATK16" s="717">
        <f t="shared" ref="ATK16:ATM16" si="1094">ATK13-ATK15-600</f>
        <v>5188.0063785457514</v>
      </c>
      <c r="ATL16" s="717">
        <f t="shared" si="1094"/>
        <v>2892.3413785457506</v>
      </c>
      <c r="ATM16" s="717">
        <f t="shared" si="1094"/>
        <v>2923.6713785457505</v>
      </c>
      <c r="ATN16" s="717">
        <f t="shared" ref="ATN16:ATO16" si="1095">ATN13-ATN15-600</f>
        <v>4031.4213785457496</v>
      </c>
      <c r="ATO16" s="717">
        <f t="shared" si="1095"/>
        <v>8810.4073785457476</v>
      </c>
      <c r="ATP16" s="717">
        <f t="shared" ref="ATP16:ATQ16" si="1096">ATP13-ATP15-600</f>
        <v>8771.9953785457474</v>
      </c>
      <c r="ATQ16" s="717">
        <f t="shared" si="1096"/>
        <v>10934.551378545746</v>
      </c>
      <c r="ATR16" s="717">
        <f t="shared" ref="ATR16:ATS16" si="1097">ATR13-ATR15-600</f>
        <v>12715.849378545747</v>
      </c>
      <c r="ATS16" s="717">
        <f t="shared" si="1097"/>
        <v>15011.284378545746</v>
      </c>
      <c r="ATT16" s="717">
        <f t="shared" ref="ATT16:ATU16" si="1098">ATT13-ATT15-600</f>
        <v>15626.532378545744</v>
      </c>
      <c r="ATU16" s="717">
        <f t="shared" si="1098"/>
        <v>15704.872378545744</v>
      </c>
      <c r="ATV16" s="717">
        <f t="shared" ref="ATV16:ATW16" si="1099">ATV13-ATV15-600</f>
        <v>17046.804378545745</v>
      </c>
      <c r="ATW16" s="717">
        <f t="shared" si="1099"/>
        <v>16740.669378545743</v>
      </c>
      <c r="ATX16" s="717">
        <f t="shared" ref="ATX16" si="1100">ATX13-ATX15-600</f>
        <v>14563.217378545742</v>
      </c>
      <c r="ATY16" s="717">
        <f t="shared" ref="ATY16:AUA16" si="1101">ATY13-ATY15-600</f>
        <v>12853.721378545739</v>
      </c>
      <c r="ATZ16" s="717">
        <f t="shared" si="1101"/>
        <v>10252.481378545741</v>
      </c>
      <c r="AUA16" s="717">
        <f t="shared" si="1101"/>
        <v>7201.9093785457408</v>
      </c>
      <c r="AUB16" s="717">
        <f t="shared" ref="AUB16:AUC16" si="1102">AUB13-AUB15-600</f>
        <v>8188.829378545739</v>
      </c>
      <c r="AUC16" s="717">
        <f t="shared" si="1102"/>
        <v>10917.68437854574</v>
      </c>
      <c r="AUD16" s="717">
        <f t="shared" ref="AUD16:AUE16" si="1103">AUD13-AUD15-600</f>
        <v>10462.331378545739</v>
      </c>
      <c r="AUE16" s="717">
        <f t="shared" si="1103"/>
        <v>12069.103378545737</v>
      </c>
      <c r="AUF16" s="717">
        <f t="shared" ref="AUF16:AUH16" si="1104">AUF13-AUF15-600</f>
        <v>12084.477378545736</v>
      </c>
      <c r="AUG16" s="717">
        <f t="shared" si="1104"/>
        <v>14243.697378545738</v>
      </c>
      <c r="AUH16" s="717">
        <f t="shared" si="1104"/>
        <v>14646.781378545737</v>
      </c>
      <c r="AUI16" s="717">
        <f t="shared" ref="AUI16:AUJ16" si="1105">AUI13-AUI15-600</f>
        <v>13807.192378545737</v>
      </c>
      <c r="AUJ16" s="717">
        <f t="shared" si="1105"/>
        <v>17609.717378545734</v>
      </c>
      <c r="AUK16" s="717">
        <f t="shared" ref="AUK16:AUL16" si="1106">AUK13-AUK15-600</f>
        <v>16930.67637854573</v>
      </c>
      <c r="AUL16" s="717">
        <f t="shared" si="1106"/>
        <v>18164.974378545729</v>
      </c>
      <c r="AUM16" s="717">
        <f t="shared" ref="AUM16:AUN16" si="1107">AUM13-AUM15-600</f>
        <v>16919.471378545728</v>
      </c>
      <c r="AUN16" s="717">
        <f t="shared" si="1107"/>
        <v>18093.696378545726</v>
      </c>
      <c r="AUO16" s="717">
        <f t="shared" ref="AUO16:AUP16" si="1108">AUO13-AUO15-600</f>
        <v>18075.748378545726</v>
      </c>
      <c r="AUP16" s="717">
        <f t="shared" si="1108"/>
        <v>15911.503378545724</v>
      </c>
      <c r="AUQ16" s="717">
        <f t="shared" ref="AUQ16:AUR16" si="1109">AUQ13-AUQ15-600</f>
        <v>16834.157378545722</v>
      </c>
      <c r="AUR16" s="717">
        <f t="shared" si="1109"/>
        <v>17602.447378545723</v>
      </c>
      <c r="AUS16" s="717">
        <f t="shared" ref="AUS16:AUT16" si="1110">AUS13-AUS15-600</f>
        <v>16150.12737854572</v>
      </c>
      <c r="AUT16" s="717">
        <f t="shared" si="1110"/>
        <v>17264.052378545715</v>
      </c>
      <c r="AUU16" s="717">
        <f t="shared" ref="AUU16:AUV16" si="1111">AUU13-AUU15-600</f>
        <v>18057.446378545716</v>
      </c>
      <c r="AUV16" s="717">
        <f t="shared" si="1111"/>
        <v>17921.196378545716</v>
      </c>
      <c r="AUW16" s="717">
        <f t="shared" ref="AUW16:AUX16" si="1112">AUW13-AUW15-600</f>
        <v>17865.956378545718</v>
      </c>
      <c r="AUX16" s="717">
        <f t="shared" si="1112"/>
        <v>17645.036378545719</v>
      </c>
      <c r="AUY16" s="717">
        <f t="shared" ref="AUY16:AUZ16" si="1113">AUY13-AUY15-600</f>
        <v>16970.275378545721</v>
      </c>
      <c r="AUZ16" s="717">
        <f t="shared" si="1113"/>
        <v>14864.757378545721</v>
      </c>
      <c r="AVA16" s="717">
        <f t="shared" ref="AVA16:AVC16" si="1114">AVA13-AVA15-600</f>
        <v>12112.13537854572</v>
      </c>
      <c r="AVB16" s="717">
        <f t="shared" si="1114"/>
        <v>11846.991378545721</v>
      </c>
      <c r="AVC16" s="717">
        <f t="shared" si="1114"/>
        <v>10829.809378545722</v>
      </c>
      <c r="AVD16" s="717">
        <f t="shared" ref="AVD16:AVE16" si="1115">AVD13-AVD15-600</f>
        <v>9541.1493785457205</v>
      </c>
      <c r="AVE16" s="717">
        <f t="shared" si="1115"/>
        <v>5302.1393785457203</v>
      </c>
      <c r="AVF16" s="717">
        <f t="shared" ref="AVF16:AVG16" si="1116">AVF13-AVF15-600</f>
        <v>4455.4793785457205</v>
      </c>
      <c r="AVG16" s="717">
        <f t="shared" si="1116"/>
        <v>4040.0793785457199</v>
      </c>
      <c r="AVH16" s="717">
        <f t="shared" ref="AVH16:AVJ16" si="1117">AVH13-AVH15-600</f>
        <v>4223.7573785457189</v>
      </c>
      <c r="AVI16" s="717">
        <f t="shared" si="1117"/>
        <v>5081.5153785457196</v>
      </c>
      <c r="AVJ16" s="717">
        <f t="shared" si="1117"/>
        <v>5394.7243785457194</v>
      </c>
      <c r="AVK16" s="717">
        <f t="shared" ref="AVK16:AVL16" si="1118">AVK13-AVK15-600</f>
        <v>5504.6703785457184</v>
      </c>
      <c r="AVL16" s="717">
        <f t="shared" si="1118"/>
        <v>5743.9743785457185</v>
      </c>
      <c r="AVM16" s="717">
        <f t="shared" ref="AVM16:AVN16" si="1119">AVM13-AVM15-600</f>
        <v>5554.7983785457182</v>
      </c>
      <c r="AVN16" s="717">
        <f t="shared" si="1119"/>
        <v>5056.404378545717</v>
      </c>
      <c r="AVO16" s="717">
        <f t="shared" ref="AVO16:AVQ16" si="1120">AVO13-AVO15-600</f>
        <v>5781.3743785457164</v>
      </c>
      <c r="AVP16" s="717">
        <f t="shared" si="1120"/>
        <v>5405.8943785457159</v>
      </c>
      <c r="AVQ16" s="717">
        <f t="shared" si="1120"/>
        <v>4472.278378545715</v>
      </c>
      <c r="AVR16" s="717">
        <f t="shared" ref="AVR16:AVS16" si="1121">AVR13-AVR15-600</f>
        <v>4168.2623785457145</v>
      </c>
      <c r="AVS16" s="717">
        <f t="shared" si="1121"/>
        <v>4585.0323785457149</v>
      </c>
      <c r="AVT16" s="717">
        <f t="shared" ref="AVT16:AVU16" si="1122">AVT13-AVT15-600</f>
        <v>4331.162378545715</v>
      </c>
      <c r="AVU16" s="717">
        <f t="shared" si="1122"/>
        <v>2516.7763785457137</v>
      </c>
      <c r="AVV16" s="717">
        <f t="shared" ref="AVV16:AVX16" si="1123">AVV13-AVV15-600</f>
        <v>2354.5223785457129</v>
      </c>
      <c r="AVW16" s="717">
        <f t="shared" si="1123"/>
        <v>2371.3723785457132</v>
      </c>
      <c r="AVX16" s="717">
        <f t="shared" si="1123"/>
        <v>2236.5983785457138</v>
      </c>
      <c r="AVY16" s="717">
        <f t="shared" ref="AVY16:AVZ16" si="1124">AVY13-AVY15-600</f>
        <v>2001.3553785457134</v>
      </c>
      <c r="AVZ16" s="717">
        <f t="shared" si="1124"/>
        <v>1542.429378545713</v>
      </c>
      <c r="AWA16" s="717">
        <f>AWA13-AWA15-300</f>
        <v>2908.1993785457125</v>
      </c>
      <c r="AWB16" s="717">
        <f>AWB13-AWB15-300</f>
        <v>1193.8673785457122</v>
      </c>
      <c r="AWC16" s="717">
        <f t="shared" ref="AWC16:AWE16" si="1125">AWC13-AWC15-300</f>
        <v>2356.7733785457121</v>
      </c>
      <c r="AWD16" s="717">
        <f t="shared" si="1125"/>
        <v>1401.6303785457121</v>
      </c>
      <c r="AWE16" s="717">
        <f t="shared" si="1125"/>
        <v>745.88637854571152</v>
      </c>
      <c r="AWF16" s="717">
        <f t="shared" ref="AWF16:AWH16" si="1126">AWF13-AWF15-300</f>
        <v>855.80137854571149</v>
      </c>
      <c r="AWG16" s="717">
        <f t="shared" si="1126"/>
        <v>570.63537854571132</v>
      </c>
      <c r="AWH16" s="717">
        <f t="shared" si="1126"/>
        <v>558.26537854571143</v>
      </c>
      <c r="AWI16" s="717">
        <f t="shared" ref="AWI16:AWL16" si="1127">AWI13-AWI15-300</f>
        <v>4179.6413785457098</v>
      </c>
      <c r="AWJ16" s="717">
        <f t="shared" si="1127"/>
        <v>2700.1803785457105</v>
      </c>
      <c r="AWK16" s="717">
        <f t="shared" si="1127"/>
        <v>1270.5053785457103</v>
      </c>
      <c r="AWL16" s="717">
        <f t="shared" si="1127"/>
        <v>2904.6103785457108</v>
      </c>
      <c r="AWM16" s="717">
        <f t="shared" ref="AWM16:AWN16" si="1128">AWM13-AWM15-300</f>
        <v>2753.0283785457104</v>
      </c>
      <c r="AWN16" s="717">
        <f t="shared" si="1128"/>
        <v>3032.0863785457095</v>
      </c>
      <c r="AWO16" s="717">
        <f t="shared" ref="AWO16:AWP16" si="1129">AWO13-AWO15-300</f>
        <v>2053.3153785457089</v>
      </c>
      <c r="AWP16" s="717">
        <f t="shared" si="1129"/>
        <v>2708.6553785457099</v>
      </c>
      <c r="AWQ16" s="717">
        <f t="shared" ref="AWQ16:AWS16" si="1130">AWQ13-AWQ15-300</f>
        <v>3217.7203785457095</v>
      </c>
      <c r="AWR16" s="717">
        <f t="shared" si="1130"/>
        <v>3007.7403785457091</v>
      </c>
      <c r="AWS16" s="717">
        <f t="shared" si="1130"/>
        <v>4307.1843785457086</v>
      </c>
      <c r="AWT16" s="717">
        <f t="shared" ref="AWT16:AWU16" si="1131">AWT13-AWT15-300</f>
        <v>5656.6843785457077</v>
      </c>
      <c r="AWU16" s="717">
        <f t="shared" si="1131"/>
        <v>5003.2093785457073</v>
      </c>
      <c r="AWV16" s="717">
        <f t="shared" ref="AWV16:AWW16" si="1132">AWV13-AWV15-300</f>
        <v>3334.333378545708</v>
      </c>
      <c r="AWW16" s="717">
        <f t="shared" si="1132"/>
        <v>4902.0793785457081</v>
      </c>
      <c r="AWX16" s="717">
        <f t="shared" ref="AWX16:AWZ16" si="1133">AWX13-AWX15-300</f>
        <v>3504.5653785457062</v>
      </c>
      <c r="AWY16" s="717">
        <f t="shared" si="1133"/>
        <v>5204.4973785457059</v>
      </c>
      <c r="AWZ16" s="717">
        <f t="shared" si="1133"/>
        <v>5388.7093785457055</v>
      </c>
      <c r="AXA16" s="717">
        <f t="shared" ref="AXA16" si="1134">AXA13-AXA15-300</f>
        <v>5407.1823785457045</v>
      </c>
      <c r="AXB16" s="717">
        <f t="shared" ref="AXB16" si="1135">AXB13-AXB15-300</f>
        <v>4665.5613785457044</v>
      </c>
      <c r="AXC16" s="717">
        <f t="shared" ref="AXC16" si="1136">AXC13-AXC15-300</f>
        <v>3633.3463785457043</v>
      </c>
      <c r="AXD16" s="717">
        <f t="shared" ref="AXD16" si="1137">AXD13-AXD15-300</f>
        <v>2613.5663785457054</v>
      </c>
      <c r="AXE16" s="717">
        <f t="shared" ref="AXE16" si="1138">AXE13-AXE15-300</f>
        <v>1480.4013785457064</v>
      </c>
      <c r="AXF16" s="717">
        <f t="shared" ref="AXF16:AXG16" si="1139">AXF13-AXF15-300</f>
        <v>515.54137854570672</v>
      </c>
      <c r="AXG16" s="717">
        <f t="shared" si="1139"/>
        <v>1111.4523785457068</v>
      </c>
      <c r="AXH16" s="717">
        <f t="shared" ref="AXH16" si="1140">AXH13-AXH15-300</f>
        <v>1047.8123785457055</v>
      </c>
      <c r="AXI16" s="717">
        <f t="shared" ref="AXI16:AXJ16" si="1141">AXI13-AXI15-300</f>
        <v>326.2863785457057</v>
      </c>
      <c r="AXJ16" s="717">
        <f t="shared" si="1141"/>
        <v>63.344378545705695</v>
      </c>
      <c r="AXK16" s="717">
        <f t="shared" ref="AXK16:AXP16" si="1142">AXK13-AXK15-300</f>
        <v>499.80637854570523</v>
      </c>
      <c r="AXL16" s="717">
        <f t="shared" si="1142"/>
        <v>3144.0163785457034</v>
      </c>
      <c r="AXM16" s="717">
        <f t="shared" si="1142"/>
        <v>3484.3723785457023</v>
      </c>
      <c r="AXN16" s="717">
        <f t="shared" si="1142"/>
        <v>2962.5943785457021</v>
      </c>
      <c r="AXO16" s="717">
        <f t="shared" si="1142"/>
        <v>3276.9343785457022</v>
      </c>
      <c r="AXP16" s="717">
        <f t="shared" si="1142"/>
        <v>4499.4723785457018</v>
      </c>
      <c r="AXQ16" s="717">
        <f t="shared" ref="AXQ16" si="1143">AXQ13-AXQ15-300</f>
        <v>4066.6023785457019</v>
      </c>
      <c r="AXR16" s="717">
        <f t="shared" ref="AXR16:AXS16" si="1144">AXR13-AXR15-300</f>
        <v>3144.9263785457006</v>
      </c>
      <c r="AXS16" s="717">
        <f t="shared" si="1144"/>
        <v>3399.3763785456995</v>
      </c>
      <c r="AXT16" s="717">
        <f t="shared" ref="AXT16" si="1145">AXT13-AXT15-300</f>
        <v>1571.3263785457002</v>
      </c>
      <c r="AXU16" s="717">
        <f t="shared" ref="AXU16:AXV16" si="1146">AXU13-AXU15-300</f>
        <v>2134.8413785457005</v>
      </c>
      <c r="AXV16" s="717">
        <f t="shared" si="1146"/>
        <v>2563.9993785456991</v>
      </c>
      <c r="AXW16" s="717">
        <f t="shared" ref="AXW16" si="1147">AXW13-AXW15-300</f>
        <v>1132.1053785456998</v>
      </c>
      <c r="AXX16" s="717">
        <f t="shared" ref="AXX16" si="1148">AXX13-AXX15-300</f>
        <v>296.43337854570018</v>
      </c>
      <c r="AXY16" s="717">
        <f t="shared" ref="AXY16:AYE16" si="1149">AXY13-AXY15+900</f>
        <v>351.87337854569978</v>
      </c>
      <c r="AXZ16" s="717">
        <f t="shared" si="1149"/>
        <v>1451.7233785457001</v>
      </c>
      <c r="AYA16" s="717">
        <f t="shared" si="1149"/>
        <v>1641.3433785456991</v>
      </c>
      <c r="AYB16" s="717">
        <f t="shared" si="1149"/>
        <v>1958.4233785456991</v>
      </c>
      <c r="AYC16" s="717">
        <f t="shared" si="1149"/>
        <v>1596.9533785456997</v>
      </c>
      <c r="AYD16" s="717">
        <f t="shared" si="1149"/>
        <v>1784.5833785456998</v>
      </c>
      <c r="AYE16" s="717">
        <f t="shared" si="1149"/>
        <v>3787.8833785456991</v>
      </c>
      <c r="AYF16" s="717">
        <f t="shared" ref="AYF16:AYK16" si="1150">AYF13-AYF15+900</f>
        <v>2379.887378545699</v>
      </c>
      <c r="AYG16" s="717">
        <f t="shared" si="1150"/>
        <v>881.61837854569785</v>
      </c>
      <c r="AYH16" s="717">
        <f t="shared" si="1150"/>
        <v>652.63737854569717</v>
      </c>
      <c r="AYI16" s="717">
        <f t="shared" si="1150"/>
        <v>372.96337854569629</v>
      </c>
      <c r="AYJ16" s="717">
        <f t="shared" si="1150"/>
        <v>339.34337854569367</v>
      </c>
      <c r="AYK16" s="717">
        <f t="shared" si="1150"/>
        <v>452.79137854569217</v>
      </c>
      <c r="AYL16" s="717">
        <f t="shared" ref="AYL16:AYM16" si="1151">AYL13-AYL15+900</f>
        <v>1121.393378545692</v>
      </c>
      <c r="AYM16" s="717">
        <f t="shared" si="1151"/>
        <v>2204.513378545691</v>
      </c>
      <c r="AYN16" s="717">
        <f t="shared" ref="AYN16:AYP16" si="1152">AYN13-AYN15+900</f>
        <v>3699.098378545691</v>
      </c>
      <c r="AYO16" s="717">
        <f t="shared" si="1152"/>
        <v>4733.9483785456914</v>
      </c>
      <c r="AYP16" s="717">
        <f t="shared" si="1152"/>
        <v>5749.4363785456908</v>
      </c>
      <c r="AYQ16" s="717">
        <f>AYQ13-AYQ15+20</f>
        <v>6934.5713785456901</v>
      </c>
      <c r="AYR16" s="717">
        <f>AYR13-AYR15+20</f>
        <v>4638.4183785456898</v>
      </c>
      <c r="AYS16" s="717">
        <f>AYS13-AYS15+20</f>
        <v>4723.8983785456903</v>
      </c>
      <c r="AYT16" s="717">
        <f>AYT13-AYT15+20</f>
        <v>4160.5383785456897</v>
      </c>
      <c r="AYU16" s="717">
        <f t="shared" ref="AYU16:AYW16" si="1153">AYU13-AYU15+20</f>
        <v>2981.4683785456882</v>
      </c>
      <c r="AYV16" s="717">
        <f t="shared" si="1153"/>
        <v>2243.4683785456882</v>
      </c>
      <c r="AYW16" s="717">
        <f t="shared" si="1153"/>
        <v>2072.1383785456865</v>
      </c>
      <c r="AYX16" s="717">
        <f t="shared" ref="AYX16:AYY16" si="1154">AYX13-AYX15+20</f>
        <v>3287.618378545686</v>
      </c>
      <c r="AYY16" s="717">
        <f t="shared" si="1154"/>
        <v>4127.1483785456858</v>
      </c>
      <c r="AYZ16" s="717">
        <f t="shared" ref="AYZ16:AZA16" si="1155">AYZ13-AYZ15+20</f>
        <v>3997.5903785456849</v>
      </c>
      <c r="AZA16" s="717">
        <f t="shared" si="1155"/>
        <v>5229.952378545685</v>
      </c>
      <c r="AZB16" s="717">
        <f t="shared" ref="AZB16:AZD16" si="1156">AZB13-AZB15+20</f>
        <v>5386.430378545685</v>
      </c>
      <c r="AZC16" s="717">
        <f t="shared" si="1156"/>
        <v>4473.7183785456837</v>
      </c>
      <c r="AZD16" s="717">
        <f t="shared" si="1156"/>
        <v>4419.1583785456842</v>
      </c>
      <c r="AZE16" s="717">
        <f t="shared" ref="AZE16:AZF16" si="1157">AZE13-AZE15+20</f>
        <v>3406.4883785456841</v>
      </c>
      <c r="AZF16" s="717">
        <f t="shared" si="1157"/>
        <v>3154.2063785456839</v>
      </c>
      <c r="AZG16" s="717">
        <f t="shared" ref="AZG16:AZH16" si="1158">AZG13-AZG15+20</f>
        <v>2499.7723785456838</v>
      </c>
      <c r="AZH16" s="717">
        <f t="shared" si="1158"/>
        <v>2801.3243785456834</v>
      </c>
      <c r="AZI16" s="717">
        <f t="shared" ref="AZI16:AZK16" si="1159">AZI13-AZI15+20</f>
        <v>1742.9803785456825</v>
      </c>
      <c r="AZJ16" s="717">
        <f t="shared" si="1159"/>
        <v>2352.3403785456821</v>
      </c>
      <c r="AZK16" s="717">
        <f t="shared" si="1159"/>
        <v>653.8103785456824</v>
      </c>
      <c r="AZL16" s="717">
        <f t="shared" ref="AZL16:AZM16" si="1160">AZL13-AZL15+20</f>
        <v>2248.3383785456817</v>
      </c>
      <c r="AZM16" s="717">
        <f t="shared" si="1160"/>
        <v>1385.4563785456821</v>
      </c>
      <c r="AZN16" s="717">
        <f t="shared" ref="AZN16:AZO16" si="1161">AZN13-AZN15+20</f>
        <v>2215.428378545681</v>
      </c>
      <c r="AZO16" s="717">
        <f t="shared" si="1161"/>
        <v>3022.50837854568</v>
      </c>
      <c r="AZP16" s="717">
        <f t="shared" ref="AZP16:AZR16" si="1162">AZP13-AZP15+20</f>
        <v>3244.6323785456798</v>
      </c>
      <c r="AZQ16" s="717">
        <f t="shared" si="1162"/>
        <v>3082.8023785456808</v>
      </c>
      <c r="AZR16" s="717">
        <f t="shared" si="1162"/>
        <v>3913.9963785456812</v>
      </c>
      <c r="AZS16" s="717">
        <f t="shared" ref="AZS16:AZT16" si="1163">AZS13-AZS15+20</f>
        <v>2897.8803785456812</v>
      </c>
      <c r="AZT16" s="717">
        <f t="shared" si="1163"/>
        <v>3283.8283785456788</v>
      </c>
      <c r="AZU16" s="717">
        <f t="shared" ref="AZU16:AZV16" si="1164">AZU13-AZU15+20</f>
        <v>1925.8003785456795</v>
      </c>
      <c r="AZV16" s="717">
        <f t="shared" si="1164"/>
        <v>4491.9703785456786</v>
      </c>
      <c r="AZW16" s="717">
        <f t="shared" ref="AZW16:AZY16" si="1165">AZW13-AZW15+20</f>
        <v>2839.7903785456783</v>
      </c>
      <c r="AZX16" s="717">
        <f t="shared" si="1165"/>
        <v>3750.3403785456785</v>
      </c>
      <c r="AZY16" s="717">
        <f t="shared" si="1165"/>
        <v>2769.6663785456758</v>
      </c>
      <c r="AZZ16" s="717">
        <f t="shared" ref="AZZ16:BAA16" si="1166">AZZ13-AZZ15+20</f>
        <v>2750.1163785456756</v>
      </c>
      <c r="BAA16" s="717">
        <f t="shared" si="1166"/>
        <v>1914.9463785456765</v>
      </c>
      <c r="BAB16" s="717">
        <f t="shared" ref="BAB16:BAD16" si="1167">BAB13-BAB15+20</f>
        <v>3579.7163785456769</v>
      </c>
      <c r="BAC16" s="717">
        <f t="shared" si="1167"/>
        <v>4543.498378545677</v>
      </c>
      <c r="BAD16" s="717">
        <f t="shared" si="1167"/>
        <v>4419.8983785456767</v>
      </c>
      <c r="BAE16" s="717">
        <f t="shared" ref="BAE16:BAF16" si="1168">BAE13-BAE15+20</f>
        <v>3295.4883785456768</v>
      </c>
      <c r="BAF16" s="717">
        <f t="shared" si="1168"/>
        <v>5677.7103785456766</v>
      </c>
      <c r="BAG16" s="717">
        <f t="shared" ref="BAG16:BAH16" si="1169">BAG13-BAG15+20</f>
        <v>6481.765378545676</v>
      </c>
      <c r="BAH16" s="717">
        <f t="shared" si="1169"/>
        <v>4556.127378545676</v>
      </c>
      <c r="BAI16" s="717">
        <f t="shared" ref="BAI16:BAJ16" si="1170">BAI13-BAI15+20</f>
        <v>3520.8913785456762</v>
      </c>
      <c r="BAJ16" s="717">
        <f t="shared" si="1170"/>
        <v>2805.2613785456761</v>
      </c>
      <c r="BAK16" s="717">
        <f t="shared" ref="BAK16:BAM16" si="1171">BAK13-BAK15+20</f>
        <v>2433.7033785456761</v>
      </c>
      <c r="BAL16" s="717">
        <f t="shared" si="1171"/>
        <v>3030.5033785456753</v>
      </c>
      <c r="BAM16" s="717">
        <f t="shared" si="1171"/>
        <v>3110.2353785456753</v>
      </c>
      <c r="BAN16" s="717">
        <f t="shared" ref="BAN16:BAO16" si="1172">BAN13-BAN15+20</f>
        <v>3358.7693785456759</v>
      </c>
      <c r="BAO16" s="717">
        <f t="shared" si="1172"/>
        <v>1894.5633785456766</v>
      </c>
      <c r="BAP16" s="717">
        <f t="shared" ref="BAP16:BAQ16" si="1173">BAP13-BAP15+20</f>
        <v>2117.9733785456756</v>
      </c>
      <c r="BAQ16" s="717">
        <f t="shared" si="1173"/>
        <v>1241.4593785456764</v>
      </c>
      <c r="BAR16" s="717">
        <f t="shared" ref="BAR16:BAT16" si="1174">BAR13-BAR15+20</f>
        <v>1679.6733785456763</v>
      </c>
      <c r="BAS16" s="717">
        <f t="shared" si="1174"/>
        <v>3142.9413785456754</v>
      </c>
      <c r="BAT16" s="717">
        <f t="shared" si="1174"/>
        <v>3871.3953785456752</v>
      </c>
      <c r="BAU16" s="717">
        <f t="shared" ref="BAU16:BAV16" si="1175">BAU13-BAU15+20</f>
        <v>2221.3753785456747</v>
      </c>
      <c r="BAV16" s="717">
        <f t="shared" si="1175"/>
        <v>2246.6813785456743</v>
      </c>
      <c r="BAW16" s="717">
        <f t="shared" ref="BAW16:BAX16" si="1176">BAW13-BAW15+20</f>
        <v>1775.4213785456723</v>
      </c>
      <c r="BAX16" s="717">
        <f t="shared" si="1176"/>
        <v>1079.2113785456722</v>
      </c>
      <c r="BAY16" s="717">
        <f t="shared" ref="BAY16:BBA16" si="1177">BAY13-BAY15+20</f>
        <v>917.08537854567203</v>
      </c>
      <c r="BAZ16" s="717">
        <f t="shared" si="1177"/>
        <v>1964.5913785456719</v>
      </c>
      <c r="BBA16" s="717">
        <f t="shared" si="1177"/>
        <v>1633.5953785456713</v>
      </c>
      <c r="BBB16" s="717">
        <f t="shared" ref="BBB16:BBC16" si="1178">BBB13-BBB15+20</f>
        <v>3405.6993785456707</v>
      </c>
      <c r="BBC16" s="717">
        <f t="shared" si="1178"/>
        <v>3891.4553785456701</v>
      </c>
      <c r="BBD16" s="717">
        <f t="shared" ref="BBD16:BBE16" si="1179">BBD13-BBD15+20</f>
        <v>2647.1073785456711</v>
      </c>
      <c r="BBE16" s="717">
        <f t="shared" si="1179"/>
        <v>3069.7213785456706</v>
      </c>
      <c r="BBF16" s="717">
        <f t="shared" ref="BBF16:BBH16" si="1180">BBF13-BBF15+20</f>
        <v>5613.1513785456691</v>
      </c>
      <c r="BBG16" s="717">
        <f t="shared" si="1180"/>
        <v>2594.833378545668</v>
      </c>
      <c r="BBH16" s="717">
        <f t="shared" si="1180"/>
        <v>3464.5853785456675</v>
      </c>
      <c r="BBI16" s="717">
        <f t="shared" ref="BBI16:BBJ16" si="1181">BBI13-BBI15+20</f>
        <v>4372.5953785456677</v>
      </c>
      <c r="BBJ16" s="717">
        <f t="shared" si="1181"/>
        <v>3861.3243785456671</v>
      </c>
      <c r="BBK16" s="717">
        <f t="shared" ref="BBK16:BBL16" si="1182">BBK13-BBK15+20</f>
        <v>6265.6393785456676</v>
      </c>
      <c r="BBL16" s="717">
        <f t="shared" si="1182"/>
        <v>6800.0533785456664</v>
      </c>
      <c r="BBM16" s="717">
        <f t="shared" ref="BBM16:BBO16" si="1183">BBM13-BBM15+20</f>
        <v>6969.2033785456651</v>
      </c>
      <c r="BBN16" s="717">
        <f t="shared" si="1183"/>
        <v>6674.7133785456645</v>
      </c>
      <c r="BBO16" s="717">
        <f t="shared" si="1183"/>
        <v>4570.2833785456651</v>
      </c>
      <c r="BBP16" s="717">
        <f t="shared" ref="BBP16:BBQ16" si="1184">BBP13-BBP15+20</f>
        <v>6009.7033785456633</v>
      </c>
      <c r="BBQ16" s="717">
        <f t="shared" si="1184"/>
        <v>6898.389378545663</v>
      </c>
      <c r="BBR16" s="717">
        <f t="shared" ref="BBR16" si="1185">BBR13-BBR15+20</f>
        <v>9128.2893785456636</v>
      </c>
      <c r="BBS16" s="717">
        <f t="shared" ref="BBS16:BBV16" si="1186">BBS13-BBS15+20</f>
        <v>8093.8553785456643</v>
      </c>
      <c r="BBT16" s="717">
        <f t="shared" si="1186"/>
        <v>5539.3033785456646</v>
      </c>
      <c r="BBU16" s="717">
        <f t="shared" si="1186"/>
        <v>2696.6773785456644</v>
      </c>
      <c r="BBV16" s="717">
        <f t="shared" si="1186"/>
        <v>1143.3973785456637</v>
      </c>
      <c r="BBW16" s="717">
        <f t="shared" ref="BBW16:BBX16" si="1187">BBW13-BBW15+20</f>
        <v>3679.4073785456631</v>
      </c>
      <c r="BBX16" s="717">
        <f t="shared" si="1187"/>
        <v>3172.4353785456606</v>
      </c>
      <c r="BBY16" s="717">
        <f t="shared" ref="BBY16:BBZ16" si="1188">BBY13-BBY15+20</f>
        <v>1414.1353785456595</v>
      </c>
      <c r="BBZ16" s="717">
        <f t="shared" si="1188"/>
        <v>1164.9353785456588</v>
      </c>
      <c r="BCA16" s="717">
        <f t="shared" ref="BCA16:BCC16" si="1189">BCA13-BCA15+20</f>
        <v>2780.9593785456582</v>
      </c>
      <c r="BCB16" s="717">
        <f t="shared" si="1189"/>
        <v>3773.5753785456582</v>
      </c>
      <c r="BCC16" s="717">
        <f t="shared" si="1189"/>
        <v>3577.9083785456587</v>
      </c>
      <c r="BCD16" s="717">
        <f t="shared" ref="BCD16:BCE16" si="1190">BCD13-BCD15+20</f>
        <v>2923.6833785456583</v>
      </c>
      <c r="BCE16" s="717">
        <f t="shared" si="1190"/>
        <v>4121.6573785456567</v>
      </c>
      <c r="BCF16" s="717">
        <f t="shared" ref="BCF16:BCG16" si="1191">BCF13-BCF15+20</f>
        <v>3106.8173785456565</v>
      </c>
      <c r="BCG16" s="717">
        <f t="shared" si="1191"/>
        <v>4418.3753785456574</v>
      </c>
      <c r="BCH16" s="717">
        <f t="shared" ref="BCH16:BCJ16" si="1192">BCH13-BCH15+20</f>
        <v>3487.0953785456568</v>
      </c>
      <c r="BCI16" s="717">
        <f t="shared" si="1192"/>
        <v>5670.6353785456558</v>
      </c>
      <c r="BCJ16" s="717">
        <f t="shared" si="1192"/>
        <v>13146.285378545654</v>
      </c>
      <c r="BCK16" s="717">
        <f t="shared" ref="BCK16:BCL16" si="1193">BCK13-BCK15+20</f>
        <v>9753.5793785456553</v>
      </c>
      <c r="BCL16" s="717">
        <f t="shared" si="1193"/>
        <v>8376.8293785456553</v>
      </c>
      <c r="BCM16" s="717">
        <f t="shared" ref="BCM16:BCN16" si="1194">BCM13-BCM15+20</f>
        <v>7825.019378545654</v>
      </c>
      <c r="BCN16" s="717">
        <f t="shared" si="1194"/>
        <v>6313.2633785456546</v>
      </c>
      <c r="BCO16" s="717">
        <f t="shared" ref="BCO16" si="1195">BCO13-BCO15+20</f>
        <v>4639.8813785456532</v>
      </c>
      <c r="BCP16" s="717">
        <f t="shared" ref="BCP16" si="1196">BCP13-BCP15+20</f>
        <v>3739.8333785456525</v>
      </c>
      <c r="BCQ16" s="717">
        <f t="shared" ref="BCQ16" si="1197">BCQ13-BCQ15+20</f>
        <v>2177.3633785456523</v>
      </c>
      <c r="BCR16" s="717">
        <f t="shared" ref="BCR16" si="1198">BCR13-BCR15+20</f>
        <v>2435.2533785456526</v>
      </c>
      <c r="BCS16" s="717">
        <f>BCS13-BCS15+400</f>
        <v>1493.6533785456522</v>
      </c>
      <c r="BCT16" s="717">
        <f>BCT13-BCT15+3000</f>
        <v>5007.5590323460892</v>
      </c>
      <c r="BCU16" s="717">
        <f>BCU13-BCU15+3000</f>
        <v>5182.5590323460892</v>
      </c>
      <c r="BCV16" s="717">
        <f t="shared" ref="BCV16:BDB16" si="1199">BCV13-BCV15+2000</f>
        <v>3748.8890323460892</v>
      </c>
      <c r="BCW16" s="717">
        <f t="shared" si="1199"/>
        <v>4896.977032346088</v>
      </c>
      <c r="BCX16" s="717">
        <f t="shared" si="1199"/>
        <v>3453.7190323460873</v>
      </c>
      <c r="BCY16" s="717">
        <f t="shared" si="1199"/>
        <v>3780.8590323460858</v>
      </c>
      <c r="BCZ16" s="717">
        <f t="shared" si="1199"/>
        <v>4151.8990323460848</v>
      </c>
      <c r="BDA16" s="717">
        <f t="shared" si="1199"/>
        <v>2863.8790323460835</v>
      </c>
      <c r="BDB16" s="717">
        <f t="shared" si="1199"/>
        <v>2674.2310323460833</v>
      </c>
      <c r="BDC16" s="717">
        <f>BDC13-BDC15+1400</f>
        <v>3481.0710323460835</v>
      </c>
      <c r="BDD16" s="717">
        <f>BDD13-BDD15+100</f>
        <v>2277.1690323460825</v>
      </c>
      <c r="BDE16" s="717">
        <f>BDE13-BDE15+100</f>
        <v>1083.4670323460823</v>
      </c>
      <c r="BDF16" s="717">
        <f>BDF13-BDF15+100</f>
        <v>2001.2970323460822</v>
      </c>
      <c r="BDG16" s="717">
        <f>BDG13-BDG15+100</f>
        <v>1106.0970323460824</v>
      </c>
      <c r="BDH16" s="717">
        <f>BDH13-BDH15+100</f>
        <v>1976.0470323460822</v>
      </c>
      <c r="BDI16" s="717">
        <f>BDI13-BDI15+600</f>
        <v>1997.421032346082</v>
      </c>
      <c r="BDJ16" s="717">
        <f>BDJ13-BDJ15</f>
        <v>1856.5810323460819</v>
      </c>
      <c r="BDK16" s="717">
        <f>BDK13-BDK15</f>
        <v>1322.1510323460807</v>
      </c>
      <c r="BDL16" s="717">
        <f>BDL13-BDL15</f>
        <v>704.07903234608057</v>
      </c>
      <c r="BDM16" s="717">
        <f>BDM13-BDM15</f>
        <v>2197.7390323460795</v>
      </c>
      <c r="BDN16" s="717">
        <f t="shared" ref="BDN16:BDS16" si="1200">BDN13-BDN15+600</f>
        <v>1245.0890323460781</v>
      </c>
      <c r="BDO16" s="717">
        <f t="shared" si="1200"/>
        <v>1356.2090323460779</v>
      </c>
      <c r="BDP16" s="717">
        <f t="shared" si="1200"/>
        <v>1778.3690323460769</v>
      </c>
      <c r="BDQ16" s="717">
        <f t="shared" si="1200"/>
        <v>1458.8430323460761</v>
      </c>
      <c r="BDR16" s="717">
        <f t="shared" si="1200"/>
        <v>1330.4230323460752</v>
      </c>
      <c r="BDS16" s="717">
        <f t="shared" si="1200"/>
        <v>1428.4430323460756</v>
      </c>
      <c r="BDT16" s="717">
        <f>BDT13-BDT15+500</f>
        <v>1375.1930323460761</v>
      </c>
      <c r="BDU16" s="717">
        <f>BDU13-BDU15+600</f>
        <v>977.31303234607549</v>
      </c>
      <c r="BDV16" s="717">
        <f>BDV13-BDV15+600</f>
        <v>1240.351032346075</v>
      </c>
      <c r="BDW16" s="717">
        <f t="shared" ref="BDW16:BEB16" si="1201">BDW13-BDW15+200</f>
        <v>867.03303234607574</v>
      </c>
      <c r="BDX16" s="717">
        <f t="shared" si="1201"/>
        <v>844.46303234607512</v>
      </c>
      <c r="BDY16" s="717">
        <f t="shared" si="1201"/>
        <v>960.49303234607487</v>
      </c>
      <c r="BDZ16" s="717">
        <f t="shared" si="1201"/>
        <v>559.74703234607387</v>
      </c>
      <c r="BEA16" s="717">
        <f t="shared" si="1201"/>
        <v>549.08103234607279</v>
      </c>
      <c r="BEB16" s="717">
        <f t="shared" si="1201"/>
        <v>506.2150323460728</v>
      </c>
      <c r="BEC16" s="717">
        <f t="shared" ref="BEC16" si="1202">BEC13-BEC15+200</f>
        <v>594.82503234607248</v>
      </c>
      <c r="BED16" s="717">
        <f t="shared" ref="BED16" si="1203">BED13-BED15+200</f>
        <v>878.91103234607181</v>
      </c>
      <c r="BEE16" s="717">
        <f t="shared" ref="BEE16" si="1204">BEE13-BEE15+200</f>
        <v>1094.729032346072</v>
      </c>
      <c r="BEF16" s="717">
        <f t="shared" ref="BEF16" si="1205">BEF13-BEF15+200</f>
        <v>2040.5550323460711</v>
      </c>
      <c r="BEG16" s="717">
        <f t="shared" ref="BEG16" si="1206">BEG13-BEG15+200</f>
        <v>3218.733032346071</v>
      </c>
      <c r="BEH16" s="717">
        <f t="shared" ref="BEH16" si="1207">BEH13-BEH15+200</f>
        <v>3203.3790323460698</v>
      </c>
      <c r="BEI16" s="717">
        <f t="shared" ref="BEI16:BEK16" si="1208">BEI13-BEI15</f>
        <v>3078.1010323460705</v>
      </c>
      <c r="BEJ16" s="717">
        <f t="shared" si="1208"/>
        <v>1946.7610323460704</v>
      </c>
      <c r="BEK16" s="717">
        <f t="shared" si="1208"/>
        <v>442.5410323460701</v>
      </c>
      <c r="BEL16" s="717">
        <f>BEL13-BEL15+1300</f>
        <v>381.36103234606981</v>
      </c>
      <c r="BEM16" s="717">
        <f>BEM13-BEM15+1000</f>
        <v>484.60903234606849</v>
      </c>
      <c r="BEN16" s="717">
        <f>BEN13-BEN15+200</f>
        <v>807.91903234606707</v>
      </c>
      <c r="BEO16" s="717">
        <f>BEO13-BEO15+50</f>
        <v>1012.8890323460673</v>
      </c>
      <c r="BEP16" s="717">
        <f>BEP13-BEP15-600</f>
        <v>1030.4290323460664</v>
      </c>
      <c r="BEQ16" s="717">
        <f>BEQ13-BEQ15</f>
        <v>815.6890323460666</v>
      </c>
      <c r="BER16" s="717">
        <f>BER13-BER15-400</f>
        <v>924.61903234606507</v>
      </c>
      <c r="BES16" s="717">
        <f>BES13-BES15+2000</f>
        <v>1628.7730323460646</v>
      </c>
      <c r="BET16" s="717">
        <f>BET13-BET15+2000</f>
        <v>2377.5030323460633</v>
      </c>
      <c r="BEU16" s="717">
        <f>BEU13-BEU15+2000</f>
        <v>2877.8130323460618</v>
      </c>
      <c r="BEV16" s="717">
        <f t="shared" ref="BEV16:BFC16" si="1209">BEV13-BEV15+1000</f>
        <v>1417.5490323460617</v>
      </c>
      <c r="BEW16" s="717">
        <f t="shared" si="1209"/>
        <v>1741.7930323460605</v>
      </c>
      <c r="BEX16" s="717">
        <f t="shared" si="1209"/>
        <v>1385.8000323460601</v>
      </c>
      <c r="BEY16" s="717">
        <f t="shared" si="1209"/>
        <v>2096.7160323460612</v>
      </c>
      <c r="BEZ16" s="717">
        <f t="shared" si="1209"/>
        <v>2627.74603234606</v>
      </c>
      <c r="BFA16" s="717">
        <f t="shared" si="1209"/>
        <v>598.69403234606034</v>
      </c>
      <c r="BFB16" s="717">
        <f t="shared" si="1209"/>
        <v>2075.4120323460602</v>
      </c>
      <c r="BFC16" s="717">
        <f t="shared" si="1209"/>
        <v>2521.2880323460613</v>
      </c>
      <c r="BFD16" s="717">
        <f t="shared" ref="BFD16" si="1210">BFD13-BFD15+1000</f>
        <v>1459.5590323460892</v>
      </c>
      <c r="BFE16" s="717">
        <f t="shared" ref="BFE16" si="1211">BFE13-BFE15+1000</f>
        <v>2528.5590323460892</v>
      </c>
      <c r="BFF16" s="717">
        <f t="shared" ref="BFF16" si="1212">BFF13-BFF15+1000</f>
        <v>2174.5590323460892</v>
      </c>
      <c r="BFG16" s="717">
        <f t="shared" ref="BFG16" si="1213">BFG13-BFG15+1000</f>
        <v>2017.5590323460892</v>
      </c>
      <c r="BFH16" s="717">
        <f t="shared" ref="BFH16" si="1214">BFH13-BFH15+1000</f>
        <v>2022.5590323460892</v>
      </c>
      <c r="BFI16" s="717">
        <f t="shared" ref="BFI16" si="1215">BFI13-BFI15+1000</f>
        <v>1825.5590323460892</v>
      </c>
      <c r="BFJ16" s="717">
        <f t="shared" ref="BFJ16" si="1216">BFJ13-BFJ15+1000</f>
        <v>1987.5590323460892</v>
      </c>
      <c r="BFK16" s="717">
        <f>BFK13-BFK15+1000</f>
        <v>921.55903234608923</v>
      </c>
      <c r="BFL16" s="1153">
        <f>BFL13-BFL15+BFL22+1000</f>
        <v>463.55903234608923</v>
      </c>
      <c r="BFM16" s="1153">
        <f t="shared" ref="BFM16:BFR16" si="1217">BFM13-BFM15+BFM22</f>
        <v>674.55903234608923</v>
      </c>
      <c r="BFN16" s="1153">
        <f t="shared" si="1217"/>
        <v>407.55903234608923</v>
      </c>
      <c r="BFO16" s="1153">
        <f t="shared" si="1217"/>
        <v>111.55903234608923</v>
      </c>
      <c r="BFP16" s="1153">
        <f t="shared" si="1217"/>
        <v>647.55903234608923</v>
      </c>
      <c r="BFQ16" s="1153">
        <f t="shared" si="1217"/>
        <v>877.55903234608923</v>
      </c>
      <c r="BFR16" s="1153">
        <f t="shared" si="1217"/>
        <v>1307.2880323460613</v>
      </c>
      <c r="BFS16" s="1153">
        <f>BFS13-BFS15+BFS22+1500</f>
        <v>2980.7480323460604</v>
      </c>
      <c r="BFT16" s="1153">
        <f>BFT13-BFT15+BFT22+1200</f>
        <v>1987.3160323460888</v>
      </c>
      <c r="BFU16" s="1153">
        <f>BFU13-BFU15+BFU22+1000</f>
        <v>2081.3790323460898</v>
      </c>
      <c r="BFV16" s="1153">
        <f>BFV13-BFV15+BFV22+1000</f>
        <v>1088.9390323460893</v>
      </c>
      <c r="BFW16" s="1153">
        <f>BFW13-BFW15+BFW22+1000</f>
        <v>1302.1770323460887</v>
      </c>
      <c r="BFX16" s="1153">
        <f t="shared" ref="BFX16:BGD16" si="1218">BFX13-BFX15+BFX22+1200</f>
        <v>1227.9090323460887</v>
      </c>
      <c r="BFY16" s="1153">
        <f t="shared" si="1218"/>
        <v>2184.9440323460885</v>
      </c>
      <c r="BFZ16" s="1153">
        <f t="shared" si="1218"/>
        <v>2046.20103234609</v>
      </c>
      <c r="BGA16" s="1153">
        <f t="shared" si="1218"/>
        <v>1783.9040323460877</v>
      </c>
      <c r="BGB16" s="1153">
        <f t="shared" si="1218"/>
        <v>2977.6390323460882</v>
      </c>
      <c r="BGC16" s="1153">
        <f t="shared" si="1218"/>
        <v>3091.3890323460892</v>
      </c>
      <c r="BGD16" s="1153">
        <f t="shared" si="1218"/>
        <v>2116.0420323460894</v>
      </c>
      <c r="BGE16" s="1153">
        <f t="shared" ref="BGE16" si="1219">BGE13-BGE15+BGE22+1200</f>
        <v>2690.6290323460889</v>
      </c>
      <c r="BGF16" s="1153">
        <f t="shared" ref="BGF16" si="1220">BGF13-BGF15+BGF22+1200</f>
        <v>2984.2330323460892</v>
      </c>
      <c r="BGG16" s="1153">
        <f t="shared" ref="BGG16" si="1221">BGG13-BGG15+BGG22+1200</f>
        <v>2823.2270323460889</v>
      </c>
      <c r="BGH16" s="1153">
        <f t="shared" ref="BGH16" si="1222">BGH13-BGH15+BGH22+1200</f>
        <v>3669.5710323460607</v>
      </c>
      <c r="BGI16" s="1153">
        <f>BGI13-BGI15+BGI22</f>
        <v>3919.3260323460599</v>
      </c>
      <c r="BGJ16" s="1153">
        <f>BGJ13-BGJ15+BGJ22</f>
        <v>4123.1300323460873</v>
      </c>
      <c r="BGK16" s="1153">
        <f>BGK13-BGK15+BGK22</f>
        <v>5441.4840323460885</v>
      </c>
      <c r="BGL16" s="1153">
        <f t="shared" ref="BGL16" si="1223">BGL13-BGL15+BGL22</f>
        <v>3614.8250323460888</v>
      </c>
      <c r="BGM16" s="1153" t="e">
        <f t="shared" ref="BGM16:BHU16" si="1224">BGM13-BGM15+BGM22</f>
        <v>#REF!</v>
      </c>
      <c r="BGN16" s="1153" t="e">
        <f t="shared" si="1224"/>
        <v>#REF!</v>
      </c>
      <c r="BGO16" s="1153" t="e">
        <f t="shared" si="1224"/>
        <v>#REF!</v>
      </c>
      <c r="BGP16" s="1153" t="e">
        <f t="shared" si="1224"/>
        <v>#REF!</v>
      </c>
      <c r="BGQ16" s="1153" t="e">
        <f t="shared" si="1224"/>
        <v>#REF!</v>
      </c>
      <c r="BGR16" s="1153" t="e">
        <f t="shared" si="1224"/>
        <v>#REF!</v>
      </c>
      <c r="BGS16" s="1153" t="e">
        <f t="shared" si="1224"/>
        <v>#REF!</v>
      </c>
      <c r="BGT16" s="1153" t="e">
        <f t="shared" si="1224"/>
        <v>#REF!</v>
      </c>
      <c r="BGU16" s="1153" t="e">
        <f t="shared" si="1224"/>
        <v>#REF!</v>
      </c>
      <c r="BGV16" s="1153" t="e">
        <f t="shared" si="1224"/>
        <v>#REF!</v>
      </c>
      <c r="BGW16" s="1153" t="e">
        <f t="shared" si="1224"/>
        <v>#REF!</v>
      </c>
      <c r="BGX16" s="1153" t="e">
        <f t="shared" si="1224"/>
        <v>#REF!</v>
      </c>
      <c r="BGY16" s="1153" t="e">
        <f t="shared" si="1224"/>
        <v>#REF!</v>
      </c>
      <c r="BGZ16" s="1153" t="e">
        <f t="shared" si="1224"/>
        <v>#REF!</v>
      </c>
      <c r="BHA16" s="1153" t="e">
        <f t="shared" si="1224"/>
        <v>#REF!</v>
      </c>
      <c r="BHB16" s="1153" t="e">
        <f t="shared" si="1224"/>
        <v>#REF!</v>
      </c>
      <c r="BHC16" s="1153" t="e">
        <f t="shared" si="1224"/>
        <v>#REF!</v>
      </c>
      <c r="BHD16" s="1153" t="e">
        <f t="shared" si="1224"/>
        <v>#REF!</v>
      </c>
      <c r="BHE16" s="1153" t="e">
        <f t="shared" si="1224"/>
        <v>#REF!</v>
      </c>
      <c r="BHF16" s="1153" t="e">
        <f t="shared" si="1224"/>
        <v>#REF!</v>
      </c>
      <c r="BHG16" s="1153" t="e">
        <f t="shared" si="1224"/>
        <v>#REF!</v>
      </c>
      <c r="BHH16" s="1153" t="e">
        <f t="shared" si="1224"/>
        <v>#REF!</v>
      </c>
      <c r="BHI16" s="1153" t="e">
        <f t="shared" si="1224"/>
        <v>#REF!</v>
      </c>
      <c r="BHJ16" s="1153" t="e">
        <f t="shared" si="1224"/>
        <v>#REF!</v>
      </c>
      <c r="BHK16" s="1153" t="e">
        <f t="shared" si="1224"/>
        <v>#REF!</v>
      </c>
      <c r="BHL16" s="1153" t="e">
        <f t="shared" si="1224"/>
        <v>#REF!</v>
      </c>
      <c r="BHM16" s="1153" t="e">
        <f t="shared" si="1224"/>
        <v>#REF!</v>
      </c>
      <c r="BHN16" s="1153" t="e">
        <f t="shared" si="1224"/>
        <v>#REF!</v>
      </c>
      <c r="BHO16" s="1153" t="e">
        <f t="shared" si="1224"/>
        <v>#REF!</v>
      </c>
      <c r="BHP16" s="1153" t="e">
        <f t="shared" si="1224"/>
        <v>#REF!</v>
      </c>
      <c r="BHQ16" s="1153" t="e">
        <f t="shared" si="1224"/>
        <v>#REF!</v>
      </c>
      <c r="BHR16" s="1153" t="e">
        <f t="shared" si="1224"/>
        <v>#REF!</v>
      </c>
      <c r="BHS16" s="1153" t="e">
        <f t="shared" si="1224"/>
        <v>#REF!</v>
      </c>
      <c r="BHT16" s="1153" t="e">
        <f t="shared" si="1224"/>
        <v>#REF!</v>
      </c>
      <c r="BHU16" s="1153" t="e">
        <f t="shared" si="1224"/>
        <v>#REF!</v>
      </c>
    </row>
    <row r="17" spans="1:1581" ht="21" customHeight="1" x14ac:dyDescent="0.2">
      <c r="A17" s="1"/>
      <c r="B17" s="1"/>
      <c r="C17" s="1"/>
      <c r="D17" s="1"/>
      <c r="E17" s="1132"/>
      <c r="F17" s="1132"/>
      <c r="G17" s="1132"/>
      <c r="H17" s="1127"/>
      <c r="I17" s="1127"/>
      <c r="J17" s="1127"/>
      <c r="K17" s="1127"/>
      <c r="L17" s="1127"/>
      <c r="M17" s="1127"/>
      <c r="N17" s="1127"/>
      <c r="O17" s="1127"/>
      <c r="P17" s="1127"/>
      <c r="Q17" s="1127"/>
      <c r="R17" s="1127"/>
      <c r="S17" s="1127"/>
      <c r="T17" s="1127"/>
      <c r="U17" s="1127"/>
      <c r="V17" s="1127"/>
      <c r="W17" s="1127"/>
      <c r="X17" s="1127"/>
      <c r="Y17" s="1127"/>
      <c r="Z17" s="1127"/>
      <c r="AA17" s="1127"/>
      <c r="AB17" s="1127"/>
      <c r="AC17" s="1127"/>
      <c r="AD17" s="1127"/>
      <c r="AE17" s="1127"/>
      <c r="AF17" s="1127"/>
      <c r="AG17" s="1127"/>
      <c r="AH17" s="1127"/>
      <c r="AI17" s="1127"/>
      <c r="AJ17" s="1127"/>
      <c r="AK17" s="1127"/>
      <c r="AL17" s="1127"/>
      <c r="AM17" s="1127"/>
      <c r="AN17" s="1127"/>
      <c r="AO17" s="1127"/>
      <c r="AP17" s="1127"/>
      <c r="AQ17" s="1127"/>
      <c r="AR17" s="1127"/>
      <c r="AS17" s="1127"/>
      <c r="AT17" s="1127"/>
      <c r="AU17" s="1127"/>
      <c r="AV17" s="1127"/>
      <c r="AW17" s="1127"/>
      <c r="AX17" s="1127"/>
      <c r="AY17" s="1127"/>
      <c r="AZ17" s="1127"/>
      <c r="BA17" s="1127"/>
      <c r="BB17" s="1127"/>
      <c r="BC17" s="1127"/>
      <c r="BD17" s="1127"/>
      <c r="BE17" s="1127"/>
      <c r="BF17" s="1127"/>
      <c r="BG17" s="1127"/>
      <c r="BH17" s="1127"/>
      <c r="BI17" s="1127"/>
      <c r="BJ17" s="1127"/>
      <c r="BK17" s="1127"/>
      <c r="BL17" s="1127"/>
      <c r="BM17" s="1127"/>
      <c r="BN17" s="1127"/>
      <c r="BO17" s="1127"/>
      <c r="BP17" s="1127"/>
      <c r="BQ17" s="1127"/>
      <c r="BR17" s="1127"/>
      <c r="BS17" s="1127"/>
      <c r="BT17" s="1127"/>
      <c r="BU17" s="1127"/>
      <c r="BV17" s="1127"/>
      <c r="BW17" s="1127"/>
      <c r="BX17" s="1127"/>
      <c r="BY17" s="1127"/>
      <c r="BZ17" s="1127"/>
      <c r="CA17" s="1127"/>
      <c r="CB17" s="1127"/>
      <c r="CC17" s="1127"/>
      <c r="CD17" s="1127"/>
      <c r="CE17" s="1127"/>
      <c r="CF17" s="1127"/>
      <c r="CG17" s="1127"/>
      <c r="CH17" s="1127"/>
      <c r="CI17" s="1127"/>
      <c r="CJ17" s="1127"/>
      <c r="CK17" s="1127"/>
      <c r="CL17" s="1127"/>
      <c r="CM17" s="1127"/>
      <c r="CN17" s="1127"/>
      <c r="CO17" s="1127"/>
      <c r="CP17" s="1127"/>
      <c r="CQ17" s="1127"/>
      <c r="CR17" s="1127"/>
      <c r="CS17" s="1127"/>
      <c r="CT17" s="1127"/>
      <c r="CU17" s="1127"/>
      <c r="CV17" s="1127"/>
      <c r="CW17" s="1127"/>
      <c r="CX17" s="1127"/>
      <c r="CY17" s="1127"/>
      <c r="CZ17" s="1127"/>
      <c r="DA17" s="1127"/>
      <c r="DB17" s="1127"/>
      <c r="DC17" s="1127"/>
      <c r="DD17" s="1127"/>
      <c r="DE17" s="1127"/>
      <c r="DF17" s="1127"/>
      <c r="DG17" s="1127"/>
      <c r="DH17" s="1127"/>
      <c r="DI17" s="1127"/>
      <c r="DJ17" s="1127"/>
      <c r="DK17" s="1127"/>
      <c r="DL17" s="1127"/>
      <c r="DM17" s="1127"/>
      <c r="DN17" s="1127"/>
      <c r="DO17" s="1127"/>
      <c r="DP17" s="1127"/>
      <c r="DQ17" s="1127"/>
      <c r="DR17" s="1127"/>
      <c r="DS17" s="1127"/>
      <c r="DT17" s="1127"/>
      <c r="DU17" s="1127"/>
      <c r="DV17" s="1127"/>
      <c r="DW17" s="1127"/>
      <c r="DX17" s="1127"/>
      <c r="DY17" s="1122"/>
      <c r="DZ17" s="1122"/>
      <c r="EA17" s="1122"/>
      <c r="EB17" s="1122"/>
      <c r="EC17" s="1122"/>
      <c r="ED17" s="1122"/>
      <c r="EE17" s="1122"/>
      <c r="EF17" s="1122"/>
      <c r="EG17" s="1122"/>
      <c r="EH17" s="1122"/>
      <c r="EI17" s="1122"/>
      <c r="EJ17" s="1122"/>
      <c r="EK17" s="1122"/>
      <c r="EL17" s="1122"/>
      <c r="EM17" s="1122"/>
      <c r="EN17" s="1122"/>
      <c r="EO17" s="1122"/>
      <c r="EP17" s="1122"/>
      <c r="EQ17" s="1122"/>
      <c r="ER17" s="1122"/>
      <c r="ES17" s="1122"/>
      <c r="ET17" s="1122"/>
      <c r="EU17" s="1122"/>
      <c r="EV17" s="1122"/>
      <c r="EW17" s="1122"/>
      <c r="EX17" s="1122"/>
      <c r="EY17" s="1122"/>
      <c r="EZ17" s="1122"/>
      <c r="FA17" s="1122"/>
      <c r="FB17" s="1122"/>
      <c r="FC17" s="1122"/>
      <c r="FD17" s="1122"/>
      <c r="FE17" s="1122"/>
      <c r="FF17" s="1122"/>
      <c r="FG17" s="1122"/>
      <c r="FH17" s="1122"/>
      <c r="FI17" s="1122"/>
      <c r="FJ17" s="1122"/>
      <c r="FK17" s="1122"/>
      <c r="FL17" s="1122"/>
      <c r="FM17" s="1122"/>
      <c r="FN17" s="1122"/>
      <c r="FO17" s="1122"/>
      <c r="FP17" s="1122"/>
      <c r="FQ17" s="1122"/>
      <c r="FR17" s="1122"/>
      <c r="FS17" s="1122"/>
      <c r="FT17" s="1122"/>
      <c r="FU17" s="1122"/>
      <c r="FV17" s="1122"/>
      <c r="FW17" s="1122"/>
      <c r="FX17" s="1122"/>
      <c r="FY17" s="1122"/>
      <c r="FZ17" s="1122"/>
      <c r="GA17" s="1122"/>
      <c r="GB17" s="1122"/>
      <c r="GC17" s="1122"/>
      <c r="GD17" s="1122"/>
      <c r="GE17" s="1122"/>
      <c r="GF17" s="1122"/>
      <c r="GG17" s="1122"/>
      <c r="GH17" s="1122"/>
      <c r="GI17" s="1122"/>
      <c r="GJ17" s="1122"/>
      <c r="GK17" s="1122"/>
      <c r="GL17" s="1122"/>
      <c r="GM17" s="1122"/>
      <c r="GN17" s="1122"/>
      <c r="GO17" s="1122"/>
      <c r="GP17" s="1122"/>
      <c r="GQ17" s="1122"/>
      <c r="GR17" s="1122"/>
      <c r="GS17" s="1122"/>
      <c r="GT17" s="1122"/>
      <c r="GU17" s="1122"/>
      <c r="GV17" s="1122"/>
      <c r="GW17" s="1122"/>
      <c r="GX17" s="1122"/>
      <c r="GY17" s="1122"/>
      <c r="GZ17" s="1122"/>
      <c r="HA17" s="1122"/>
      <c r="HB17" s="1122"/>
      <c r="HC17" s="1122"/>
      <c r="HD17" s="1122"/>
      <c r="HE17" s="1122"/>
      <c r="HF17" s="1122"/>
      <c r="HG17" s="1122"/>
      <c r="HH17" s="1122"/>
      <c r="HI17" s="1122"/>
      <c r="HJ17" s="1122"/>
      <c r="HK17" s="1122"/>
      <c r="HL17" s="1122"/>
      <c r="HM17" s="1095"/>
      <c r="HN17" s="1095"/>
      <c r="HO17" s="1095"/>
      <c r="HP17" s="1095"/>
      <c r="HQ17" s="1095"/>
      <c r="HR17" s="1095"/>
      <c r="HS17" s="1095"/>
      <c r="HT17" s="1095"/>
      <c r="HU17" s="1095"/>
      <c r="HV17" s="1095"/>
      <c r="HW17" s="1095"/>
      <c r="HX17" s="1095"/>
      <c r="HY17" s="1095"/>
      <c r="HZ17" s="1095"/>
      <c r="IA17" s="1095"/>
      <c r="IB17" s="1095"/>
      <c r="IC17" s="1095"/>
      <c r="ID17" s="1095"/>
      <c r="IE17" s="1095"/>
      <c r="IF17" s="1095"/>
      <c r="IG17" s="1095"/>
      <c r="IH17" s="1095"/>
      <c r="II17" s="1095"/>
      <c r="IJ17" s="1095"/>
      <c r="IK17" s="1095"/>
      <c r="IL17" s="1095"/>
      <c r="IM17" s="1095"/>
      <c r="IN17" s="1095"/>
      <c r="IO17" s="1095"/>
      <c r="IP17" s="1095"/>
      <c r="IQ17" s="1095"/>
      <c r="IR17" s="1095"/>
      <c r="IS17" s="1095"/>
      <c r="IT17" s="1095"/>
      <c r="IU17" s="1095"/>
      <c r="IV17" s="1095"/>
      <c r="IW17" s="1095"/>
      <c r="IX17" s="1095"/>
      <c r="IY17" s="1095"/>
      <c r="IZ17" s="1095"/>
      <c r="JA17" s="1095"/>
      <c r="JB17" s="1095"/>
      <c r="JC17" s="1095"/>
      <c r="JD17" s="1095"/>
      <c r="JE17" s="1095"/>
      <c r="JF17" s="1095"/>
      <c r="JG17" s="1095"/>
      <c r="JH17" s="1095"/>
      <c r="JI17" s="1095"/>
      <c r="JJ17" s="1095"/>
      <c r="JK17" s="1095"/>
      <c r="JL17" s="1095"/>
      <c r="JM17" s="1095"/>
      <c r="JN17" s="1095"/>
      <c r="JO17" s="1095"/>
      <c r="JP17" s="1095"/>
      <c r="JQ17" s="1095"/>
      <c r="JR17" s="1095"/>
      <c r="JS17" s="1095"/>
      <c r="JT17" s="1095"/>
      <c r="JU17" s="1095"/>
      <c r="JV17" s="1095"/>
      <c r="JW17" s="1095"/>
      <c r="JX17" s="1095"/>
      <c r="JY17" s="1095"/>
      <c r="JZ17" s="1095"/>
      <c r="KA17" s="1095"/>
      <c r="KB17" s="1095"/>
      <c r="KC17" s="1095"/>
      <c r="KD17" s="1095"/>
      <c r="KE17" s="1095"/>
      <c r="KF17" s="1095"/>
      <c r="KG17" s="1095"/>
      <c r="KH17" s="1095"/>
      <c r="KI17" s="1095"/>
      <c r="KJ17" s="1095"/>
      <c r="KK17" s="1095"/>
      <c r="KL17" s="1095"/>
      <c r="KM17" s="1095"/>
      <c r="KN17" s="1095"/>
      <c r="KO17" s="1095"/>
      <c r="KP17" s="1095"/>
      <c r="KQ17" s="1095"/>
      <c r="KR17" s="1095"/>
      <c r="KS17" s="1095"/>
      <c r="KT17" s="1095"/>
      <c r="KU17" s="1095"/>
      <c r="KV17" s="1095"/>
      <c r="KW17" s="1095"/>
      <c r="KX17" s="1095"/>
      <c r="KY17" s="1095"/>
      <c r="KZ17" s="1095"/>
      <c r="LA17" s="1095"/>
      <c r="LB17" s="1095"/>
      <c r="LC17" s="1095"/>
      <c r="LD17" s="1095"/>
      <c r="LE17" s="1095"/>
      <c r="LF17" s="1095"/>
      <c r="LG17" s="1095"/>
      <c r="LH17" s="1095"/>
      <c r="LI17" s="1095"/>
      <c r="LJ17" s="1095"/>
      <c r="LK17" s="1095"/>
      <c r="LL17" s="1095"/>
      <c r="LM17" s="1095"/>
      <c r="LN17" s="1095"/>
      <c r="LO17" s="1095"/>
      <c r="LP17" s="1095"/>
      <c r="LQ17" s="1095"/>
      <c r="LR17" s="1095"/>
      <c r="LS17" s="1095"/>
      <c r="LT17" s="1095"/>
      <c r="LU17" s="1095"/>
      <c r="LV17" s="1095"/>
      <c r="LW17" s="1095"/>
      <c r="LX17" s="1095"/>
      <c r="LY17" s="1095"/>
      <c r="LZ17" s="1095"/>
      <c r="MA17" s="1095"/>
      <c r="MB17" s="1095"/>
      <c r="MC17" s="1095"/>
      <c r="MD17" s="1095"/>
      <c r="ME17" s="1095"/>
      <c r="MF17" s="1095"/>
      <c r="MG17" s="1095"/>
      <c r="MH17" s="1095"/>
      <c r="MI17" s="1095"/>
      <c r="MJ17" s="1095"/>
      <c r="MK17" s="1095"/>
      <c r="ML17" s="1095"/>
      <c r="MM17" s="1095"/>
      <c r="MN17" s="1095"/>
      <c r="MO17" s="1095"/>
      <c r="MP17" s="1095"/>
      <c r="MQ17" s="1095"/>
      <c r="MR17" s="1095"/>
      <c r="MS17" s="1095"/>
      <c r="MT17" s="1095"/>
      <c r="MU17" s="1095"/>
      <c r="MV17" s="1095"/>
      <c r="MW17" s="1095"/>
      <c r="MX17" s="1095"/>
      <c r="MY17" s="1095"/>
      <c r="MZ17" s="1095"/>
      <c r="NA17" s="1095"/>
      <c r="NB17" s="1095"/>
      <c r="NC17" s="1095"/>
      <c r="ND17" s="1095"/>
      <c r="NE17" s="1095"/>
      <c r="NF17" s="1095"/>
      <c r="NG17" s="1095"/>
      <c r="NH17" s="1095"/>
      <c r="NI17" s="1095"/>
      <c r="NJ17" s="1095"/>
      <c r="NK17" s="1095"/>
      <c r="NL17" s="1095"/>
      <c r="NM17" s="1095"/>
      <c r="NN17" s="1095"/>
      <c r="NO17" s="1095"/>
      <c r="NP17" s="1095"/>
      <c r="NQ17" s="1095"/>
      <c r="NR17" s="1095"/>
      <c r="NS17" s="1095"/>
      <c r="NT17" s="1095"/>
      <c r="NU17" s="1095"/>
      <c r="NV17" s="1095"/>
      <c r="NW17" s="1095"/>
      <c r="NX17" s="1095"/>
      <c r="NY17" s="1095"/>
      <c r="NZ17" s="1095"/>
      <c r="OA17" s="1095"/>
      <c r="OB17" s="1095"/>
      <c r="OC17" s="1095"/>
      <c r="OD17" s="1095"/>
      <c r="OE17" s="1095"/>
      <c r="OF17" s="1095"/>
      <c r="OG17" s="1095"/>
      <c r="OH17" s="1095"/>
      <c r="OI17" s="1095"/>
      <c r="OJ17" s="1095"/>
      <c r="OK17" s="1095"/>
      <c r="OL17" s="1095"/>
      <c r="OM17" s="1095"/>
      <c r="ON17" s="1095"/>
      <c r="OO17" s="1095"/>
      <c r="OP17" s="1095"/>
      <c r="OQ17" s="1095"/>
      <c r="OR17" s="1095"/>
      <c r="OS17" s="1095"/>
      <c r="OT17" s="1095"/>
      <c r="OU17" s="1095"/>
      <c r="OV17" s="1095"/>
      <c r="OW17" s="1095"/>
      <c r="OX17" s="1095"/>
      <c r="OY17" s="1095"/>
      <c r="OZ17" s="1095"/>
      <c r="PA17" s="1095"/>
      <c r="PB17" s="1095"/>
      <c r="PC17" s="1095"/>
      <c r="PD17" s="1095"/>
      <c r="PE17" s="1095"/>
      <c r="PF17" s="1095"/>
      <c r="PG17" s="1095"/>
      <c r="PH17" s="1095"/>
      <c r="PI17" s="1095"/>
      <c r="PJ17" s="1095"/>
      <c r="PK17" s="1095"/>
      <c r="PL17" s="1095"/>
      <c r="PM17" s="1095"/>
      <c r="PN17" s="1095"/>
      <c r="PO17" s="1095"/>
      <c r="PP17" s="1095"/>
      <c r="PQ17" s="1095"/>
      <c r="PR17" s="1095"/>
      <c r="PS17" s="1095"/>
      <c r="PT17" s="1095"/>
      <c r="PU17" s="1095"/>
      <c r="PV17" s="1095"/>
      <c r="PW17" s="1095"/>
      <c r="PX17" s="1095"/>
      <c r="PY17" s="1095"/>
      <c r="PZ17" s="1095"/>
      <c r="QA17" s="1095"/>
      <c r="QB17" s="1095"/>
      <c r="QC17" s="1095"/>
      <c r="QD17" s="1095"/>
      <c r="QE17" s="1095"/>
      <c r="QF17" s="1095"/>
      <c r="QG17" s="1095"/>
      <c r="QH17" s="1095"/>
      <c r="QI17" s="1095"/>
      <c r="QJ17" s="1095"/>
      <c r="QK17" s="1095"/>
      <c r="QL17" s="1095"/>
      <c r="QM17" s="1095"/>
      <c r="QN17" s="1095"/>
      <c r="QO17" s="1095"/>
      <c r="QP17" s="1095"/>
      <c r="QQ17" s="1095"/>
      <c r="QR17" s="1095"/>
      <c r="QS17" s="1095"/>
      <c r="QT17" s="1095"/>
      <c r="QU17" s="1095"/>
      <c r="QV17" s="1095"/>
      <c r="QW17" s="1095"/>
      <c r="QX17" s="1095"/>
      <c r="QY17" s="1095"/>
      <c r="QZ17" s="1095"/>
      <c r="RA17" s="1095"/>
      <c r="RB17" s="1095"/>
      <c r="RC17" s="1095"/>
      <c r="RD17" s="1095"/>
      <c r="RE17" s="1095"/>
      <c r="RF17" s="1095"/>
      <c r="RG17" s="1095"/>
      <c r="RH17" s="1095"/>
      <c r="RI17" s="1095"/>
      <c r="RJ17" s="1095"/>
      <c r="RK17" s="1095"/>
      <c r="RL17" s="1095"/>
      <c r="RM17" s="1095"/>
      <c r="RN17" s="1095"/>
      <c r="RO17" s="1095"/>
      <c r="RP17" s="1095"/>
      <c r="RQ17" s="1095"/>
      <c r="RR17" s="1095"/>
      <c r="RS17" s="1095"/>
      <c r="RT17" s="1095"/>
      <c r="RU17" s="1095"/>
      <c r="RV17" s="1095"/>
      <c r="RW17" s="1095"/>
      <c r="RX17" s="1095"/>
      <c r="RY17" s="1095"/>
      <c r="RZ17" s="1095"/>
      <c r="SA17" s="1095"/>
      <c r="SB17" s="1095"/>
      <c r="SC17" s="1095"/>
      <c r="SD17" s="1095"/>
      <c r="SE17" s="1095"/>
      <c r="SF17" s="1095"/>
      <c r="SG17" s="1095"/>
      <c r="SH17" s="1095"/>
      <c r="SI17" s="1095"/>
      <c r="SJ17" s="1095"/>
      <c r="SK17" s="1095"/>
      <c r="SL17" s="1095"/>
      <c r="SM17" s="1095"/>
      <c r="SN17" s="1095"/>
      <c r="SO17" s="1095"/>
      <c r="SP17" s="1095"/>
      <c r="SQ17" s="1095"/>
      <c r="SR17" s="1095"/>
      <c r="SS17" s="1095"/>
      <c r="ST17" s="1095"/>
      <c r="SU17" s="1095"/>
      <c r="SV17" s="1095"/>
      <c r="SW17" s="1095"/>
      <c r="SX17" s="1095"/>
      <c r="SY17" s="1095"/>
      <c r="SZ17" s="1095"/>
      <c r="TA17" s="1095"/>
      <c r="TB17" s="1095"/>
      <c r="TC17" s="1095"/>
      <c r="TD17" s="1095"/>
      <c r="TE17" s="1095"/>
      <c r="TF17" s="1095"/>
      <c r="TG17" s="1095"/>
      <c r="TH17" s="1095"/>
      <c r="TI17" s="1095"/>
      <c r="TJ17" s="1095"/>
      <c r="TK17" s="1095"/>
      <c r="TL17" s="1095"/>
      <c r="TM17" s="1095"/>
      <c r="TN17" s="1095"/>
      <c r="TO17" s="1095"/>
      <c r="TP17" s="1095"/>
      <c r="TQ17" s="1095"/>
      <c r="TR17" s="1095"/>
      <c r="TS17" s="1095"/>
      <c r="TT17" s="1095"/>
      <c r="TU17" s="1095"/>
      <c r="TV17" s="1095"/>
      <c r="TW17" s="1095"/>
      <c r="TX17" s="1095"/>
      <c r="TY17" s="1095"/>
      <c r="TZ17" s="1095"/>
      <c r="UA17" s="1095"/>
      <c r="UB17" s="1095"/>
      <c r="UC17" s="1095"/>
      <c r="UD17" s="1095"/>
      <c r="UE17" s="1095"/>
      <c r="UF17" s="1095"/>
      <c r="UG17" s="1095"/>
      <c r="UH17" s="1095"/>
      <c r="UI17" s="1095"/>
      <c r="UJ17" s="1095"/>
      <c r="UK17" s="1095"/>
      <c r="UL17" s="1095"/>
      <c r="UM17" s="1095"/>
      <c r="UN17" s="1095"/>
      <c r="UO17" s="1095"/>
      <c r="UP17" s="1095"/>
      <c r="UQ17" s="1095"/>
      <c r="UR17" s="1095"/>
      <c r="US17" s="1095"/>
      <c r="UT17" s="1095"/>
      <c r="UU17" s="1095"/>
      <c r="UV17" s="1095"/>
      <c r="UW17" s="1095"/>
      <c r="UX17" s="1095"/>
      <c r="UY17" s="1095"/>
      <c r="UZ17" s="1095"/>
      <c r="VA17" s="1095"/>
      <c r="VB17" s="1095"/>
      <c r="VC17" s="1095"/>
      <c r="VD17" s="1095"/>
      <c r="VE17" s="1095"/>
      <c r="VF17" s="1095"/>
      <c r="VG17" s="1095"/>
      <c r="VH17" s="1095"/>
      <c r="VI17" s="1095"/>
      <c r="VJ17" s="1095"/>
      <c r="VK17" s="1095"/>
      <c r="VL17" s="1095"/>
      <c r="VM17" s="1095"/>
      <c r="VN17" s="1095"/>
      <c r="VO17" s="1095"/>
      <c r="VP17" s="1095"/>
      <c r="VQ17" s="1095"/>
      <c r="VR17" s="1095"/>
      <c r="VS17" s="1095"/>
      <c r="VT17" s="1095"/>
      <c r="VU17" s="1095"/>
      <c r="VV17" s="1095"/>
      <c r="VW17" s="1095"/>
      <c r="VX17" s="1095"/>
      <c r="VY17" s="1095"/>
      <c r="VZ17" s="1095"/>
      <c r="WA17" s="1095"/>
      <c r="WB17" s="1095"/>
      <c r="WC17" s="1095"/>
      <c r="WD17" s="1095"/>
      <c r="WE17" s="1095"/>
      <c r="WF17" s="1095"/>
      <c r="WG17" s="1095"/>
      <c r="WH17" s="1095"/>
      <c r="WI17" s="1095"/>
      <c r="WJ17" s="1095"/>
      <c r="WK17" s="1095"/>
      <c r="WL17" s="1095"/>
      <c r="WM17" s="1095"/>
      <c r="WN17" s="1095"/>
      <c r="WO17" s="1095"/>
      <c r="WP17" s="1095"/>
      <c r="WQ17" s="1095"/>
      <c r="WR17" s="1095"/>
      <c r="WS17" s="1095"/>
      <c r="WT17" s="1095"/>
      <c r="WU17" s="1095"/>
      <c r="WV17" s="1095"/>
      <c r="WW17" s="1095"/>
      <c r="WX17" s="1095"/>
      <c r="WY17" s="1095"/>
      <c r="WZ17" s="1095"/>
      <c r="XA17" s="1095"/>
      <c r="XB17" s="1095"/>
      <c r="XC17" s="1095"/>
      <c r="XD17" s="1095"/>
      <c r="XE17" s="1095"/>
      <c r="XF17" s="1095"/>
      <c r="XG17" s="1095"/>
      <c r="XH17" s="1095"/>
      <c r="XI17" s="1095"/>
      <c r="XJ17" s="1095"/>
      <c r="XK17" s="1095"/>
      <c r="XL17" s="1095"/>
      <c r="XM17" s="1095"/>
      <c r="XN17" s="1095"/>
      <c r="XO17" s="1095"/>
      <c r="XP17" s="1095"/>
      <c r="XQ17" s="1095"/>
      <c r="XR17" s="1095"/>
      <c r="XS17" s="1095"/>
      <c r="XT17" s="1095"/>
      <c r="XU17" s="1095"/>
      <c r="XV17" s="1095"/>
      <c r="XW17" s="1095"/>
      <c r="XX17" s="1095"/>
      <c r="XY17" s="1095"/>
      <c r="XZ17" s="1095"/>
      <c r="YA17" s="1095"/>
      <c r="YB17" s="1095"/>
      <c r="YC17" s="1095"/>
      <c r="YD17" s="1095"/>
      <c r="YE17" s="1095"/>
      <c r="YF17" s="1095"/>
      <c r="YG17" s="1095"/>
      <c r="YH17" s="1095"/>
      <c r="YI17" s="1095"/>
      <c r="YJ17" s="1095"/>
      <c r="YK17" s="1095"/>
      <c r="YL17" s="1095"/>
      <c r="YM17" s="1095"/>
      <c r="YN17" s="1095"/>
      <c r="YO17" s="1095"/>
      <c r="YP17" s="1095"/>
      <c r="YQ17" s="1095"/>
      <c r="YR17" s="1095"/>
      <c r="YS17" s="1095"/>
      <c r="YT17" s="1095"/>
      <c r="YU17" s="1095"/>
      <c r="YV17" s="1095"/>
      <c r="YW17" s="1095"/>
      <c r="YX17" s="1095"/>
      <c r="YY17" s="1095"/>
      <c r="YZ17" s="1095"/>
      <c r="ZA17" s="1095"/>
      <c r="ZB17" s="1095"/>
      <c r="ZC17" s="1095"/>
      <c r="ZD17" s="1095"/>
      <c r="ZE17" s="1095"/>
      <c r="ZF17" s="1095"/>
      <c r="ZG17" s="1095"/>
      <c r="ZH17" s="1095"/>
      <c r="ZI17" s="1095"/>
      <c r="ZJ17" s="1095"/>
      <c r="ZK17" s="1095"/>
      <c r="ZL17" s="1095"/>
      <c r="ZM17" s="1095"/>
      <c r="ZN17" s="1095"/>
      <c r="ZO17" s="1095"/>
      <c r="ZP17" s="1095"/>
      <c r="ZQ17" s="1095"/>
      <c r="ZR17" s="1095"/>
      <c r="ZS17" s="1095"/>
      <c r="ZT17" s="1095"/>
      <c r="ZU17" s="1095"/>
      <c r="ZV17" s="1095"/>
      <c r="ZW17" s="1095"/>
      <c r="ZX17" s="1095"/>
      <c r="ZY17" s="1095"/>
      <c r="ZZ17" s="1095"/>
      <c r="AAA17" s="1095"/>
      <c r="AAB17" s="1095"/>
      <c r="AAC17" s="1095"/>
      <c r="AAD17" s="1095"/>
      <c r="AAE17" s="1095"/>
      <c r="AAF17" s="1095"/>
      <c r="AAG17" s="1095"/>
      <c r="AAH17" s="1095"/>
      <c r="AAI17" s="1095"/>
      <c r="AAJ17" s="1095"/>
      <c r="AAK17" s="1095"/>
      <c r="AAL17" s="1095"/>
      <c r="AAM17" s="1095"/>
      <c r="AAN17" s="1095"/>
      <c r="AAO17" s="1095"/>
      <c r="AAP17" s="1095"/>
      <c r="AAQ17" s="1095"/>
      <c r="AAR17" s="1095"/>
      <c r="AAS17" s="1095"/>
      <c r="AAT17" s="1095"/>
      <c r="AAU17" s="1095"/>
      <c r="AAV17" s="1095"/>
      <c r="AAW17" s="1095"/>
      <c r="AAX17" s="1095"/>
      <c r="AAY17" s="1095"/>
      <c r="AAZ17" s="1095"/>
      <c r="ABA17" s="1095"/>
      <c r="ABB17" s="1095"/>
      <c r="ABC17" s="1095"/>
      <c r="ABD17" s="1095"/>
      <c r="ABE17" s="1095"/>
      <c r="ABF17" s="1095"/>
      <c r="ABG17" s="1095"/>
      <c r="ABH17" s="1095"/>
      <c r="ABI17" s="1095"/>
      <c r="ABJ17" s="1095"/>
      <c r="ABK17" s="1095"/>
      <c r="ABL17" s="1095"/>
      <c r="ABM17" s="1095"/>
      <c r="ABN17" s="1095"/>
      <c r="ABO17" s="1095"/>
      <c r="ABP17" s="1095"/>
      <c r="ABQ17" s="1095"/>
      <c r="ABR17" s="1095"/>
      <c r="ABS17" s="1095"/>
      <c r="ABT17" s="1095"/>
      <c r="ABU17" s="1095"/>
      <c r="ABV17" s="1095"/>
      <c r="ABW17" s="1095"/>
      <c r="ABX17" s="1095"/>
      <c r="ABY17" s="1095"/>
      <c r="ABZ17" s="1095"/>
      <c r="ACA17" s="1095"/>
      <c r="ACB17" s="1095"/>
      <c r="ACC17" s="1095"/>
      <c r="ACD17" s="1095"/>
      <c r="ACE17" s="1095"/>
      <c r="ACF17" s="1095"/>
      <c r="ACG17" s="1095"/>
      <c r="ACH17" s="1095"/>
      <c r="ACI17" s="1095"/>
      <c r="ACJ17" s="1095"/>
      <c r="ACK17" s="1095"/>
      <c r="ACL17" s="1095"/>
      <c r="ACM17" s="1095"/>
      <c r="ACN17" s="1095"/>
      <c r="ACO17" s="1095"/>
      <c r="ACP17" s="1095"/>
      <c r="ACQ17" s="1095"/>
      <c r="ACR17" s="1095"/>
      <c r="ACS17" s="1095"/>
      <c r="ACT17" s="1095"/>
      <c r="ACU17" s="1095"/>
      <c r="ACV17" s="1095"/>
      <c r="ACW17" s="1095"/>
      <c r="ACX17" s="1095"/>
      <c r="ACY17" s="1095"/>
      <c r="ACZ17" s="1095"/>
      <c r="ADA17" s="1095"/>
      <c r="ADB17" s="1095"/>
      <c r="ADC17" s="1095"/>
      <c r="ADD17" s="1095"/>
      <c r="ADE17" s="1095"/>
      <c r="ADF17" s="1095"/>
      <c r="ADG17" s="1095"/>
      <c r="ADH17" s="1095"/>
      <c r="ADI17" s="1095"/>
      <c r="ADJ17" s="1095"/>
      <c r="ADK17" s="1095"/>
      <c r="ADL17" s="1095"/>
      <c r="ADM17" s="1095"/>
      <c r="ADN17" s="1095"/>
      <c r="ADO17" s="1095"/>
      <c r="ADP17" s="1095"/>
      <c r="ADQ17" s="1095"/>
      <c r="ADR17" s="1095"/>
      <c r="ADS17" s="1095"/>
      <c r="ADT17" s="1095"/>
      <c r="ADU17" s="1095"/>
      <c r="ADV17" s="1095"/>
      <c r="ADW17" s="1095"/>
      <c r="ADX17" s="1095"/>
      <c r="ADY17" s="1095"/>
      <c r="ADZ17" s="1095"/>
      <c r="AEA17" s="1095"/>
      <c r="AEB17" s="1095"/>
      <c r="AEC17" s="1095"/>
      <c r="AED17" s="1095"/>
      <c r="AEE17" s="1095"/>
      <c r="AEF17" s="1095"/>
      <c r="AEG17" s="1095"/>
      <c r="AEH17" s="1095"/>
      <c r="AEI17" s="1095"/>
      <c r="AEJ17" s="1095"/>
      <c r="AEK17" s="1095"/>
      <c r="AEL17" s="1095"/>
      <c r="AEM17" s="1095"/>
      <c r="AEN17" s="1095"/>
      <c r="AEO17" s="1095"/>
      <c r="AEP17" s="1095"/>
      <c r="AEQ17" s="1095"/>
      <c r="AER17" s="1095"/>
      <c r="AES17" s="1095"/>
      <c r="AET17" s="1095"/>
      <c r="AEU17" s="1095"/>
      <c r="AEV17" s="1095"/>
      <c r="AEW17" s="1095"/>
      <c r="AEX17" s="1095"/>
      <c r="AEY17" s="1095"/>
      <c r="AEZ17" s="1095"/>
      <c r="AFA17" s="1095"/>
      <c r="AFB17" s="1095"/>
      <c r="AFC17" s="1095"/>
      <c r="AFD17" s="1095"/>
      <c r="AFE17" s="1095"/>
      <c r="AFF17" s="1095"/>
      <c r="AFG17" s="1095"/>
      <c r="AFH17" s="1095"/>
      <c r="AFI17" s="1095"/>
      <c r="AFJ17" s="1095"/>
      <c r="AFK17" s="1095"/>
      <c r="AFL17" s="1095"/>
      <c r="AFM17" s="1095"/>
      <c r="AFN17" s="1095"/>
      <c r="AFO17" s="1095"/>
      <c r="AFP17" s="1095"/>
      <c r="AFQ17" s="1095"/>
      <c r="AFR17" s="1095"/>
      <c r="AFS17" s="1095"/>
      <c r="AFT17" s="1095"/>
      <c r="AFU17" s="1095"/>
      <c r="AFV17" s="1095"/>
      <c r="AFW17" s="1095"/>
      <c r="AFX17" s="1095"/>
      <c r="AFY17" s="1095"/>
      <c r="AFZ17" s="1095"/>
      <c r="AGA17" s="1095"/>
      <c r="AGB17" s="1095"/>
      <c r="AGC17" s="1095"/>
      <c r="AGD17" s="1095"/>
      <c r="AGE17" s="1095"/>
      <c r="AGF17" s="1095"/>
      <c r="AGG17" s="1095"/>
      <c r="AGH17" s="1095"/>
      <c r="AGI17" s="1095"/>
      <c r="AGJ17" s="1095"/>
      <c r="AGK17" s="1095"/>
      <c r="AGL17" s="1095"/>
      <c r="AGM17" s="1095"/>
      <c r="AGN17" s="1095"/>
      <c r="AGO17" s="1095"/>
      <c r="AGP17" s="1095"/>
      <c r="AGQ17" s="1095"/>
      <c r="AGR17" s="1095"/>
      <c r="AGS17" s="1095"/>
      <c r="AGT17" s="1095"/>
      <c r="AGU17" s="1095"/>
      <c r="AGV17" s="1095"/>
      <c r="AGW17" s="1095"/>
      <c r="AGX17" s="1095"/>
      <c r="AGY17" s="1095"/>
      <c r="AGZ17" s="1095"/>
      <c r="AHA17" s="1095"/>
      <c r="AHB17" s="1095"/>
      <c r="AHC17" s="1095"/>
      <c r="AHD17" s="1095"/>
      <c r="AHE17" s="1095"/>
      <c r="AHF17" s="1095"/>
      <c r="AHG17" s="1095"/>
      <c r="AHH17" s="1095"/>
      <c r="AHI17" s="1095"/>
      <c r="AHJ17" s="1095"/>
      <c r="AHK17" s="1095"/>
      <c r="AHL17" s="1095"/>
      <c r="AHM17" s="1095"/>
      <c r="AHN17" s="1095"/>
      <c r="AHO17" s="1095"/>
      <c r="AHP17" s="1095"/>
      <c r="AHQ17" s="1095"/>
      <c r="AHR17" s="1095"/>
      <c r="AHS17" s="1095"/>
      <c r="AHT17" s="1095"/>
      <c r="AHU17" s="1095"/>
      <c r="AHV17" s="1095"/>
      <c r="AHW17" s="1095"/>
      <c r="AHX17" s="1095"/>
      <c r="AHY17" s="1095"/>
      <c r="AHZ17" s="1095"/>
      <c r="AIA17" s="1095"/>
      <c r="AIB17" s="1095"/>
      <c r="AIC17" s="1095"/>
      <c r="AID17" s="1095"/>
      <c r="AIE17" s="1095"/>
      <c r="AIF17" s="1095"/>
      <c r="AIG17" s="1095"/>
      <c r="AIH17" s="1095"/>
      <c r="AII17" s="1095"/>
      <c r="AIJ17" s="1095"/>
      <c r="AIK17" s="1095"/>
      <c r="AIL17" s="1095"/>
      <c r="AIM17" s="1095"/>
      <c r="AIN17" s="1095"/>
      <c r="AIO17" s="1095"/>
      <c r="AIP17" s="1095"/>
      <c r="AIQ17" s="1095"/>
      <c r="AIR17" s="1095"/>
      <c r="AIS17" s="1095"/>
      <c r="AIT17" s="1095"/>
      <c r="AIU17" s="1095"/>
      <c r="AIV17" s="1095"/>
      <c r="AIW17" s="1095"/>
      <c r="AIX17" s="1095"/>
      <c r="AIY17" s="1095"/>
      <c r="AIZ17" s="1095"/>
      <c r="AJA17" s="1095"/>
      <c r="AJB17" s="1095"/>
      <c r="AJC17" s="1095"/>
      <c r="AJD17" s="1095"/>
      <c r="AJE17" s="1095"/>
      <c r="AJF17" s="1095"/>
      <c r="AJG17" s="1095"/>
      <c r="AJH17" s="1095"/>
      <c r="AJI17" s="1095"/>
      <c r="AJJ17" s="1095"/>
      <c r="AJK17" s="1095"/>
      <c r="AJL17" s="1095"/>
      <c r="AJM17" s="1095"/>
      <c r="AJN17" s="1095"/>
      <c r="AJO17" s="1095"/>
      <c r="AJP17" s="1095"/>
      <c r="AJQ17" s="1095"/>
      <c r="AJR17" s="1095"/>
      <c r="AJS17" s="1095"/>
      <c r="AJT17" s="1095"/>
      <c r="AJU17" s="1095"/>
      <c r="AJV17" s="1095"/>
      <c r="AJW17" s="1095"/>
      <c r="AJX17" s="1095"/>
      <c r="AJY17" s="1095"/>
      <c r="AJZ17" s="1095"/>
      <c r="AKA17" s="1095"/>
      <c r="AKB17" s="1095"/>
      <c r="AKC17" s="1095"/>
      <c r="AKD17" s="1095"/>
      <c r="AKE17" s="1095"/>
      <c r="AKF17" s="1095"/>
      <c r="AKG17" s="1095"/>
      <c r="AKH17" s="1095"/>
      <c r="AKI17" s="1095"/>
      <c r="AKJ17" s="1095"/>
      <c r="AKK17" s="1095"/>
      <c r="AKL17" s="1095"/>
      <c r="AKM17" s="1095"/>
      <c r="AKN17" s="1095"/>
      <c r="AKO17" s="1095"/>
      <c r="AKP17" s="1095"/>
      <c r="AKQ17" s="1095"/>
      <c r="AKR17" s="1095"/>
      <c r="AKS17" s="1095"/>
      <c r="AKT17" s="1095"/>
      <c r="AKU17" s="1095"/>
      <c r="AKV17" s="1095"/>
      <c r="AKW17" s="1095"/>
      <c r="AKX17" s="1095"/>
      <c r="AKY17" s="1095"/>
      <c r="AKZ17" s="1095"/>
      <c r="ALA17" s="1095"/>
      <c r="ALB17" s="1095"/>
      <c r="ALC17" s="1095"/>
      <c r="ALD17" s="1095"/>
      <c r="ALE17" s="1095"/>
      <c r="ALF17" s="1095"/>
      <c r="ALG17" s="1095"/>
      <c r="ALH17" s="1095"/>
      <c r="ALI17" s="1095"/>
      <c r="ALJ17" s="1095"/>
      <c r="ALK17" s="1095"/>
      <c r="ALL17" s="1095"/>
      <c r="ALM17" s="1095"/>
      <c r="ALN17" s="1095"/>
      <c r="ALO17" s="1095"/>
      <c r="ALP17" s="1095"/>
      <c r="ALQ17" s="1095"/>
      <c r="ALR17" s="1095"/>
      <c r="ALS17" s="1095"/>
      <c r="ALT17" s="1095"/>
      <c r="ALU17" s="1095"/>
      <c r="ALV17" s="1095"/>
      <c r="ALW17" s="1095"/>
      <c r="ALX17" s="1095"/>
      <c r="ALY17" s="1095"/>
      <c r="ALZ17" s="1095"/>
      <c r="AMA17" s="1095"/>
      <c r="AMB17" s="1095"/>
      <c r="AMC17" s="1095"/>
      <c r="AMD17" s="1095"/>
      <c r="AME17" s="1095"/>
      <c r="AMF17" s="1095"/>
      <c r="AMG17" s="1095"/>
      <c r="AMH17" s="1095"/>
      <c r="AMI17" s="1095"/>
      <c r="AMJ17" s="1095"/>
      <c r="AMK17" s="1095"/>
      <c r="AML17" s="1095"/>
      <c r="AMM17" s="1095"/>
      <c r="AMN17" s="1095"/>
      <c r="AMO17" s="1095"/>
      <c r="AMP17" s="1095"/>
      <c r="AMQ17" s="1095"/>
      <c r="AMR17" s="1095"/>
      <c r="AMS17" s="1095"/>
      <c r="AMT17" s="1095"/>
      <c r="AMU17" s="1095"/>
      <c r="AMV17" s="1095"/>
      <c r="AMW17" s="1095"/>
      <c r="AMX17" s="1095"/>
      <c r="AMY17" s="1095"/>
      <c r="AMZ17" s="1095"/>
      <c r="ANA17" s="1095"/>
      <c r="ANB17" s="1095"/>
      <c r="ANC17" s="1095"/>
      <c r="AND17" s="1095"/>
      <c r="ANE17" s="1095"/>
      <c r="ANF17" s="1095"/>
      <c r="ANG17" s="1095"/>
      <c r="ANH17" s="1095"/>
      <c r="ANI17" s="1095"/>
      <c r="ANJ17" s="1095"/>
      <c r="ANK17" s="1095"/>
      <c r="ANL17" s="1095"/>
      <c r="ANM17" s="1095"/>
      <c r="ANN17" s="1095"/>
      <c r="ANO17" s="1095"/>
      <c r="ANP17" s="1095"/>
      <c r="ANQ17" s="1095"/>
      <c r="ANR17" s="1095"/>
      <c r="ANS17" s="1095"/>
      <c r="ANT17" s="1095"/>
      <c r="ANU17" s="1095"/>
      <c r="ANV17" s="1095"/>
      <c r="ANW17" s="1095"/>
      <c r="ANX17" s="1095"/>
      <c r="ANY17" s="1095"/>
      <c r="ANZ17" s="1095"/>
      <c r="AOA17" s="1095"/>
      <c r="AOB17" s="1095"/>
      <c r="AOC17" s="1095"/>
      <c r="AOD17" s="1095"/>
      <c r="AOE17" s="1095"/>
      <c r="AOF17" s="1095"/>
      <c r="AOG17" s="1095"/>
      <c r="AOH17" s="1095"/>
      <c r="AOI17" s="1095"/>
      <c r="AOJ17" s="1095"/>
      <c r="AOK17" s="1095"/>
      <c r="AOL17" s="1095"/>
      <c r="AOM17" s="1095"/>
      <c r="AON17" s="1095"/>
      <c r="AOO17" s="1095"/>
      <c r="AOP17" s="1095"/>
      <c r="AOQ17" s="1095"/>
      <c r="AOR17" s="1095"/>
      <c r="AOS17" s="1095"/>
      <c r="AOT17" s="1095"/>
      <c r="AOU17" s="1095"/>
      <c r="AOV17" s="1095"/>
      <c r="AOW17" s="1095"/>
      <c r="AOX17" s="1095"/>
      <c r="AOY17" s="1095"/>
      <c r="AOZ17" s="1095"/>
      <c r="APA17" s="1095"/>
      <c r="APB17" s="1095"/>
      <c r="APC17" s="1095"/>
      <c r="APD17" s="1095"/>
      <c r="APE17" s="1095"/>
      <c r="APF17" s="1095"/>
      <c r="APG17" s="1095"/>
      <c r="APH17" s="1095"/>
      <c r="API17" s="1095"/>
      <c r="APJ17" s="1095"/>
      <c r="APK17" s="1095"/>
      <c r="APL17" s="1095"/>
      <c r="APM17" s="1095"/>
      <c r="APN17" s="1095"/>
      <c r="APO17" s="1095"/>
      <c r="APP17" s="1095"/>
      <c r="APQ17" s="1095"/>
      <c r="APR17" s="1095"/>
      <c r="APS17" s="1095"/>
      <c r="APT17" s="1095"/>
      <c r="APU17" s="1095"/>
      <c r="APV17" s="1095"/>
      <c r="APW17" s="1095"/>
      <c r="APX17" s="1095"/>
      <c r="APY17" s="1095"/>
      <c r="APZ17" s="1095"/>
      <c r="AQA17" s="1095"/>
      <c r="AQB17" s="1095"/>
      <c r="AQC17" s="1095"/>
      <c r="AQD17" s="1095"/>
      <c r="AQE17" s="1095"/>
      <c r="AQF17" s="1095"/>
      <c r="AQG17" s="1095"/>
      <c r="AQH17" s="1095"/>
      <c r="AQI17" s="1095"/>
      <c r="AQJ17" s="1095"/>
      <c r="AQK17" s="1095"/>
      <c r="AQL17" s="1095"/>
      <c r="AQM17" s="1095"/>
      <c r="AQN17" s="1095"/>
      <c r="AQO17" s="1095"/>
      <c r="AQP17" s="1095"/>
      <c r="AQQ17" s="1095"/>
      <c r="AQR17" s="1095"/>
      <c r="AQS17" s="1095"/>
      <c r="AQT17" s="1095"/>
      <c r="AQU17" s="1095"/>
      <c r="AQV17" s="1095"/>
      <c r="AQW17" s="1095"/>
      <c r="AQX17" s="1095"/>
      <c r="AQY17" s="1095"/>
      <c r="AQZ17" s="1095"/>
      <c r="ARA17" s="1095"/>
      <c r="ARB17" s="1095"/>
      <c r="ARC17" s="1095"/>
      <c r="ARD17" s="1095"/>
      <c r="ARE17" s="1095"/>
      <c r="ARF17" s="1095"/>
      <c r="ARG17" s="1095"/>
      <c r="ARH17" s="1095"/>
      <c r="ARI17" s="1095"/>
      <c r="ARJ17" s="1095"/>
      <c r="ARK17" s="1095"/>
      <c r="ARL17" s="1095"/>
      <c r="ARM17" s="1095"/>
      <c r="ARN17" s="1095"/>
      <c r="ARO17" s="1095"/>
      <c r="ARP17" s="1095"/>
      <c r="ARQ17" s="1095"/>
      <c r="ARR17" s="1095"/>
      <c r="ARS17" s="1095"/>
      <c r="ART17" s="1095"/>
      <c r="ARU17" s="1095"/>
      <c r="ARV17" s="1095"/>
      <c r="ARW17" s="1095"/>
      <c r="ARX17" s="1095"/>
      <c r="ARY17" s="1095"/>
      <c r="ARZ17" s="1095"/>
      <c r="ASA17" s="1095"/>
      <c r="ASB17" s="1095"/>
      <c r="ASC17" s="1095"/>
      <c r="ASD17" s="1095"/>
      <c r="ASE17" s="1095"/>
      <c r="ASF17" s="1095"/>
      <c r="ASG17" s="1095"/>
      <c r="ASH17" s="1095"/>
      <c r="ASI17" s="1095"/>
      <c r="ASJ17" s="1095"/>
      <c r="ASK17" s="1095"/>
      <c r="ASL17" s="1095"/>
      <c r="ASM17" s="1095"/>
      <c r="ASN17" s="1095"/>
      <c r="ASO17" s="1095"/>
      <c r="ASP17" s="1095"/>
      <c r="ASQ17" s="1095"/>
      <c r="ASR17" s="1095"/>
      <c r="ASS17" s="1095"/>
      <c r="AST17" s="1095"/>
      <c r="ASU17" s="1095"/>
      <c r="ASV17" s="1095"/>
      <c r="ASW17" s="1095"/>
      <c r="ASX17" s="1095"/>
      <c r="ASY17" s="1095"/>
      <c r="ASZ17" s="1095"/>
      <c r="ATA17" s="1095"/>
      <c r="ATB17" s="1095"/>
      <c r="ATC17" s="1095"/>
      <c r="ATD17" s="1095"/>
      <c r="ATE17" s="1095"/>
      <c r="ATF17" s="1095"/>
      <c r="ATG17" s="1095"/>
      <c r="ATH17" s="1095"/>
      <c r="ATI17" s="1095"/>
      <c r="ATJ17" s="1095"/>
      <c r="ATK17" s="1095"/>
      <c r="ATL17" s="1095"/>
      <c r="ATM17" s="1095"/>
      <c r="ATN17" s="1095"/>
      <c r="ATO17" s="1095"/>
      <c r="ATP17" s="1095"/>
      <c r="ATQ17" s="1095"/>
      <c r="ATR17" s="1095"/>
      <c r="ATS17" s="1095"/>
      <c r="ATT17" s="1095"/>
      <c r="ATU17" s="1095"/>
      <c r="ATV17" s="1095"/>
      <c r="ATW17" s="1095"/>
      <c r="ATX17" s="1095"/>
      <c r="ATY17" s="1095"/>
      <c r="ATZ17" s="1095"/>
      <c r="AUA17" s="1095"/>
      <c r="AUB17" s="1095"/>
      <c r="AUC17" s="1095"/>
      <c r="AUD17" s="1095"/>
      <c r="AUE17" s="1095"/>
      <c r="AUF17" s="1095"/>
      <c r="AUG17" s="1095"/>
      <c r="AUH17" s="1095"/>
      <c r="AUI17" s="1095"/>
      <c r="AUJ17" s="1095"/>
      <c r="AUK17" s="1095"/>
      <c r="AUL17" s="1095"/>
      <c r="AUM17" s="1095"/>
      <c r="AUN17" s="1095"/>
      <c r="AUO17" s="1095"/>
      <c r="AUP17" s="1095"/>
      <c r="AUQ17" s="1095"/>
      <c r="AUR17" s="1095"/>
      <c r="AUS17" s="1095"/>
      <c r="AUT17" s="1095"/>
      <c r="AUU17" s="1095"/>
      <c r="AUV17" s="1095"/>
      <c r="AUW17" s="1095"/>
      <c r="AUX17" s="1095"/>
      <c r="AUY17" s="1095"/>
      <c r="AUZ17" s="1095"/>
      <c r="AVA17" s="1095"/>
      <c r="AVB17" s="1095"/>
      <c r="AVC17" s="1095"/>
      <c r="AVD17" s="1095"/>
      <c r="AVE17" s="1095"/>
      <c r="AVF17" s="1095"/>
      <c r="AVG17" s="1095"/>
      <c r="AVH17" s="1095"/>
      <c r="AVI17" s="1095"/>
      <c r="AVJ17" s="1095"/>
      <c r="AVK17" s="1095"/>
      <c r="AVL17" s="1095"/>
      <c r="AVM17" s="1095"/>
      <c r="AVN17" s="1095"/>
      <c r="AVO17" s="1095"/>
      <c r="AVP17" s="1095"/>
      <c r="AVQ17" s="1095"/>
      <c r="AVR17" s="1095"/>
      <c r="AVS17" s="1095"/>
      <c r="AVT17" s="1095"/>
      <c r="AVU17" s="1095"/>
      <c r="AVV17" s="1095"/>
      <c r="AVW17" s="1095"/>
      <c r="AVX17" s="1095"/>
      <c r="AVY17" s="1095"/>
      <c r="AVZ17" s="1095"/>
      <c r="AWA17" s="1095"/>
      <c r="AWB17" s="1095"/>
      <c r="AWC17" s="1095"/>
      <c r="AWD17" s="1095"/>
      <c r="AWE17" s="1095"/>
      <c r="AWF17" s="1095"/>
      <c r="AWG17" s="1095"/>
      <c r="AWH17" s="1095"/>
      <c r="AWI17" s="1095"/>
      <c r="AWJ17" s="1095"/>
      <c r="AWK17" s="1095"/>
      <c r="AWL17" s="1095"/>
      <c r="AWM17" s="1095"/>
      <c r="AWN17" s="1095"/>
      <c r="AWO17" s="1095"/>
      <c r="AWP17" s="1095"/>
      <c r="AWQ17" s="1095"/>
      <c r="AWR17" s="1095"/>
      <c r="AWS17" s="1095"/>
      <c r="AWT17" s="1095"/>
      <c r="AWU17" s="1095"/>
      <c r="AWV17" s="1095"/>
      <c r="AWW17" s="1095"/>
      <c r="AWX17" s="1095"/>
      <c r="AWY17" s="1095"/>
      <c r="AWZ17" s="1095"/>
      <c r="AXA17" s="1095"/>
      <c r="AXB17" s="1095"/>
      <c r="AXC17" s="1095"/>
      <c r="AXD17" s="1095"/>
      <c r="AXE17" s="1095"/>
      <c r="AXF17" s="1095"/>
      <c r="AXG17" s="1095"/>
      <c r="AXH17" s="1095"/>
      <c r="AXI17" s="1095"/>
      <c r="AXJ17" s="1095"/>
      <c r="AXK17" s="1095"/>
      <c r="AXL17" s="1095"/>
      <c r="AXM17" s="1095"/>
      <c r="AXN17" s="1095"/>
      <c r="AXO17" s="1095"/>
      <c r="AXP17" s="1095"/>
      <c r="AXQ17" s="1095"/>
      <c r="AXR17" s="1095"/>
      <c r="AXS17" s="1095"/>
      <c r="AXT17" s="1095"/>
      <c r="AXU17" s="1095"/>
      <c r="AXV17" s="1095"/>
      <c r="AXW17" s="1095"/>
      <c r="AXX17" s="1095"/>
      <c r="AXY17" s="1095"/>
      <c r="AXZ17" s="1095"/>
      <c r="AYA17" s="1095"/>
      <c r="AYB17" s="1095"/>
      <c r="AYC17" s="1095"/>
      <c r="AYD17" s="1095"/>
      <c r="AYE17" s="1095"/>
      <c r="AYF17" s="1095"/>
      <c r="AYG17" s="1095"/>
      <c r="AYH17" s="1095"/>
      <c r="AYI17" s="1095"/>
      <c r="AYJ17" s="1095"/>
      <c r="AYK17" s="1095"/>
      <c r="AYL17" s="1095"/>
      <c r="AYM17" s="1095"/>
      <c r="AYN17" s="1095"/>
      <c r="AYO17" s="1095"/>
      <c r="AYP17" s="1095"/>
      <c r="AYQ17" s="1095"/>
      <c r="AYR17" s="1095"/>
      <c r="AYS17" s="1095"/>
      <c r="AYT17" s="1095"/>
      <c r="AYU17" s="1095"/>
      <c r="AYV17" s="1095"/>
      <c r="AYW17" s="1095"/>
      <c r="AYX17" s="1095"/>
      <c r="AYY17" s="1095"/>
      <c r="AYZ17" s="1095"/>
      <c r="AZA17" s="1095"/>
      <c r="AZB17" s="1095"/>
      <c r="AZC17" s="1095"/>
      <c r="AZD17" s="1095"/>
      <c r="AZE17" s="1095"/>
      <c r="AZF17" s="1095"/>
      <c r="AZG17" s="1095"/>
      <c r="AZH17" s="1095"/>
      <c r="AZI17" s="1095"/>
      <c r="AZJ17" s="1095"/>
      <c r="AZK17" s="1095"/>
      <c r="AZL17" s="1095"/>
      <c r="AZM17" s="1095"/>
      <c r="AZN17" s="1095"/>
      <c r="AZO17" s="1095"/>
      <c r="AZP17" s="1095"/>
      <c r="AZQ17" s="1095"/>
      <c r="AZR17" s="1095"/>
      <c r="AZS17" s="1095"/>
      <c r="AZT17" s="1095"/>
      <c r="AZU17" s="1095"/>
      <c r="AZV17" s="1095"/>
      <c r="AZW17" s="1095"/>
      <c r="AZX17" s="1095"/>
      <c r="AZY17" s="1095"/>
      <c r="AZZ17" s="1095"/>
      <c r="BAA17" s="1095"/>
      <c r="BAB17" s="1095"/>
      <c r="BAC17" s="1095"/>
      <c r="BAD17" s="1095"/>
      <c r="BAE17" s="1095"/>
      <c r="BAF17" s="1095"/>
      <c r="BAG17" s="1095"/>
      <c r="BAH17" s="1095"/>
      <c r="BAI17" s="1095"/>
      <c r="BAJ17" s="1095"/>
      <c r="BAK17" s="1095"/>
      <c r="BAL17" s="1095"/>
      <c r="BAM17" s="1095"/>
      <c r="BAN17" s="1095"/>
      <c r="BAO17" s="1095"/>
      <c r="BAP17" s="1095"/>
      <c r="BAQ17" s="1095"/>
      <c r="BAR17" s="1095"/>
      <c r="BAS17" s="1095"/>
      <c r="BAT17" s="1095"/>
      <c r="BAU17" s="1095"/>
      <c r="BAV17" s="1095"/>
      <c r="BAW17" s="1095"/>
      <c r="BAX17" s="1095"/>
      <c r="BAY17" s="1095"/>
      <c r="BAZ17" s="1095"/>
      <c r="BBA17" s="1095"/>
      <c r="BBB17" s="1095"/>
      <c r="BBC17" s="1095"/>
      <c r="BBD17" s="1095"/>
      <c r="BBE17" s="1095"/>
      <c r="BBF17" s="1095"/>
      <c r="BBG17" s="1095"/>
      <c r="BBH17" s="1095"/>
      <c r="BBI17" s="1095"/>
      <c r="BBJ17" s="1095"/>
      <c r="BBK17" s="1095"/>
      <c r="BBL17" s="1095"/>
      <c r="BBM17" s="1095"/>
      <c r="BBN17" s="1095"/>
      <c r="BBO17" s="1095"/>
      <c r="BBP17" s="1095"/>
      <c r="BBQ17" s="1095"/>
      <c r="BBR17" s="1095"/>
      <c r="BBS17" s="1095"/>
      <c r="BBT17" s="1095"/>
      <c r="BBU17" s="1095"/>
      <c r="BBV17" s="1095"/>
      <c r="BBW17" s="1095"/>
      <c r="BBX17" s="1095"/>
      <c r="BBY17" s="1095"/>
      <c r="BBZ17" s="1086">
        <f>(BBZ10+(BBY13-BBZ13))</f>
        <v>7773.96</v>
      </c>
      <c r="BCA17" s="1086">
        <f t="shared" ref="BCA17:BCB17" si="1225">(BCA10+(BBZ13-BCA13))</f>
        <v>5892.0159999999996</v>
      </c>
      <c r="BCB17" s="1086">
        <f t="shared" si="1225"/>
        <v>6854.8739999999989</v>
      </c>
      <c r="BCC17" s="1086">
        <f t="shared" ref="BCC17:BCG17" si="1226">(BCC10+(BCB13-BCC13))</f>
        <v>7290.8869999999988</v>
      </c>
      <c r="BCD17" s="1086">
        <f t="shared" si="1226"/>
        <v>7908.8949999999995</v>
      </c>
      <c r="BCE17" s="1086">
        <f t="shared" si="1226"/>
        <v>5247.1960000000008</v>
      </c>
      <c r="BCF17" s="1086">
        <f t="shared" si="1226"/>
        <v>8621.5399999999991</v>
      </c>
      <c r="BCG17" s="1086">
        <f t="shared" si="1226"/>
        <v>5171.5519999999988</v>
      </c>
      <c r="BCH17" s="1086">
        <f t="shared" ref="BCH17:BCN17" si="1227">(BCH10+(BCG13-BCH13))</f>
        <v>8619.98</v>
      </c>
      <c r="BCI17" s="1086">
        <f t="shared" si="1227"/>
        <v>4109.92</v>
      </c>
      <c r="BCJ17" s="1086">
        <f t="shared" si="1227"/>
        <v>-44.889999999998508</v>
      </c>
      <c r="BCK17" s="1086">
        <f t="shared" si="1227"/>
        <v>9449.6959999999981</v>
      </c>
      <c r="BCL17" s="1086">
        <f t="shared" si="1227"/>
        <v>7027.7999999999993</v>
      </c>
      <c r="BCM17" s="1086">
        <f t="shared" si="1227"/>
        <v>7387.0000000000009</v>
      </c>
      <c r="BCN17" s="1086">
        <f t="shared" si="1227"/>
        <v>7452.2559999999985</v>
      </c>
      <c r="BCO17" s="1086">
        <f t="shared" ref="BCO17:BCU17" si="1228">(BCO10+(BCN13-BCO13))</f>
        <v>6988.9720000000007</v>
      </c>
      <c r="BCP17" s="1086">
        <f t="shared" si="1228"/>
        <v>8686.9779999999992</v>
      </c>
      <c r="BCQ17" s="1086">
        <f t="shared" si="1228"/>
        <v>6438.1799999999994</v>
      </c>
      <c r="BCR17" s="1086">
        <f t="shared" si="1228"/>
        <v>5372.3899999999994</v>
      </c>
      <c r="BCS17" s="1086">
        <f t="shared" si="1228"/>
        <v>4068</v>
      </c>
      <c r="BCT17" s="1086">
        <f t="shared" si="1228"/>
        <v>5055.3843461995621</v>
      </c>
      <c r="BCU17" s="1086">
        <f t="shared" si="1228"/>
        <v>4902.53</v>
      </c>
      <c r="BCV17" s="1086">
        <f t="shared" ref="BCV17:BDA17" si="1229">(BCV10+(BCU13-BCV13))</f>
        <v>7178.9</v>
      </c>
      <c r="BCW17" s="1086">
        <f t="shared" si="1229"/>
        <v>5348.5320000000002</v>
      </c>
      <c r="BCX17" s="1086">
        <f t="shared" si="1229"/>
        <v>6237.2579999999998</v>
      </c>
      <c r="BCY17" s="1086">
        <f t="shared" si="1229"/>
        <v>7597.96</v>
      </c>
      <c r="BCZ17" s="1086">
        <f>(BCZ10+(BCY13-BCZ13))</f>
        <v>7597.9600000000009</v>
      </c>
      <c r="BDA17" s="1086">
        <f t="shared" si="1229"/>
        <v>7753.06</v>
      </c>
      <c r="BDB17" s="1086">
        <f t="shared" ref="BDB17:BDC17" si="1230">(BDB10+(BDA13-BDB13))</f>
        <v>5233.6479999999992</v>
      </c>
      <c r="BDC17" s="1086">
        <f t="shared" si="1230"/>
        <v>6145.9599999999991</v>
      </c>
      <c r="BDD17" s="1086">
        <f t="shared" ref="BDD17:BDI17" si="1231">(BDD10+(BDC13-BDD13))</f>
        <v>7681.3119999999999</v>
      </c>
      <c r="BDE17" s="1086">
        <f t="shared" si="1231"/>
        <v>7654.5119999999997</v>
      </c>
      <c r="BDF17" s="1086">
        <f t="shared" si="1231"/>
        <v>3437.6799999999994</v>
      </c>
      <c r="BDG17" s="1086">
        <f t="shared" si="1231"/>
        <v>7243.5199999999995</v>
      </c>
      <c r="BDH17" s="1086">
        <f t="shared" si="1231"/>
        <v>5288.4299999999994</v>
      </c>
      <c r="BDI17" s="1086">
        <f t="shared" si="1231"/>
        <v>5738.8859999999995</v>
      </c>
      <c r="BDJ17" s="1086">
        <f t="shared" ref="BDJ17:BFA17" si="1232">(BDJ10+(BDI13-BDJ13))</f>
        <v>7353.4599999999991</v>
      </c>
      <c r="BDK17" s="1086">
        <f t="shared" si="1232"/>
        <v>7907.9000000000005</v>
      </c>
      <c r="BDL17" s="1086">
        <f t="shared" si="1232"/>
        <v>6870.0319999999992</v>
      </c>
      <c r="BDM17" s="1086">
        <f t="shared" si="1232"/>
        <v>4568.96</v>
      </c>
      <c r="BDN17" s="1086">
        <f t="shared" si="1232"/>
        <v>7628.0000000000009</v>
      </c>
      <c r="BDO17" s="1086">
        <f t="shared" si="1232"/>
        <v>5981.2</v>
      </c>
      <c r="BDP17" s="1086">
        <f t="shared" si="1232"/>
        <v>5454.64</v>
      </c>
      <c r="BDQ17" s="1086">
        <f t="shared" si="1232"/>
        <v>4388.7360000000008</v>
      </c>
      <c r="BDR17" s="1086">
        <f t="shared" si="1232"/>
        <v>5152.42</v>
      </c>
      <c r="BDS17" s="1086">
        <f t="shared" si="1232"/>
        <v>4985.4299999999994</v>
      </c>
      <c r="BDT17" s="1086">
        <f t="shared" si="1232"/>
        <v>3640.7999999999993</v>
      </c>
      <c r="BDU17" s="1086">
        <f t="shared" si="1232"/>
        <v>5702.24</v>
      </c>
      <c r="BDV17" s="1086">
        <f t="shared" si="1232"/>
        <v>4356.4719999999998</v>
      </c>
      <c r="BDW17" s="1086">
        <f t="shared" si="1232"/>
        <v>4195.3579999999984</v>
      </c>
      <c r="BDX17" s="1086">
        <f t="shared" si="1232"/>
        <v>4802.51</v>
      </c>
      <c r="BDY17" s="1086">
        <f t="shared" si="1232"/>
        <v>5436.1399999999994</v>
      </c>
      <c r="BDZ17" s="1086">
        <f t="shared" si="1232"/>
        <v>5428.2560000000003</v>
      </c>
      <c r="BEA17" s="1086">
        <f t="shared" si="1232"/>
        <v>6629.4560000000001</v>
      </c>
      <c r="BEB17" s="1086">
        <f t="shared" si="1232"/>
        <v>6540.5159999999996</v>
      </c>
      <c r="BEC17" s="1086">
        <f t="shared" si="1232"/>
        <v>6800.91</v>
      </c>
      <c r="BED17" s="1086">
        <f t="shared" si="1232"/>
        <v>7035.6239999999998</v>
      </c>
      <c r="BEE17" s="1086">
        <f t="shared" si="1232"/>
        <v>6656.3219999999992</v>
      </c>
      <c r="BEF17" s="1086">
        <f t="shared" si="1232"/>
        <v>5380.174</v>
      </c>
      <c r="BEG17" s="1086">
        <f t="shared" si="1232"/>
        <v>6533.1719999999996</v>
      </c>
      <c r="BEH17" s="1086">
        <f t="shared" si="1232"/>
        <v>6578.9440000000004</v>
      </c>
      <c r="BEI17" s="1086">
        <f t="shared" si="1232"/>
        <v>5593.0779999999986</v>
      </c>
      <c r="BEJ17" s="1086">
        <f t="shared" si="1232"/>
        <v>9194.2199999999993</v>
      </c>
      <c r="BEK17" s="1086">
        <f t="shared" si="1232"/>
        <v>7930.96</v>
      </c>
      <c r="BEL17" s="1086">
        <f t="shared" si="1232"/>
        <v>7791.5199999999995</v>
      </c>
      <c r="BEM17" s="1086">
        <f t="shared" si="1232"/>
        <v>6869.3120000000008</v>
      </c>
      <c r="BEN17" s="1086">
        <f t="shared" si="1232"/>
        <v>7434.85</v>
      </c>
      <c r="BEO17" s="1086">
        <f t="shared" si="1232"/>
        <v>6350.1399999999994</v>
      </c>
      <c r="BEP17" s="1086">
        <f t="shared" si="1232"/>
        <v>7970.5599999999995</v>
      </c>
      <c r="BEQ17" s="1086">
        <f t="shared" si="1232"/>
        <v>7075.2599999999993</v>
      </c>
      <c r="BER17" s="1086">
        <f t="shared" si="1232"/>
        <v>6334.2000000000007</v>
      </c>
      <c r="BES17" s="1086">
        <f t="shared" si="1232"/>
        <v>6184.8959999999997</v>
      </c>
      <c r="BET17" s="1086">
        <f t="shared" si="1232"/>
        <v>6085.0400000000009</v>
      </c>
      <c r="BEU17" s="1086">
        <f t="shared" si="1232"/>
        <v>7210.4500000000007</v>
      </c>
      <c r="BEV17" s="1086">
        <f t="shared" si="1232"/>
        <v>6132.7039999999997</v>
      </c>
      <c r="BEW17" s="1086">
        <f t="shared" si="1232"/>
        <v>7176.5160000000005</v>
      </c>
      <c r="BEX17" s="1086">
        <f t="shared" si="1232"/>
        <v>6352.643</v>
      </c>
      <c r="BEY17" s="1086">
        <f t="shared" si="1232"/>
        <v>7305.9339999999984</v>
      </c>
      <c r="BEZ17" s="1086">
        <f t="shared" si="1232"/>
        <v>6980.4000000000005</v>
      </c>
      <c r="BFA17" s="1086">
        <f t="shared" si="1232"/>
        <v>6251.7919999999995</v>
      </c>
      <c r="BFB17" s="1086">
        <f t="shared" ref="BFB17" si="1233">(BFB10+(BFA13-BFB13))</f>
        <v>6898.771999999999</v>
      </c>
      <c r="BFC17" s="1086">
        <f t="shared" ref="BFC17" si="1234">(BFC10+(BFB13-BFC13))</f>
        <v>7409.7739999999985</v>
      </c>
      <c r="BFD17" s="1086">
        <f t="shared" ref="BFD17:BFW17" si="1235">(BFD10+(BFC13-BFD13))</f>
        <v>7869.4089999999715</v>
      </c>
      <c r="BFE17" s="1086">
        <f t="shared" si="1235"/>
        <v>5781.0999999999995</v>
      </c>
      <c r="BFF17" s="1086">
        <f t="shared" si="1235"/>
        <v>8147.2699999999995</v>
      </c>
      <c r="BFG17" s="1086">
        <f t="shared" si="1235"/>
        <v>6076.5599999999995</v>
      </c>
      <c r="BFH17" s="1086">
        <f t="shared" si="1235"/>
        <v>5457.9299999999994</v>
      </c>
      <c r="BFI17" s="1086">
        <f t="shared" si="1235"/>
        <v>7980.3099999999995</v>
      </c>
      <c r="BFJ17" s="1086">
        <f t="shared" si="1235"/>
        <v>5976.2899999999991</v>
      </c>
      <c r="BFK17" s="1086">
        <f t="shared" si="1235"/>
        <v>7236.5199999999995</v>
      </c>
      <c r="BFL17" s="1086">
        <f t="shared" si="1235"/>
        <v>7298.6699999999992</v>
      </c>
      <c r="BFM17" s="1086">
        <f t="shared" si="1235"/>
        <v>5838.7099999999991</v>
      </c>
      <c r="BFN17" s="1086">
        <f t="shared" si="1235"/>
        <v>7330.3099999999995</v>
      </c>
      <c r="BFO17" s="1086">
        <f t="shared" si="1235"/>
        <v>5870.3499999999995</v>
      </c>
      <c r="BFP17" s="1086">
        <f t="shared" si="1235"/>
        <v>7360.82</v>
      </c>
      <c r="BFQ17" s="1086">
        <f t="shared" si="1235"/>
        <v>5776.5599999999995</v>
      </c>
      <c r="BFR17" s="1086">
        <f t="shared" si="1235"/>
        <v>6048.5310000000272</v>
      </c>
      <c r="BFS17" s="1086">
        <f t="shared" si="1235"/>
        <v>6941.56</v>
      </c>
      <c r="BFT17" s="1086">
        <f t="shared" si="1235"/>
        <v>7876.6519999999709</v>
      </c>
      <c r="BFU17" s="1086">
        <f t="shared" si="1235"/>
        <v>7069.2769999999982</v>
      </c>
      <c r="BFV17" s="1086">
        <f t="shared" si="1235"/>
        <v>8793.17</v>
      </c>
      <c r="BFW17" s="1086">
        <f t="shared" si="1235"/>
        <v>6319.4719999999998</v>
      </c>
      <c r="BFX17" s="1086">
        <f t="shared" ref="BFX17:BGC17" si="1236">(BFX10+(BFW13-BFX13))</f>
        <v>7983.3679999999986</v>
      </c>
      <c r="BFY17" s="1086">
        <f t="shared" si="1236"/>
        <v>6373.0749999999998</v>
      </c>
      <c r="BFZ17" s="1086">
        <f t="shared" si="1236"/>
        <v>8473.2029999999977</v>
      </c>
      <c r="BGA17" s="1086">
        <f t="shared" si="1236"/>
        <v>6995.0970000000016</v>
      </c>
      <c r="BGB17" s="1086">
        <f t="shared" si="1236"/>
        <v>5888.0649999999987</v>
      </c>
      <c r="BGC17" s="1086">
        <f t="shared" si="1236"/>
        <v>8195.3499999999985</v>
      </c>
      <c r="BGD17" s="1086">
        <f t="shared" ref="BGD17:BGL17" si="1237">(BGD10+(BGC13-BGD13))</f>
        <v>8706.2469999999994</v>
      </c>
      <c r="BGE17" s="1086">
        <f t="shared" si="1237"/>
        <v>8172.3130000000001</v>
      </c>
      <c r="BGF17" s="1086">
        <f t="shared" si="1237"/>
        <v>8514.3960000000006</v>
      </c>
      <c r="BGG17" s="1086">
        <f t="shared" si="1237"/>
        <v>6666.0060000000003</v>
      </c>
      <c r="BGH17" s="1086">
        <f t="shared" si="1237"/>
        <v>4580.6560000000281</v>
      </c>
      <c r="BGI17" s="1086">
        <f t="shared" si="1237"/>
        <v>4060.8450000000012</v>
      </c>
      <c r="BGJ17" s="1086">
        <f t="shared" si="1237"/>
        <v>8080.795999999973</v>
      </c>
      <c r="BGK17" s="1086">
        <f t="shared" si="1237"/>
        <v>3246.445999999999</v>
      </c>
      <c r="BGL17" s="1086">
        <f t="shared" si="1237"/>
        <v>6975.3489999999993</v>
      </c>
      <c r="BGM17" s="1086" t="e">
        <f>(BGM10+(#REF!-BGM13))</f>
        <v>#REF!</v>
      </c>
      <c r="BGN17" s="1086" t="e">
        <f t="shared" ref="BGN17" si="1238">(BGN10+(BGM13-BGN13))</f>
        <v>#REF!</v>
      </c>
      <c r="BGO17" s="1086" t="e">
        <f t="shared" ref="BGO17" si="1239">(BGO10+(BGN13-BGO13))</f>
        <v>#REF!</v>
      </c>
      <c r="BGP17" s="1086" t="e">
        <f t="shared" ref="BGP17" si="1240">(BGP10+(BGO13-BGP13))</f>
        <v>#REF!</v>
      </c>
      <c r="BGQ17" s="1086" t="e">
        <f t="shared" ref="BGQ17" si="1241">(BGQ10+(BGP13-BGQ13))</f>
        <v>#REF!</v>
      </c>
      <c r="BGR17" s="1086" t="e">
        <f t="shared" ref="BGR17" si="1242">(BGR10+(BGQ13-BGR13))</f>
        <v>#REF!</v>
      </c>
      <c r="BGS17" s="1086" t="e">
        <f t="shared" ref="BGS17" si="1243">(BGS10+(BGR13-BGS13))</f>
        <v>#REF!</v>
      </c>
      <c r="BGT17" s="1086" t="e">
        <f t="shared" ref="BGT17" si="1244">(BGT10+(BGS13-BGT13))</f>
        <v>#REF!</v>
      </c>
      <c r="BGU17" s="1086" t="e">
        <f t="shared" ref="BGU17" si="1245">(BGU10+(BGT13-BGU13))</f>
        <v>#REF!</v>
      </c>
      <c r="BGV17" s="1086" t="e">
        <f t="shared" ref="BGV17" si="1246">(BGV10+(BGU13-BGV13))</f>
        <v>#REF!</v>
      </c>
      <c r="BGW17" s="1086" t="e">
        <f t="shared" ref="BGW17" si="1247">(BGW10+(BGV13-BGW13))</f>
        <v>#REF!</v>
      </c>
      <c r="BGX17" s="1086" t="e">
        <f t="shared" ref="BGX17" si="1248">(BGX10+(BGW13-BGX13))</f>
        <v>#REF!</v>
      </c>
      <c r="BGY17" s="1086" t="e">
        <f t="shared" ref="BGY17" si="1249">(BGY10+(BGX13-BGY13))</f>
        <v>#REF!</v>
      </c>
      <c r="BGZ17" s="1086" t="e">
        <f t="shared" ref="BGZ17" si="1250">(BGZ10+(BGY13-BGZ13))</f>
        <v>#REF!</v>
      </c>
      <c r="BHA17" s="1086" t="e">
        <f t="shared" ref="BHA17" si="1251">(BHA10+(BGZ13-BHA13))</f>
        <v>#REF!</v>
      </c>
      <c r="BHB17" s="1086" t="e">
        <f t="shared" ref="BHB17" si="1252">(BHB10+(BHA13-BHB13))</f>
        <v>#REF!</v>
      </c>
      <c r="BHC17" s="1086" t="e">
        <f t="shared" ref="BHC17" si="1253">(BHC10+(BHB13-BHC13))</f>
        <v>#REF!</v>
      </c>
      <c r="BHD17" s="1086" t="e">
        <f t="shared" ref="BHD17" si="1254">(BHD10+(BHC13-BHD13))</f>
        <v>#REF!</v>
      </c>
      <c r="BHE17" s="1086" t="e">
        <f t="shared" ref="BHE17" si="1255">(BHE10+(BHD13-BHE13))</f>
        <v>#REF!</v>
      </c>
      <c r="BHF17" s="1086" t="e">
        <f t="shared" ref="BHF17" si="1256">(BHF10+(BHE13-BHF13))</f>
        <v>#REF!</v>
      </c>
      <c r="BHG17" s="1086" t="e">
        <f t="shared" ref="BHG17" si="1257">(BHG10+(BHF13-BHG13))</f>
        <v>#REF!</v>
      </c>
      <c r="BHH17" s="1086" t="e">
        <f t="shared" ref="BHH17" si="1258">(BHH10+(BHG13-BHH13))</f>
        <v>#REF!</v>
      </c>
      <c r="BHI17" s="1086" t="e">
        <f t="shared" ref="BHI17" si="1259">(BHI10+(BHH13-BHI13))</f>
        <v>#REF!</v>
      </c>
      <c r="BHJ17" s="1086" t="e">
        <f t="shared" ref="BHJ17" si="1260">(BHJ10+(BHI13-BHJ13))</f>
        <v>#REF!</v>
      </c>
      <c r="BHK17" s="1086" t="e">
        <f t="shared" ref="BHK17" si="1261">(BHK10+(BHJ13-BHK13))</f>
        <v>#REF!</v>
      </c>
      <c r="BHL17" s="1086" t="e">
        <f t="shared" ref="BHL17" si="1262">(BHL10+(BHK13-BHL13))</f>
        <v>#REF!</v>
      </c>
      <c r="BHM17" s="1086" t="e">
        <f t="shared" ref="BHM17" si="1263">(BHM10+(BHL13-BHM13))</f>
        <v>#REF!</v>
      </c>
      <c r="BHN17" s="1086" t="e">
        <f t="shared" ref="BHN17" si="1264">(BHN10+(BHM13-BHN13))</f>
        <v>#REF!</v>
      </c>
      <c r="BHO17" s="1086" t="e">
        <f t="shared" ref="BHO17" si="1265">(BHO10+(BHN13-BHO13))</f>
        <v>#REF!</v>
      </c>
      <c r="BHP17" s="1086" t="e">
        <f t="shared" ref="BHP17" si="1266">(BHP10+(BHO13-BHP13))</f>
        <v>#REF!</v>
      </c>
      <c r="BHQ17" s="1086" t="e">
        <f t="shared" ref="BHQ17" si="1267">(BHQ10+(BHP13-BHQ13))</f>
        <v>#REF!</v>
      </c>
      <c r="BHR17" s="1086" t="e">
        <f t="shared" ref="BHR17" si="1268">(BHR10+(BHQ13-BHR13))</f>
        <v>#REF!</v>
      </c>
      <c r="BHS17" s="1086" t="e">
        <f t="shared" ref="BHS17" si="1269">(BHS10+(BHR13-BHS13))</f>
        <v>#REF!</v>
      </c>
      <c r="BHT17" s="1086" t="e">
        <f t="shared" ref="BHT17" si="1270">(BHT10+(BHS13-BHT13))</f>
        <v>#REF!</v>
      </c>
      <c r="BHU17" s="1086" t="e">
        <f t="shared" ref="BHU17" si="1271">(BHU10+(BHT13-BHU13))</f>
        <v>#REF!</v>
      </c>
    </row>
    <row r="18" spans="1:1581" x14ac:dyDescent="0.2">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6"/>
      <c r="EI18" s="4"/>
      <c r="EJ18" s="4"/>
      <c r="EK18" s="4"/>
      <c r="EL18" s="4"/>
      <c r="EM18" s="4"/>
      <c r="EN18" s="4"/>
      <c r="EO18" s="4"/>
      <c r="EP18" s="4"/>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1"/>
      <c r="AWI18" s="818"/>
      <c r="AWJ18" s="818"/>
      <c r="AWK18" s="818"/>
      <c r="AWL18" s="818"/>
      <c r="AWM18" s="818"/>
      <c r="AWN18" s="818"/>
      <c r="AWO18" s="818"/>
      <c r="AWP18" s="818"/>
      <c r="AWQ18" s="818"/>
      <c r="AWR18" s="818"/>
      <c r="AWS18" s="818"/>
      <c r="AWT18" s="818"/>
      <c r="AWU18" s="818"/>
      <c r="AWV18" s="818"/>
      <c r="AWW18" s="818"/>
      <c r="AWX18" s="818"/>
      <c r="AWY18" s="818"/>
      <c r="AWZ18" s="818"/>
      <c r="AXA18" s="818"/>
      <c r="AXB18" s="818"/>
      <c r="AXC18" s="818"/>
      <c r="AXD18" s="818"/>
      <c r="AXE18" s="818"/>
      <c r="AXF18" s="818"/>
      <c r="AXG18" s="818"/>
      <c r="AXH18" s="818"/>
      <c r="AXI18" s="818"/>
      <c r="AXJ18" s="818"/>
      <c r="AXK18" s="818"/>
      <c r="AXL18" s="818"/>
      <c r="AXM18" s="818"/>
      <c r="AXN18" s="818"/>
      <c r="AXO18" s="818"/>
      <c r="AXP18" s="818"/>
      <c r="AXQ18" s="818"/>
      <c r="AXR18" s="818"/>
      <c r="AXS18" s="818"/>
      <c r="AXT18" s="818"/>
      <c r="AXU18" s="818"/>
      <c r="AXV18" s="818"/>
      <c r="AXW18" s="818"/>
      <c r="AXX18" s="818"/>
      <c r="AXY18" s="818"/>
      <c r="AXZ18" s="818"/>
      <c r="AYA18" s="818"/>
      <c r="AYB18" s="818"/>
      <c r="AYC18" s="818"/>
      <c r="AYD18" s="818"/>
      <c r="AYE18" s="818"/>
      <c r="AYF18" s="818"/>
      <c r="AYG18" s="818"/>
      <c r="AYH18" s="818"/>
      <c r="AYI18" s="818"/>
      <c r="AYJ18" s="818"/>
      <c r="AYK18" s="818"/>
      <c r="AYL18" s="818"/>
      <c r="AYM18" s="818"/>
      <c r="AYN18" s="818"/>
      <c r="AYO18" s="818"/>
      <c r="AYP18" s="818"/>
      <c r="AYQ18" s="818"/>
    </row>
    <row r="19" spans="1:1581" x14ac:dyDescent="0.2">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6"/>
      <c r="EI19" s="4"/>
      <c r="EJ19" s="4"/>
      <c r="EK19" s="4"/>
      <c r="EL19" s="4"/>
      <c r="EM19" s="4"/>
      <c r="EN19" s="4"/>
      <c r="EO19" s="4"/>
      <c r="EP19" s="4"/>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c r="GX19" s="3"/>
      <c r="GY19" s="3"/>
      <c r="GZ19" s="3"/>
      <c r="HA19" s="3"/>
      <c r="HB19" s="3"/>
      <c r="HC19" s="3"/>
      <c r="HD19" s="3"/>
      <c r="HE19" s="3"/>
      <c r="HF19" s="3"/>
      <c r="HG19" s="3"/>
      <c r="HH19" s="3"/>
      <c r="HI19" s="3"/>
      <c r="HJ19" s="3"/>
      <c r="HK19" s="3"/>
      <c r="HL19" s="1"/>
      <c r="AWI19" s="818"/>
      <c r="AWJ19" s="818"/>
      <c r="AWK19" s="818"/>
      <c r="AWL19" s="818"/>
      <c r="AWM19" s="818"/>
      <c r="AWN19" s="818"/>
      <c r="AWO19" s="818"/>
      <c r="AWP19" s="818"/>
      <c r="AWQ19" s="818"/>
      <c r="AWR19" s="818"/>
      <c r="AWS19" s="818"/>
      <c r="AWT19" s="818"/>
      <c r="AWU19" s="818"/>
      <c r="AWV19" s="818"/>
      <c r="AWW19" s="818"/>
      <c r="AWX19" s="818"/>
      <c r="AWY19" s="818"/>
      <c r="AWZ19" s="818"/>
      <c r="AXA19" s="818"/>
      <c r="AXB19" s="818"/>
      <c r="AXC19" s="818"/>
      <c r="AXD19" s="818"/>
      <c r="AXE19" s="818"/>
      <c r="AXF19" s="818"/>
      <c r="AXG19" s="818"/>
      <c r="AXH19" s="818"/>
      <c r="AXI19" s="818"/>
      <c r="AXJ19" s="818"/>
      <c r="AXK19" s="818"/>
      <c r="AXL19" s="818"/>
      <c r="AXM19" s="818"/>
      <c r="AXN19" s="818"/>
      <c r="AXO19" s="818"/>
      <c r="AXP19" s="818"/>
      <c r="AXQ19" s="818"/>
      <c r="AXR19" s="818"/>
      <c r="AXS19" s="818"/>
      <c r="AXT19" s="818"/>
      <c r="AXU19" s="818"/>
      <c r="AXV19" s="818"/>
      <c r="AXW19" s="818"/>
      <c r="AXX19" s="818"/>
      <c r="AXY19" s="818"/>
      <c r="AXZ19" s="818"/>
      <c r="AYA19" s="818"/>
      <c r="AYB19" s="818"/>
      <c r="AYC19" s="818"/>
      <c r="AYD19" s="818"/>
      <c r="AYE19" s="818"/>
      <c r="AYF19" s="818"/>
      <c r="AYG19" s="818"/>
      <c r="AYH19" s="818"/>
      <c r="AYI19" s="818"/>
      <c r="AYJ19" s="818"/>
      <c r="AYK19" s="818"/>
      <c r="AYL19" s="818"/>
      <c r="AYM19" s="818"/>
      <c r="AYN19" s="818"/>
      <c r="AYO19" s="818"/>
      <c r="AYP19" s="818"/>
      <c r="AYQ19" s="818"/>
    </row>
    <row r="20" spans="1:1581" x14ac:dyDescent="0.2">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6"/>
      <c r="EI20" s="4"/>
      <c r="EJ20" s="4"/>
      <c r="EK20" s="4"/>
      <c r="EL20" s="4"/>
      <c r="EM20" s="4"/>
      <c r="EN20" s="4"/>
      <c r="EO20" s="4"/>
      <c r="EP20" s="4"/>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1"/>
      <c r="AWI20" s="818"/>
      <c r="AWJ20" s="818"/>
      <c r="AWK20" s="818"/>
      <c r="AWL20" s="818"/>
      <c r="AWM20" s="818"/>
      <c r="AWN20" s="818"/>
      <c r="AWO20" s="818"/>
      <c r="AWP20" s="818"/>
      <c r="AWQ20" s="818"/>
      <c r="AWR20" s="818"/>
      <c r="AWS20" s="818"/>
      <c r="AWT20" s="818"/>
      <c r="AWU20" s="818"/>
      <c r="AWV20" s="818"/>
      <c r="AWW20" s="818"/>
      <c r="AWX20" s="818"/>
      <c r="AWY20" s="818"/>
      <c r="AWZ20" s="818"/>
      <c r="AXA20" s="818"/>
      <c r="AXB20" s="818"/>
      <c r="AXC20" s="818"/>
      <c r="AXD20" s="818"/>
      <c r="AXE20" s="818"/>
      <c r="AXF20" s="818"/>
      <c r="AXG20" s="818"/>
      <c r="AXH20" s="818"/>
      <c r="AXI20" s="818"/>
      <c r="AXJ20" s="818"/>
      <c r="AXK20" s="818"/>
      <c r="AXL20" s="818"/>
      <c r="AXM20" s="818"/>
      <c r="AXN20" s="818"/>
      <c r="AXO20" s="818"/>
      <c r="AXP20" s="818"/>
      <c r="AXQ20" s="818"/>
      <c r="AXR20" s="818"/>
      <c r="AXS20" s="818"/>
      <c r="AXT20" s="818"/>
      <c r="AXU20" s="818"/>
      <c r="AXV20" s="818"/>
      <c r="AXW20" s="818"/>
      <c r="AXX20" s="818"/>
      <c r="AXY20" s="818"/>
      <c r="AXZ20" s="818"/>
      <c r="AYA20" s="818"/>
      <c r="AYB20" s="818"/>
      <c r="AYC20" s="818"/>
      <c r="AYD20" s="818"/>
      <c r="AYE20" s="818"/>
      <c r="AYF20" s="818"/>
      <c r="AYG20" s="818"/>
      <c r="AYH20" s="818"/>
      <c r="AYI20" s="818"/>
      <c r="AYJ20" s="818"/>
      <c r="AYK20" s="818"/>
      <c r="AYL20" s="818"/>
      <c r="AYM20" s="818"/>
      <c r="AYN20" s="818"/>
      <c r="AYO20" s="818"/>
      <c r="AYP20" s="818"/>
      <c r="AYQ20" s="818"/>
    </row>
    <row r="21" spans="1:1581" x14ac:dyDescent="0.2">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6"/>
      <c r="EI21" s="4"/>
      <c r="EJ21" s="4"/>
      <c r="EK21" s="4"/>
      <c r="EL21" s="4"/>
      <c r="EM21" s="4"/>
      <c r="EN21" s="4"/>
      <c r="EO21" s="4"/>
      <c r="EP21" s="4"/>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1"/>
      <c r="AWI21" s="818"/>
      <c r="AWJ21" s="818"/>
      <c r="AWK21" s="818"/>
      <c r="AWL21" s="818"/>
      <c r="AWM21" s="818"/>
      <c r="AWN21" s="818"/>
      <c r="AWO21" s="818"/>
      <c r="AWP21" s="818"/>
      <c r="AWQ21" s="818"/>
      <c r="AWR21" s="818"/>
      <c r="AWS21" s="818"/>
      <c r="AWT21" s="818"/>
      <c r="AWU21" s="818"/>
      <c r="AWV21" s="818"/>
      <c r="AWW21" s="818"/>
      <c r="AWX21" s="818"/>
      <c r="AWY21" s="818"/>
      <c r="AWZ21" s="818"/>
      <c r="AXA21" s="818"/>
      <c r="AXB21" s="818"/>
      <c r="AXC21" s="818"/>
      <c r="AXD21" s="818"/>
      <c r="AXE21" s="818"/>
      <c r="AXF21" s="818"/>
      <c r="AXG21" s="818"/>
      <c r="AXH21" s="818"/>
      <c r="AXI21" s="818"/>
      <c r="AXJ21" s="818"/>
      <c r="AXK21" s="818"/>
      <c r="AXL21" s="818"/>
      <c r="AXM21" s="818"/>
      <c r="AXN21" s="818"/>
      <c r="AXO21" s="818"/>
      <c r="AXP21" s="818"/>
      <c r="AXQ21" s="818"/>
      <c r="AXR21" s="818"/>
      <c r="AXS21" s="818"/>
      <c r="AXT21" s="818"/>
      <c r="AXU21" s="818"/>
      <c r="AXV21" s="818"/>
      <c r="AXW21" s="818"/>
      <c r="AXX21" s="818"/>
      <c r="AXY21" s="818"/>
      <c r="AXZ21" s="818"/>
      <c r="AYA21" s="818"/>
      <c r="AYB21" s="818"/>
      <c r="AYC21" s="818"/>
      <c r="AYD21" s="818"/>
      <c r="AYE21" s="818"/>
      <c r="AYF21" s="818"/>
      <c r="AYG21" s="818"/>
      <c r="AYH21" s="818"/>
      <c r="AYI21" s="818"/>
      <c r="AYJ21" s="818"/>
      <c r="AYK21" s="818"/>
      <c r="AYL21" s="818"/>
      <c r="AYM21" s="818"/>
      <c r="AYN21" s="818"/>
      <c r="AYO21" s="818"/>
      <c r="AYP21" s="818"/>
      <c r="AYQ21" s="818"/>
    </row>
    <row r="22" spans="1:1581" x14ac:dyDescent="0.2">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6"/>
      <c r="EI22" s="4"/>
      <c r="EJ22" s="4"/>
      <c r="EK22" s="4"/>
      <c r="EL22" s="4"/>
      <c r="EM22" s="4"/>
      <c r="EN22" s="4"/>
      <c r="EO22" s="4"/>
      <c r="EP22" s="4"/>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1"/>
      <c r="AWI22" s="818"/>
      <c r="AWJ22" s="818"/>
      <c r="AWK22" s="818"/>
      <c r="AWL22" s="818"/>
      <c r="AWM22" s="818"/>
      <c r="AWN22" s="818"/>
      <c r="AWO22" s="818"/>
      <c r="AWP22" s="818"/>
      <c r="AWQ22" s="818"/>
      <c r="AWR22" s="818"/>
      <c r="AWS22" s="818"/>
      <c r="AWT22" s="818"/>
      <c r="AWU22" s="818"/>
      <c r="AWV22" s="818"/>
      <c r="AWW22" s="818"/>
      <c r="AWX22" s="818"/>
      <c r="AWY22" s="818"/>
      <c r="AWZ22" s="818"/>
      <c r="AXA22" s="818"/>
      <c r="AXB22" s="818"/>
      <c r="AXC22" s="818"/>
      <c r="AXD22" s="818"/>
      <c r="AXE22" s="818"/>
      <c r="AXF22" s="818"/>
      <c r="AXG22" s="818"/>
      <c r="AXH22" s="818"/>
      <c r="AXI22" s="818"/>
      <c r="AXJ22" s="818"/>
      <c r="AXK22" s="818"/>
      <c r="AXL22" s="818"/>
      <c r="AXM22" s="818"/>
      <c r="AXN22" s="818"/>
      <c r="AXO22" s="818"/>
      <c r="AXP22" s="818"/>
      <c r="AXQ22" s="818"/>
      <c r="AXR22" s="818"/>
      <c r="AXS22" s="818"/>
      <c r="AXT22" s="818"/>
      <c r="AXU22" s="818"/>
      <c r="AXV22" s="818"/>
      <c r="AXW22" s="818"/>
      <c r="AXX22" s="818"/>
      <c r="AXY22" s="818"/>
      <c r="AXZ22" s="818"/>
      <c r="AYA22" s="818"/>
      <c r="AYB22" s="818"/>
      <c r="AYC22" s="818"/>
      <c r="AYD22" s="818"/>
      <c r="AYE22" s="818"/>
      <c r="AYF22" s="818"/>
      <c r="AYG22" s="818"/>
      <c r="AYH22" s="818"/>
      <c r="AYI22" s="818"/>
      <c r="AYJ22" s="818"/>
      <c r="AYK22" s="818"/>
      <c r="AYL22" s="818"/>
      <c r="AYM22" s="818"/>
      <c r="AYN22" s="818"/>
      <c r="AYO22" s="818"/>
      <c r="AYP22" s="818"/>
      <c r="AYQ22" s="818"/>
    </row>
    <row r="23" spans="1:1581" x14ac:dyDescent="0.2">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6"/>
      <c r="EI23" s="4"/>
      <c r="EJ23" s="4"/>
      <c r="EK23" s="4"/>
      <c r="EL23" s="4"/>
      <c r="EM23" s="4"/>
      <c r="EN23" s="4"/>
      <c r="EO23" s="4"/>
      <c r="EP23" s="4"/>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1"/>
      <c r="AWI23" s="818"/>
      <c r="AWJ23" s="818"/>
      <c r="AWK23" s="818"/>
      <c r="AWL23" s="818"/>
      <c r="AWM23" s="818"/>
      <c r="AWN23" s="818"/>
      <c r="AWO23" s="818"/>
      <c r="AWP23" s="818"/>
      <c r="AWQ23" s="818"/>
      <c r="AWR23" s="818"/>
      <c r="AWS23" s="818"/>
      <c r="AWT23" s="818"/>
      <c r="AWU23" s="818"/>
      <c r="AWV23" s="818"/>
      <c r="AWW23" s="818"/>
      <c r="AWX23" s="818"/>
      <c r="AWY23" s="818"/>
      <c r="AWZ23" s="818"/>
      <c r="AXA23" s="818"/>
      <c r="AXB23" s="818"/>
      <c r="AXC23" s="818"/>
      <c r="AXD23" s="818"/>
      <c r="AXE23" s="818"/>
      <c r="AXF23" s="818"/>
      <c r="AXG23" s="818"/>
      <c r="AXH23" s="818"/>
      <c r="AXI23" s="818"/>
      <c r="AXJ23" s="818"/>
      <c r="AXK23" s="818"/>
      <c r="AXL23" s="818"/>
      <c r="AXM23" s="818"/>
      <c r="AXN23" s="818"/>
      <c r="AXO23" s="818"/>
      <c r="AXP23" s="818"/>
      <c r="AXQ23" s="818"/>
      <c r="AXR23" s="818"/>
      <c r="AXS23" s="818"/>
      <c r="AXT23" s="818"/>
      <c r="AXU23" s="818"/>
      <c r="AXV23" s="818"/>
      <c r="AXW23" s="818"/>
      <c r="AXX23" s="818"/>
      <c r="AXY23" s="818"/>
      <c r="AXZ23" s="818"/>
      <c r="AYA23" s="818"/>
      <c r="AYB23" s="818"/>
      <c r="AYC23" s="818"/>
      <c r="AYD23" s="818"/>
      <c r="AYE23" s="818"/>
      <c r="AYF23" s="818"/>
      <c r="AYG23" s="818"/>
      <c r="AYH23" s="818"/>
      <c r="AYI23" s="818"/>
      <c r="AYJ23" s="818"/>
      <c r="AYK23" s="818"/>
      <c r="AYL23" s="818"/>
      <c r="AYM23" s="818"/>
      <c r="AYN23" s="818"/>
      <c r="AYO23" s="818"/>
      <c r="AYP23" s="818"/>
      <c r="AYQ23" s="818"/>
    </row>
    <row r="24" spans="1:1581"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6"/>
      <c r="EI24" s="4"/>
      <c r="EJ24" s="4"/>
      <c r="EK24" s="4"/>
      <c r="EL24" s="4"/>
      <c r="EM24" s="4"/>
      <c r="EN24" s="4"/>
      <c r="EO24" s="4"/>
      <c r="EP24" s="4"/>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c r="HD24" s="3"/>
      <c r="HE24" s="3"/>
      <c r="HF24" s="3"/>
      <c r="HG24" s="3"/>
      <c r="HH24" s="3"/>
      <c r="HI24" s="3"/>
      <c r="HJ24" s="3"/>
      <c r="HK24" s="3"/>
      <c r="HL24" s="1"/>
      <c r="AWI24" s="818"/>
      <c r="AWJ24" s="818"/>
      <c r="AWK24" s="818"/>
      <c r="AWL24" s="818"/>
      <c r="AWM24" s="818"/>
      <c r="AWN24" s="818"/>
      <c r="AWO24" s="818"/>
      <c r="AWP24" s="818"/>
      <c r="AWQ24" s="818"/>
      <c r="AWR24" s="818"/>
      <c r="AWS24" s="818"/>
      <c r="AWT24" s="818"/>
      <c r="AWU24" s="818"/>
      <c r="AWV24" s="818"/>
      <c r="AWW24" s="818"/>
      <c r="AWX24" s="818"/>
      <c r="AWY24" s="818"/>
      <c r="AWZ24" s="818"/>
      <c r="AXA24" s="818"/>
      <c r="AXB24" s="818"/>
      <c r="AXC24" s="818"/>
      <c r="AXD24" s="818"/>
      <c r="AXE24" s="818"/>
      <c r="AXF24" s="818"/>
      <c r="AXG24" s="818"/>
      <c r="AXH24" s="818"/>
      <c r="AXI24" s="818"/>
      <c r="AXJ24" s="818"/>
      <c r="AXK24" s="818"/>
      <c r="AXL24" s="818"/>
      <c r="AXM24" s="818"/>
      <c r="AXN24" s="818"/>
      <c r="AXO24" s="818"/>
      <c r="AXP24" s="818"/>
      <c r="AXQ24" s="818"/>
      <c r="AXR24" s="818"/>
      <c r="AXS24" s="818"/>
      <c r="AXT24" s="818"/>
      <c r="AXU24" s="818"/>
      <c r="AXV24" s="818"/>
      <c r="AXW24" s="818"/>
      <c r="AXX24" s="818"/>
      <c r="AXY24" s="818"/>
      <c r="AXZ24" s="818"/>
      <c r="AYA24" s="818"/>
      <c r="AYB24" s="818"/>
      <c r="AYC24" s="818"/>
      <c r="AYD24" s="818"/>
      <c r="AYE24" s="818"/>
      <c r="AYF24" s="818"/>
      <c r="AYG24" s="818"/>
      <c r="AYH24" s="818"/>
      <c r="AYI24" s="818"/>
      <c r="AYJ24" s="818"/>
      <c r="AYK24" s="818"/>
      <c r="AYL24" s="818"/>
      <c r="AYM24" s="818"/>
      <c r="AYN24" s="818"/>
      <c r="AYO24" s="818"/>
      <c r="AYP24" s="818"/>
      <c r="AYQ24" s="818"/>
    </row>
    <row r="25" spans="1:1581"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6"/>
      <c r="EI25" s="4"/>
      <c r="EJ25" s="4"/>
      <c r="EK25" s="4"/>
      <c r="EL25" s="4"/>
      <c r="EM25" s="4"/>
      <c r="EN25" s="4"/>
      <c r="EO25" s="4"/>
      <c r="EP25" s="4"/>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1"/>
      <c r="AWI25" s="818"/>
      <c r="AWJ25" s="818"/>
      <c r="AWK25" s="818"/>
      <c r="AWL25" s="818"/>
      <c r="AWM25" s="818"/>
      <c r="AWN25" s="818"/>
      <c r="AWO25" s="818"/>
      <c r="AWP25" s="818"/>
      <c r="AWQ25" s="818"/>
      <c r="AWR25" s="818"/>
      <c r="AWS25" s="818"/>
      <c r="AWT25" s="818"/>
      <c r="AWU25" s="818"/>
      <c r="AWV25" s="818"/>
      <c r="AWW25" s="818"/>
      <c r="AWX25" s="818"/>
      <c r="AWY25" s="818"/>
      <c r="AWZ25" s="818"/>
      <c r="AXA25" s="818"/>
      <c r="AXB25" s="818"/>
      <c r="AXC25" s="818"/>
      <c r="AXD25" s="818"/>
      <c r="AXE25" s="818"/>
      <c r="AXF25" s="818"/>
      <c r="AXG25" s="818"/>
      <c r="AXH25" s="818"/>
      <c r="AXI25" s="818"/>
      <c r="AXJ25" s="818"/>
      <c r="AXK25" s="818"/>
      <c r="AXL25" s="818"/>
      <c r="AXM25" s="818"/>
      <c r="AXN25" s="818"/>
      <c r="AXO25" s="818"/>
      <c r="AXP25" s="818"/>
      <c r="AXQ25" s="818"/>
      <c r="AXR25" s="818"/>
      <c r="AXS25" s="818"/>
      <c r="AXT25" s="818"/>
      <c r="AXU25" s="818"/>
      <c r="AXV25" s="818"/>
      <c r="AXW25" s="818"/>
      <c r="AXX25" s="818"/>
      <c r="AXY25" s="818"/>
      <c r="AXZ25" s="818"/>
      <c r="AYA25" s="818"/>
      <c r="AYB25" s="818"/>
      <c r="AYC25" s="818"/>
      <c r="AYD25" s="818"/>
      <c r="AYE25" s="818"/>
      <c r="AYF25" s="818"/>
      <c r="AYG25" s="818"/>
      <c r="AYH25" s="818"/>
      <c r="AYI25" s="818"/>
      <c r="AYJ25" s="818"/>
      <c r="AYK25" s="818"/>
      <c r="AYL25" s="818"/>
      <c r="AYM25" s="818"/>
      <c r="AYN25" s="818"/>
      <c r="AYO25" s="818"/>
      <c r="AYP25" s="818"/>
      <c r="AYQ25" s="818"/>
    </row>
    <row r="26" spans="1:1581" x14ac:dyDescent="0.2">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6"/>
      <c r="EI26" s="4"/>
      <c r="EJ26" s="4"/>
      <c r="EK26" s="4"/>
      <c r="EL26" s="4"/>
      <c r="EM26" s="4"/>
      <c r="EN26" s="4"/>
      <c r="EO26" s="4"/>
      <c r="EP26" s="4"/>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1"/>
      <c r="AWI26" s="818"/>
      <c r="AWJ26" s="818"/>
      <c r="AWK26" s="818"/>
      <c r="AWL26" s="818"/>
      <c r="AWM26" s="818"/>
      <c r="AWN26" s="818"/>
      <c r="AWO26" s="818"/>
      <c r="AWP26" s="818"/>
      <c r="AWQ26" s="818"/>
      <c r="AWR26" s="818"/>
      <c r="AWS26" s="818"/>
      <c r="AWT26" s="818"/>
      <c r="AWU26" s="818"/>
      <c r="AWV26" s="818"/>
      <c r="AWW26" s="818"/>
      <c r="AWX26" s="818"/>
      <c r="AWY26" s="818"/>
      <c r="AWZ26" s="818"/>
      <c r="AXA26" s="818"/>
      <c r="AXB26" s="818"/>
      <c r="AXC26" s="818"/>
      <c r="AXD26" s="818"/>
      <c r="AXE26" s="818"/>
      <c r="AXF26" s="818"/>
      <c r="AXG26" s="818"/>
      <c r="AXH26" s="818"/>
      <c r="AXI26" s="818"/>
      <c r="AXJ26" s="818"/>
      <c r="AXK26" s="818"/>
      <c r="AXL26" s="818"/>
      <c r="AXM26" s="818"/>
      <c r="AXN26" s="818"/>
      <c r="AXO26" s="818"/>
      <c r="AXP26" s="818"/>
      <c r="AXQ26" s="818"/>
      <c r="AXR26" s="818"/>
      <c r="AXS26" s="818"/>
      <c r="AXT26" s="818"/>
      <c r="AXU26" s="818"/>
      <c r="AXV26" s="818"/>
      <c r="AXW26" s="818"/>
      <c r="AXX26" s="818"/>
      <c r="AXY26" s="818"/>
      <c r="AXZ26" s="818"/>
      <c r="AYA26" s="818"/>
      <c r="AYB26" s="818"/>
      <c r="AYC26" s="818"/>
      <c r="AYD26" s="818"/>
      <c r="AYE26" s="818"/>
      <c r="AYF26" s="818"/>
      <c r="AYG26" s="818"/>
      <c r="AYH26" s="818"/>
      <c r="AYI26" s="818"/>
      <c r="AYJ26" s="818"/>
      <c r="AYK26" s="818"/>
      <c r="AYL26" s="818"/>
      <c r="AYM26" s="818"/>
      <c r="AYN26" s="818"/>
      <c r="AYO26" s="818"/>
      <c r="AYP26" s="818"/>
      <c r="AYQ26" s="818"/>
    </row>
    <row r="27" spans="1:1581"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6"/>
      <c r="EI27" s="4"/>
      <c r="EJ27" s="4"/>
      <c r="EK27" s="4"/>
      <c r="EL27" s="4"/>
      <c r="EM27" s="4"/>
      <c r="EN27" s="4"/>
      <c r="EO27" s="4"/>
      <c r="EP27" s="4"/>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1"/>
      <c r="AWI27" s="818"/>
      <c r="AWJ27" s="818"/>
      <c r="AWK27" s="818"/>
      <c r="AWL27" s="818"/>
      <c r="AWM27" s="818"/>
      <c r="AWN27" s="818"/>
      <c r="AWO27" s="818"/>
      <c r="AWP27" s="818"/>
      <c r="AWQ27" s="818"/>
      <c r="AWR27" s="818"/>
      <c r="AWS27" s="818"/>
      <c r="AWT27" s="818"/>
      <c r="AWU27" s="818"/>
      <c r="AWV27" s="818"/>
      <c r="AWW27" s="818"/>
      <c r="AWX27" s="818"/>
      <c r="AWY27" s="818"/>
      <c r="AWZ27" s="818"/>
      <c r="AXA27" s="818"/>
      <c r="AXB27" s="818"/>
      <c r="AXC27" s="818"/>
      <c r="AXD27" s="818"/>
      <c r="AXE27" s="818"/>
      <c r="AXF27" s="818"/>
      <c r="AXG27" s="818"/>
      <c r="AXH27" s="818"/>
      <c r="AXI27" s="818"/>
      <c r="AXJ27" s="818"/>
      <c r="AXK27" s="818"/>
      <c r="AXL27" s="818"/>
      <c r="AXM27" s="818"/>
      <c r="AXN27" s="818"/>
      <c r="AXO27" s="818"/>
      <c r="AXP27" s="818"/>
      <c r="AXQ27" s="818"/>
      <c r="AXR27" s="818"/>
      <c r="AXS27" s="818"/>
      <c r="AXT27" s="818"/>
      <c r="AXU27" s="818"/>
      <c r="AXV27" s="818"/>
      <c r="AXW27" s="818"/>
      <c r="AXX27" s="818"/>
      <c r="AXY27" s="818"/>
      <c r="AXZ27" s="818"/>
      <c r="AYA27" s="818"/>
      <c r="AYB27" s="818"/>
      <c r="AYC27" s="818"/>
      <c r="AYD27" s="818"/>
      <c r="AYE27" s="818"/>
      <c r="AYF27" s="818"/>
      <c r="AYG27" s="818"/>
      <c r="AYH27" s="818"/>
      <c r="AYI27" s="818"/>
      <c r="AYJ27" s="818"/>
      <c r="AYK27" s="818"/>
      <c r="AYL27" s="818"/>
      <c r="AYM27" s="818"/>
      <c r="AYN27" s="818"/>
      <c r="AYO27" s="818"/>
      <c r="AYP27" s="818"/>
      <c r="AYQ27" s="818"/>
    </row>
    <row r="28" spans="1:1581"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6"/>
      <c r="EI28" s="4"/>
      <c r="EJ28" s="4"/>
      <c r="EK28" s="4"/>
      <c r="EL28" s="4"/>
      <c r="EM28" s="4"/>
      <c r="EN28" s="4"/>
      <c r="EO28" s="4"/>
      <c r="EP28" s="4"/>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1"/>
      <c r="AWI28" s="818"/>
      <c r="AWJ28" s="818"/>
      <c r="AWK28" s="818"/>
      <c r="AWL28" s="818"/>
      <c r="AWM28" s="818"/>
      <c r="AWN28" s="818"/>
      <c r="AWO28" s="818"/>
      <c r="AWP28" s="818"/>
      <c r="AWQ28" s="818"/>
      <c r="AWR28" s="818"/>
      <c r="AWS28" s="818"/>
      <c r="AWT28" s="818"/>
      <c r="AWU28" s="818"/>
      <c r="AWV28" s="818"/>
      <c r="AWW28" s="818"/>
      <c r="AWX28" s="818"/>
      <c r="AWY28" s="818"/>
      <c r="AWZ28" s="818"/>
      <c r="AXA28" s="818"/>
      <c r="AXB28" s="818"/>
      <c r="AXC28" s="818"/>
      <c r="AXD28" s="818"/>
      <c r="AXE28" s="818"/>
      <c r="AXF28" s="818"/>
      <c r="AXG28" s="818"/>
      <c r="AXH28" s="818"/>
      <c r="AXI28" s="818"/>
      <c r="AXJ28" s="818"/>
      <c r="AXK28" s="818"/>
      <c r="AXL28" s="818"/>
      <c r="AXM28" s="818"/>
      <c r="AXN28" s="818"/>
      <c r="AXO28" s="818"/>
      <c r="AXP28" s="818"/>
      <c r="AXQ28" s="818"/>
      <c r="AXR28" s="818"/>
      <c r="AXS28" s="818"/>
      <c r="AXT28" s="818"/>
      <c r="AXU28" s="818"/>
      <c r="AXV28" s="818"/>
      <c r="AXW28" s="818"/>
      <c r="AXX28" s="818"/>
      <c r="AXY28" s="818"/>
      <c r="AXZ28" s="818"/>
      <c r="AYA28" s="818"/>
      <c r="AYB28" s="818"/>
      <c r="AYC28" s="818"/>
      <c r="AYD28" s="818"/>
      <c r="AYE28" s="818"/>
      <c r="AYF28" s="818"/>
      <c r="AYG28" s="818"/>
      <c r="AYH28" s="818"/>
      <c r="AYI28" s="818"/>
      <c r="AYJ28" s="818"/>
      <c r="AYK28" s="818"/>
      <c r="AYL28" s="818"/>
      <c r="AYM28" s="818"/>
      <c r="AYN28" s="818"/>
      <c r="AYO28" s="818"/>
      <c r="AYP28" s="818"/>
      <c r="AYQ28" s="818"/>
    </row>
    <row r="29" spans="1:1581"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3"/>
      <c r="EI29" s="4"/>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1"/>
      <c r="AWI29" s="818"/>
      <c r="AWJ29" s="818"/>
      <c r="AWK29" s="818"/>
      <c r="AWL29" s="818"/>
      <c r="AWM29" s="818"/>
      <c r="AWN29" s="818"/>
      <c r="AWO29" s="818"/>
      <c r="AWP29" s="818"/>
      <c r="AWQ29" s="818"/>
      <c r="AWR29" s="818"/>
      <c r="AWS29" s="818"/>
      <c r="AWT29" s="818"/>
      <c r="AWU29" s="818"/>
      <c r="AWV29" s="818"/>
      <c r="AWW29" s="818"/>
      <c r="AWX29" s="818"/>
      <c r="AWY29" s="818"/>
      <c r="AWZ29" s="818"/>
      <c r="AXA29" s="818"/>
      <c r="AXB29" s="818"/>
      <c r="AXC29" s="818"/>
      <c r="AXD29" s="818"/>
      <c r="AXE29" s="818"/>
      <c r="AXF29" s="818"/>
      <c r="AXG29" s="818"/>
      <c r="AXH29" s="818"/>
      <c r="AXI29" s="818"/>
      <c r="AXJ29" s="818"/>
      <c r="AXK29" s="818"/>
      <c r="AXL29" s="818"/>
      <c r="AXM29" s="818"/>
      <c r="AXN29" s="818"/>
      <c r="AXO29" s="818"/>
      <c r="AXP29" s="818"/>
      <c r="AXQ29" s="818"/>
      <c r="AXR29" s="818"/>
      <c r="AXS29" s="818"/>
      <c r="AXT29" s="818"/>
      <c r="AXU29" s="818"/>
      <c r="AXV29" s="818"/>
      <c r="AXW29" s="818"/>
      <c r="AXX29" s="818"/>
      <c r="AXY29" s="818"/>
      <c r="AXZ29" s="818"/>
      <c r="AYA29" s="818"/>
      <c r="AYB29" s="818"/>
      <c r="AYC29" s="818"/>
      <c r="AYD29" s="818"/>
      <c r="AYE29" s="818"/>
      <c r="AYF29" s="818"/>
      <c r="AYG29" s="818"/>
      <c r="AYH29" s="818"/>
      <c r="AYI29" s="818"/>
      <c r="AYJ29" s="818"/>
      <c r="AYK29" s="818"/>
      <c r="AYL29" s="818"/>
      <c r="AYM29" s="818"/>
      <c r="AYN29" s="818"/>
      <c r="AYO29" s="818"/>
      <c r="AYP29" s="818"/>
      <c r="AYQ29" s="818"/>
    </row>
    <row r="30" spans="1:1581"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2"/>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c r="GH30" s="3"/>
      <c r="GI30" s="3"/>
      <c r="GJ30" s="3"/>
      <c r="GK30" s="3"/>
      <c r="GL30" s="3"/>
      <c r="GM30" s="3"/>
      <c r="GN30" s="3"/>
      <c r="GO30" s="3"/>
      <c r="GP30" s="3"/>
      <c r="GQ30" s="3"/>
      <c r="GR30" s="3"/>
      <c r="GS30" s="3"/>
      <c r="GT30" s="3"/>
      <c r="GU30" s="3"/>
      <c r="GV30" s="3"/>
      <c r="GW30" s="3"/>
      <c r="GX30" s="3"/>
      <c r="GY30" s="3"/>
      <c r="GZ30" s="3"/>
      <c r="HA30" s="3"/>
      <c r="HB30" s="3"/>
      <c r="HC30" s="3"/>
      <c r="HD30" s="3"/>
      <c r="HE30" s="3"/>
      <c r="HF30" s="3"/>
      <c r="HG30" s="3"/>
      <c r="HH30" s="3"/>
      <c r="HI30" s="3"/>
      <c r="HJ30" s="3"/>
      <c r="HK30" s="3"/>
      <c r="HL30" s="1"/>
      <c r="AWI30" s="818"/>
      <c r="AWJ30" s="818"/>
      <c r="AWK30" s="818"/>
      <c r="AWL30" s="818"/>
      <c r="AWM30" s="818"/>
      <c r="AWN30" s="818"/>
      <c r="AWO30" s="818"/>
      <c r="AWP30" s="818"/>
      <c r="AWQ30" s="818"/>
      <c r="AWR30" s="818"/>
      <c r="AWS30" s="818"/>
      <c r="AWT30" s="818"/>
      <c r="AWU30" s="818"/>
      <c r="AWV30" s="818"/>
      <c r="AWW30" s="818"/>
      <c r="AWX30" s="818"/>
      <c r="AWY30" s="818"/>
      <c r="AWZ30" s="818"/>
      <c r="AXA30" s="818"/>
      <c r="AXB30" s="818"/>
      <c r="AXC30" s="818"/>
      <c r="AXD30" s="818"/>
      <c r="AXE30" s="818"/>
      <c r="AXF30" s="818"/>
      <c r="AXG30" s="818"/>
      <c r="AXH30" s="818"/>
      <c r="AXI30" s="818"/>
      <c r="AXJ30" s="818"/>
      <c r="AXK30" s="818"/>
      <c r="AXL30" s="818"/>
      <c r="AXM30" s="818"/>
      <c r="AXN30" s="818"/>
      <c r="AXO30" s="818"/>
      <c r="AXP30" s="818"/>
      <c r="AXQ30" s="818"/>
      <c r="AXR30" s="818"/>
      <c r="AXS30" s="818"/>
      <c r="AXT30" s="818"/>
      <c r="AXU30" s="818"/>
      <c r="AXV30" s="818"/>
      <c r="AXW30" s="818"/>
      <c r="AXX30" s="818"/>
      <c r="AXY30" s="818"/>
      <c r="AXZ30" s="818"/>
      <c r="AYA30" s="818"/>
      <c r="AYB30" s="818"/>
      <c r="AYC30" s="818"/>
      <c r="AYD30" s="818"/>
      <c r="AYE30" s="818"/>
      <c r="AYF30" s="818"/>
      <c r="AYG30" s="818"/>
      <c r="AYH30" s="818"/>
      <c r="AYI30" s="818"/>
      <c r="AYJ30" s="818"/>
      <c r="AYK30" s="818"/>
      <c r="AYL30" s="818"/>
      <c r="AYM30" s="818"/>
      <c r="AYN30" s="818"/>
      <c r="AYO30" s="818"/>
      <c r="AYP30" s="818"/>
      <c r="AYQ30" s="818"/>
    </row>
    <row r="31" spans="1:1581"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3"/>
      <c r="EI31" s="5"/>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c r="GA31" s="3"/>
      <c r="GB31" s="3"/>
      <c r="GC31" s="3"/>
      <c r="GD31" s="3"/>
      <c r="GE31" s="3"/>
      <c r="GF31" s="3"/>
      <c r="GG31" s="3"/>
      <c r="GH31" s="3"/>
      <c r="GI31" s="3"/>
      <c r="GJ31" s="3"/>
      <c r="GK31" s="3"/>
      <c r="GL31" s="3"/>
      <c r="GM31" s="3"/>
      <c r="GN31" s="3"/>
      <c r="GO31" s="3"/>
      <c r="GP31" s="3"/>
      <c r="GQ31" s="3"/>
      <c r="GR31" s="3"/>
      <c r="GS31" s="3"/>
      <c r="GT31" s="3"/>
      <c r="GU31" s="3"/>
      <c r="GV31" s="3"/>
      <c r="GW31" s="3"/>
      <c r="GX31" s="3"/>
      <c r="GY31" s="3"/>
      <c r="GZ31" s="3"/>
      <c r="HA31" s="3"/>
      <c r="HB31" s="3"/>
      <c r="HC31" s="3"/>
      <c r="HD31" s="3"/>
      <c r="HE31" s="3"/>
      <c r="HF31" s="3"/>
      <c r="HG31" s="3"/>
      <c r="HH31" s="3"/>
      <c r="HI31" s="3"/>
      <c r="HJ31" s="3"/>
      <c r="HK31" s="3"/>
      <c r="HL31" s="1"/>
      <c r="AWI31" s="818"/>
      <c r="AWJ31" s="818"/>
      <c r="AWK31" s="818"/>
      <c r="AWL31" s="818"/>
      <c r="AWM31" s="818"/>
      <c r="AWN31" s="818"/>
      <c r="AWO31" s="818"/>
      <c r="AWP31" s="818"/>
      <c r="AWQ31" s="818"/>
      <c r="AWR31" s="818"/>
      <c r="AWS31" s="818"/>
      <c r="AWT31" s="818"/>
      <c r="AWU31" s="818"/>
      <c r="AWV31" s="818"/>
      <c r="AWW31" s="818"/>
      <c r="AWX31" s="818"/>
      <c r="AWY31" s="818"/>
      <c r="AWZ31" s="818"/>
      <c r="AXA31" s="818"/>
      <c r="AXB31" s="818"/>
      <c r="AXC31" s="818"/>
      <c r="AXD31" s="818"/>
      <c r="AXE31" s="818"/>
      <c r="AXF31" s="818"/>
      <c r="AXG31" s="818"/>
      <c r="AXH31" s="818"/>
      <c r="AXI31" s="818"/>
      <c r="AXJ31" s="818"/>
      <c r="AXK31" s="818"/>
      <c r="AXL31" s="818"/>
      <c r="AXM31" s="818"/>
      <c r="AXN31" s="818"/>
      <c r="AXO31" s="818"/>
      <c r="AXP31" s="818"/>
      <c r="AXQ31" s="818"/>
      <c r="AXR31" s="818"/>
      <c r="AXS31" s="818"/>
      <c r="AXT31" s="818"/>
      <c r="AXU31" s="818"/>
      <c r="AXV31" s="818"/>
      <c r="AXW31" s="818"/>
      <c r="AXX31" s="818"/>
      <c r="AXY31" s="818"/>
      <c r="AXZ31" s="818"/>
      <c r="AYA31" s="818"/>
      <c r="AYB31" s="818"/>
      <c r="AYC31" s="818"/>
      <c r="AYD31" s="818"/>
      <c r="AYE31" s="818"/>
      <c r="AYF31" s="818"/>
      <c r="AYG31" s="818"/>
      <c r="AYH31" s="818"/>
      <c r="AYI31" s="818"/>
      <c r="AYJ31" s="818"/>
      <c r="AYK31" s="818"/>
      <c r="AYL31" s="818"/>
      <c r="AYM31" s="818"/>
      <c r="AYN31" s="818"/>
      <c r="AYO31" s="818"/>
      <c r="AYP31" s="818"/>
      <c r="AYQ31" s="818"/>
    </row>
    <row r="32" spans="1:1581"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3"/>
      <c r="EI32" s="5"/>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c r="GH32" s="3"/>
      <c r="GI32" s="3"/>
      <c r="GJ32" s="3"/>
      <c r="GK32" s="3"/>
      <c r="GL32" s="3"/>
      <c r="GM32" s="3"/>
      <c r="GN32" s="3"/>
      <c r="GO32" s="3"/>
      <c r="GP32" s="3"/>
      <c r="GQ32" s="3"/>
      <c r="GR32" s="3"/>
      <c r="GS32" s="3"/>
      <c r="GT32" s="3"/>
      <c r="GU32" s="3"/>
      <c r="GV32" s="3"/>
      <c r="GW32" s="3"/>
      <c r="GX32" s="3"/>
      <c r="GY32" s="3"/>
      <c r="GZ32" s="3"/>
      <c r="HA32" s="3"/>
      <c r="HB32" s="3"/>
      <c r="HC32" s="3"/>
      <c r="HD32" s="3"/>
      <c r="HE32" s="3"/>
      <c r="HF32" s="3"/>
      <c r="HG32" s="3"/>
      <c r="HH32" s="3"/>
      <c r="HI32" s="3"/>
      <c r="HJ32" s="3"/>
      <c r="HK32" s="3"/>
      <c r="HL32" s="1"/>
      <c r="AWI32" s="818"/>
      <c r="AWJ32" s="818"/>
      <c r="AWK32" s="818"/>
      <c r="AWL32" s="818"/>
      <c r="AWM32" s="818"/>
      <c r="AWN32" s="818"/>
      <c r="AWO32" s="818"/>
      <c r="AWP32" s="818"/>
      <c r="AWQ32" s="818"/>
      <c r="AWR32" s="818"/>
      <c r="AWS32" s="818"/>
      <c r="AWT32" s="818"/>
      <c r="AWU32" s="818"/>
      <c r="AWV32" s="818"/>
      <c r="AWW32" s="818"/>
      <c r="AWX32" s="818"/>
      <c r="AWY32" s="818"/>
      <c r="AWZ32" s="818"/>
      <c r="AXA32" s="818"/>
      <c r="AXB32" s="818"/>
      <c r="AXC32" s="818"/>
      <c r="AXD32" s="818"/>
      <c r="AXE32" s="818"/>
      <c r="AXF32" s="818"/>
      <c r="AXG32" s="818"/>
      <c r="AXH32" s="818"/>
      <c r="AXI32" s="818"/>
      <c r="AXJ32" s="818"/>
      <c r="AXK32" s="818"/>
      <c r="AXL32" s="818"/>
      <c r="AXM32" s="818"/>
      <c r="AXN32" s="818"/>
      <c r="AXO32" s="818"/>
      <c r="AXP32" s="818"/>
      <c r="AXQ32" s="818"/>
      <c r="AXR32" s="818"/>
      <c r="AXS32" s="818"/>
      <c r="AXT32" s="818"/>
      <c r="AXU32" s="818"/>
      <c r="AXV32" s="818"/>
      <c r="AXW32" s="818"/>
      <c r="AXX32" s="818"/>
      <c r="AXY32" s="818"/>
      <c r="AXZ32" s="818"/>
      <c r="AYA32" s="818"/>
      <c r="AYB32" s="818"/>
      <c r="AYC32" s="818"/>
      <c r="AYD32" s="818"/>
      <c r="AYE32" s="818"/>
      <c r="AYF32" s="818"/>
      <c r="AYG32" s="818"/>
      <c r="AYH32" s="818"/>
      <c r="AYI32" s="818"/>
      <c r="AYJ32" s="818"/>
      <c r="AYK32" s="818"/>
      <c r="AYL32" s="818"/>
      <c r="AYM32" s="818"/>
      <c r="AYN32" s="818"/>
      <c r="AYO32" s="818"/>
      <c r="AYP32" s="818"/>
      <c r="AYQ32" s="818"/>
    </row>
    <row r="33" spans="5:220 1283:1343" x14ac:dyDescent="0.2">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3"/>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AWI33" s="818"/>
      <c r="AWJ33" s="818"/>
      <c r="AWK33" s="818"/>
      <c r="AWL33" s="818"/>
      <c r="AWM33" s="818"/>
      <c r="AWN33" s="818"/>
      <c r="AWO33" s="818"/>
      <c r="AWP33" s="818"/>
      <c r="AWQ33" s="818"/>
      <c r="AWR33" s="818"/>
      <c r="AWS33" s="818"/>
      <c r="AWT33" s="818"/>
      <c r="AWU33" s="818"/>
      <c r="AWV33" s="818"/>
      <c r="AWW33" s="818"/>
      <c r="AWX33" s="818"/>
      <c r="AWY33" s="818"/>
      <c r="AWZ33" s="818"/>
      <c r="AXA33" s="818"/>
      <c r="AXB33" s="818"/>
      <c r="AXC33" s="818"/>
      <c r="AXD33" s="818"/>
      <c r="AXE33" s="818"/>
      <c r="AXF33" s="818"/>
      <c r="AXG33" s="818"/>
      <c r="AXH33" s="818"/>
      <c r="AXI33" s="818"/>
      <c r="AXJ33" s="818"/>
      <c r="AXK33" s="818"/>
      <c r="AXL33" s="818"/>
      <c r="AXM33" s="818"/>
      <c r="AXN33" s="818"/>
      <c r="AXO33" s="818"/>
      <c r="AXP33" s="818"/>
      <c r="AXQ33" s="818"/>
      <c r="AXR33" s="818"/>
      <c r="AXS33" s="818"/>
      <c r="AXT33" s="818"/>
      <c r="AXU33" s="818"/>
      <c r="AXV33" s="818"/>
      <c r="AXW33" s="818"/>
      <c r="AXX33" s="818"/>
      <c r="AXY33" s="818"/>
      <c r="AXZ33" s="818"/>
      <c r="AYA33" s="818"/>
      <c r="AYB33" s="818"/>
      <c r="AYC33" s="818"/>
      <c r="AYD33" s="818"/>
      <c r="AYE33" s="818"/>
      <c r="AYF33" s="818"/>
      <c r="AYG33" s="818"/>
      <c r="AYH33" s="818"/>
      <c r="AYI33" s="818"/>
      <c r="AYJ33" s="818"/>
      <c r="AYK33" s="818"/>
      <c r="AYL33" s="818"/>
      <c r="AYM33" s="818"/>
      <c r="AYN33" s="818"/>
      <c r="AYO33" s="818"/>
      <c r="AYP33" s="818"/>
      <c r="AYQ33" s="818"/>
    </row>
    <row r="34" spans="5:220 1283:1343" x14ac:dyDescent="0.2">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AWI34" s="818"/>
      <c r="AWJ34" s="818"/>
      <c r="AWK34" s="818"/>
      <c r="AWL34" s="818"/>
      <c r="AWM34" s="818"/>
      <c r="AWN34" s="818"/>
      <c r="AWO34" s="818"/>
      <c r="AWP34" s="818"/>
      <c r="AWQ34" s="818"/>
      <c r="AWR34" s="818"/>
      <c r="AWS34" s="818"/>
      <c r="AWT34" s="818"/>
      <c r="AWU34" s="818"/>
      <c r="AWV34" s="818"/>
      <c r="AWW34" s="818"/>
      <c r="AWX34" s="818"/>
      <c r="AWY34" s="818"/>
      <c r="AWZ34" s="818"/>
      <c r="AXA34" s="818"/>
      <c r="AXB34" s="818"/>
      <c r="AXC34" s="818"/>
      <c r="AXD34" s="818"/>
      <c r="AXE34" s="818"/>
      <c r="AXF34" s="818"/>
      <c r="AXG34" s="818"/>
      <c r="AXH34" s="818"/>
      <c r="AXI34" s="818"/>
      <c r="AXJ34" s="818"/>
      <c r="AXK34" s="818"/>
      <c r="AXL34" s="818"/>
      <c r="AXM34" s="818"/>
      <c r="AXN34" s="818"/>
      <c r="AXO34" s="818"/>
      <c r="AXP34" s="818"/>
      <c r="AXQ34" s="818"/>
      <c r="AXR34" s="818"/>
      <c r="AXS34" s="818"/>
      <c r="AXT34" s="818"/>
      <c r="AXU34" s="818"/>
      <c r="AXV34" s="818"/>
      <c r="AXW34" s="818"/>
      <c r="AXX34" s="818"/>
      <c r="AXY34" s="818"/>
      <c r="AXZ34" s="818"/>
      <c r="AYA34" s="818"/>
      <c r="AYB34" s="818"/>
      <c r="AYC34" s="818"/>
      <c r="AYD34" s="818"/>
      <c r="AYE34" s="818"/>
      <c r="AYF34" s="818"/>
      <c r="AYG34" s="818"/>
      <c r="AYH34" s="818"/>
      <c r="AYI34" s="818"/>
      <c r="AYJ34" s="818"/>
      <c r="AYK34" s="818"/>
      <c r="AYL34" s="818"/>
      <c r="AYM34" s="818"/>
      <c r="AYN34" s="818"/>
      <c r="AYO34" s="818"/>
      <c r="AYP34" s="818"/>
      <c r="AYQ34" s="818"/>
    </row>
    <row r="35" spans="5:220 1283:1343" x14ac:dyDescent="0.2">
      <c r="AWI35" s="818"/>
      <c r="AWJ35" s="818"/>
      <c r="AWK35" s="818"/>
      <c r="AWL35" s="818"/>
      <c r="AWM35" s="818"/>
      <c r="AWN35" s="818"/>
      <c r="AWO35" s="818"/>
      <c r="AWP35" s="818"/>
      <c r="AWQ35" s="818"/>
      <c r="AWR35" s="818"/>
      <c r="AWS35" s="818"/>
      <c r="AWT35" s="818"/>
      <c r="AWU35" s="818"/>
      <c r="AWV35" s="818"/>
      <c r="AWW35" s="818"/>
      <c r="AWX35" s="818"/>
      <c r="AWY35" s="818"/>
      <c r="AWZ35" s="818"/>
      <c r="AXA35" s="818"/>
      <c r="AXB35" s="818"/>
      <c r="AXC35" s="818"/>
      <c r="AXD35" s="818"/>
      <c r="AXE35" s="818"/>
      <c r="AXF35" s="818"/>
      <c r="AXG35" s="818"/>
      <c r="AXH35" s="818"/>
      <c r="AXI35" s="818"/>
      <c r="AXJ35" s="818"/>
      <c r="AXK35" s="818"/>
      <c r="AXL35" s="818"/>
      <c r="AXM35" s="818"/>
      <c r="AXN35" s="818"/>
      <c r="AXO35" s="818"/>
      <c r="AXP35" s="818"/>
      <c r="AXQ35" s="818"/>
      <c r="AXR35" s="818"/>
      <c r="AXS35" s="818"/>
      <c r="AXT35" s="818"/>
      <c r="AXU35" s="818"/>
      <c r="AXV35" s="818"/>
      <c r="AXW35" s="818"/>
      <c r="AXX35" s="818"/>
      <c r="AXY35" s="818"/>
      <c r="AXZ35" s="818"/>
      <c r="AYA35" s="818"/>
      <c r="AYB35" s="818"/>
      <c r="AYC35" s="818"/>
      <c r="AYD35" s="818"/>
      <c r="AYE35" s="818"/>
      <c r="AYF35" s="818"/>
      <c r="AYG35" s="818"/>
      <c r="AYH35" s="818"/>
      <c r="AYI35" s="818"/>
      <c r="AYJ35" s="818"/>
      <c r="AYK35" s="818"/>
      <c r="AYL35" s="818"/>
      <c r="AYM35" s="818"/>
      <c r="AYN35" s="818"/>
      <c r="AYO35" s="818"/>
      <c r="AYP35" s="818"/>
      <c r="AYQ35" s="818"/>
    </row>
    <row r="36" spans="5:220 1283:1343" x14ac:dyDescent="0.2">
      <c r="AWI36" s="818"/>
      <c r="AWJ36" s="818"/>
      <c r="AWK36" s="818"/>
      <c r="AWL36" s="818"/>
      <c r="AWM36" s="818"/>
      <c r="AWN36" s="818"/>
      <c r="AWO36" s="818"/>
      <c r="AWP36" s="818"/>
      <c r="AWQ36" s="818"/>
      <c r="AWR36" s="818"/>
      <c r="AWS36" s="818"/>
      <c r="AWT36" s="818"/>
      <c r="AWU36" s="818"/>
      <c r="AWV36" s="818"/>
      <c r="AWW36" s="818"/>
      <c r="AWX36" s="818"/>
      <c r="AWY36" s="818"/>
      <c r="AWZ36" s="818"/>
      <c r="AXA36" s="818"/>
      <c r="AXB36" s="818"/>
      <c r="AXC36" s="818"/>
      <c r="AXD36" s="818"/>
      <c r="AXE36" s="818"/>
      <c r="AXF36" s="818"/>
      <c r="AXG36" s="818"/>
      <c r="AXH36" s="818"/>
      <c r="AXI36" s="818"/>
      <c r="AXJ36" s="818"/>
      <c r="AXK36" s="818"/>
      <c r="AXL36" s="818"/>
      <c r="AXM36" s="818"/>
      <c r="AXN36" s="818"/>
      <c r="AXO36" s="818"/>
      <c r="AXP36" s="818"/>
      <c r="AXQ36" s="818"/>
      <c r="AXR36" s="818"/>
      <c r="AXS36" s="818"/>
      <c r="AXT36" s="818"/>
      <c r="AXU36" s="818"/>
      <c r="AXV36" s="818"/>
      <c r="AXW36" s="818"/>
      <c r="AXX36" s="818"/>
      <c r="AXY36" s="818"/>
      <c r="AXZ36" s="818"/>
      <c r="AYA36" s="818"/>
      <c r="AYB36" s="818"/>
      <c r="AYC36" s="818"/>
      <c r="AYD36" s="818"/>
      <c r="AYE36" s="818"/>
      <c r="AYF36" s="818"/>
      <c r="AYG36" s="818"/>
      <c r="AYH36" s="818"/>
      <c r="AYI36" s="818"/>
      <c r="AYJ36" s="818"/>
      <c r="AYK36" s="818"/>
      <c r="AYL36" s="818"/>
      <c r="AYM36" s="818"/>
      <c r="AYN36" s="818"/>
      <c r="AYO36" s="818"/>
      <c r="AYP36" s="818"/>
      <c r="AYQ36" s="818"/>
    </row>
    <row r="37" spans="5:220 1283:1343" x14ac:dyDescent="0.2">
      <c r="AWI37" s="818"/>
      <c r="AWJ37" s="818"/>
      <c r="AWK37" s="818"/>
      <c r="AWL37" s="818"/>
      <c r="AWM37" s="818"/>
      <c r="AWN37" s="818"/>
      <c r="AWO37" s="818"/>
      <c r="AWP37" s="818"/>
      <c r="AWQ37" s="818"/>
      <c r="AWR37" s="818"/>
      <c r="AWS37" s="818"/>
      <c r="AWT37" s="818"/>
      <c r="AWU37" s="818"/>
      <c r="AWV37" s="818"/>
      <c r="AWW37" s="818"/>
      <c r="AWX37" s="818"/>
      <c r="AWY37" s="818"/>
      <c r="AWZ37" s="818"/>
      <c r="AXA37" s="818"/>
      <c r="AXB37" s="818"/>
      <c r="AXC37" s="818"/>
      <c r="AXD37" s="818"/>
      <c r="AXE37" s="818"/>
      <c r="AXF37" s="818"/>
      <c r="AXG37" s="818"/>
      <c r="AXH37" s="818"/>
      <c r="AXI37" s="818"/>
      <c r="AXJ37" s="818"/>
      <c r="AXK37" s="818"/>
      <c r="AXL37" s="818"/>
      <c r="AXM37" s="818"/>
      <c r="AXN37" s="818"/>
      <c r="AXO37" s="818"/>
      <c r="AXP37" s="818"/>
      <c r="AXQ37" s="818"/>
      <c r="AXR37" s="818"/>
      <c r="AXS37" s="818"/>
      <c r="AXT37" s="818"/>
      <c r="AXU37" s="818"/>
      <c r="AXV37" s="818"/>
      <c r="AXW37" s="818"/>
      <c r="AXX37" s="818"/>
      <c r="AXY37" s="818"/>
      <c r="AXZ37" s="818"/>
      <c r="AYA37" s="818"/>
      <c r="AYB37" s="818"/>
      <c r="AYC37" s="818"/>
      <c r="AYD37" s="818"/>
      <c r="AYE37" s="818"/>
      <c r="AYF37" s="818"/>
      <c r="AYG37" s="818"/>
      <c r="AYH37" s="818"/>
      <c r="AYI37" s="818"/>
      <c r="AYJ37" s="818"/>
      <c r="AYK37" s="818"/>
      <c r="AYL37" s="818"/>
      <c r="AYM37" s="818"/>
      <c r="AYN37" s="818"/>
      <c r="AYO37" s="818"/>
      <c r="AYP37" s="818"/>
      <c r="AYQ37" s="818"/>
    </row>
    <row r="38" spans="5:220 1283:1343" x14ac:dyDescent="0.2">
      <c r="AWI38" s="818"/>
      <c r="AWJ38" s="818"/>
      <c r="AWK38" s="818"/>
      <c r="AWL38" s="818"/>
      <c r="AWM38" s="818"/>
      <c r="AWN38" s="818"/>
      <c r="AWO38" s="818"/>
      <c r="AWP38" s="818"/>
      <c r="AWQ38" s="818"/>
      <c r="AWR38" s="818"/>
      <c r="AWS38" s="818"/>
      <c r="AWT38" s="818"/>
      <c r="AWU38" s="818"/>
      <c r="AWV38" s="818"/>
      <c r="AWW38" s="818"/>
      <c r="AWX38" s="818"/>
      <c r="AWY38" s="818"/>
      <c r="AWZ38" s="818"/>
      <c r="AXA38" s="818"/>
      <c r="AXB38" s="818"/>
      <c r="AXC38" s="818"/>
      <c r="AXD38" s="818"/>
      <c r="AXE38" s="818"/>
      <c r="AXF38" s="818"/>
      <c r="AXG38" s="818"/>
      <c r="AXH38" s="818"/>
      <c r="AXI38" s="818"/>
      <c r="AXJ38" s="818"/>
      <c r="AXK38" s="818"/>
      <c r="AXL38" s="818"/>
      <c r="AXM38" s="818"/>
      <c r="AXN38" s="818"/>
      <c r="AXO38" s="818"/>
      <c r="AXP38" s="818"/>
      <c r="AXQ38" s="818"/>
      <c r="AXR38" s="818"/>
      <c r="AXS38" s="818"/>
      <c r="AXT38" s="818"/>
      <c r="AXU38" s="818"/>
      <c r="AXV38" s="818"/>
      <c r="AXW38" s="818"/>
      <c r="AXX38" s="818"/>
      <c r="AXY38" s="818"/>
      <c r="AXZ38" s="818"/>
      <c r="AYA38" s="818"/>
      <c r="AYB38" s="818"/>
      <c r="AYC38" s="818"/>
      <c r="AYD38" s="818"/>
      <c r="AYE38" s="818"/>
      <c r="AYF38" s="818"/>
      <c r="AYG38" s="818"/>
      <c r="AYH38" s="818"/>
      <c r="AYI38" s="818"/>
      <c r="AYJ38" s="818"/>
      <c r="AYK38" s="818"/>
      <c r="AYL38" s="818"/>
      <c r="AYM38" s="818"/>
      <c r="AYN38" s="818"/>
      <c r="AYO38" s="818"/>
      <c r="AYP38" s="818"/>
      <c r="AYQ38" s="818"/>
    </row>
    <row r="39" spans="5:220 1283:1343" x14ac:dyDescent="0.2">
      <c r="AWI39" s="818"/>
      <c r="AWJ39" s="818"/>
      <c r="AWK39" s="818"/>
      <c r="AWL39" s="818"/>
      <c r="AWM39" s="818"/>
      <c r="AWN39" s="818"/>
      <c r="AWO39" s="818"/>
      <c r="AWP39" s="818"/>
      <c r="AWQ39" s="818"/>
      <c r="AWR39" s="818"/>
      <c r="AWS39" s="818"/>
      <c r="AWT39" s="818"/>
      <c r="AWU39" s="818"/>
      <c r="AWV39" s="818"/>
      <c r="AWW39" s="818"/>
      <c r="AWX39" s="818"/>
      <c r="AWY39" s="818"/>
      <c r="AWZ39" s="818"/>
      <c r="AXA39" s="818"/>
      <c r="AXB39" s="818"/>
      <c r="AXC39" s="818"/>
      <c r="AXD39" s="818"/>
      <c r="AXE39" s="818"/>
      <c r="AXF39" s="818"/>
      <c r="AXG39" s="818"/>
      <c r="AXH39" s="818"/>
      <c r="AXI39" s="818"/>
      <c r="AXJ39" s="818"/>
      <c r="AXK39" s="818"/>
      <c r="AXL39" s="818"/>
      <c r="AXM39" s="818"/>
      <c r="AXN39" s="818"/>
      <c r="AXO39" s="818"/>
      <c r="AXP39" s="818"/>
      <c r="AXQ39" s="818"/>
      <c r="AXR39" s="818"/>
      <c r="AXS39" s="818"/>
      <c r="AXT39" s="818"/>
      <c r="AXU39" s="818"/>
      <c r="AXV39" s="818"/>
      <c r="AXW39" s="818"/>
      <c r="AXX39" s="818"/>
      <c r="AXY39" s="818"/>
      <c r="AXZ39" s="818"/>
      <c r="AYA39" s="818"/>
      <c r="AYB39" s="818"/>
      <c r="AYC39" s="818"/>
      <c r="AYD39" s="818"/>
      <c r="AYE39" s="818"/>
      <c r="AYF39" s="818"/>
      <c r="AYG39" s="818"/>
      <c r="AYH39" s="818"/>
      <c r="AYI39" s="818"/>
      <c r="AYJ39" s="818"/>
      <c r="AYK39" s="818"/>
      <c r="AYL39" s="818"/>
      <c r="AYM39" s="818"/>
      <c r="AYN39" s="818"/>
      <c r="AYO39" s="818"/>
      <c r="AYP39" s="818"/>
      <c r="AYQ39" s="818"/>
    </row>
    <row r="40" spans="5:220 1283:1343" x14ac:dyDescent="0.2">
      <c r="AWI40" s="818"/>
      <c r="AWJ40" s="818"/>
      <c r="AWK40" s="818"/>
      <c r="AWL40" s="818"/>
      <c r="AWM40" s="818"/>
      <c r="AWN40" s="818"/>
      <c r="AWO40" s="818"/>
      <c r="AWP40" s="818"/>
      <c r="AWQ40" s="818"/>
      <c r="AWR40" s="818"/>
      <c r="AWS40" s="818"/>
      <c r="AWT40" s="818"/>
      <c r="AWU40" s="818"/>
      <c r="AWV40" s="818"/>
      <c r="AWW40" s="818"/>
      <c r="AWX40" s="818"/>
      <c r="AWY40" s="818"/>
      <c r="AWZ40" s="818"/>
      <c r="AXA40" s="818"/>
      <c r="AXB40" s="818"/>
      <c r="AXC40" s="818"/>
      <c r="AXD40" s="818"/>
      <c r="AXE40" s="818"/>
      <c r="AXF40" s="818"/>
      <c r="AXG40" s="818"/>
      <c r="AXH40" s="818"/>
      <c r="AXI40" s="818"/>
      <c r="AXJ40" s="818"/>
      <c r="AXK40" s="818"/>
      <c r="AXL40" s="818"/>
      <c r="AXM40" s="818"/>
      <c r="AXN40" s="818"/>
      <c r="AXO40" s="818"/>
      <c r="AXP40" s="818"/>
      <c r="AXQ40" s="818"/>
      <c r="AXR40" s="818"/>
      <c r="AXS40" s="818"/>
      <c r="AXT40" s="818"/>
      <c r="AXU40" s="818"/>
      <c r="AXV40" s="818"/>
      <c r="AXW40" s="818"/>
      <c r="AXX40" s="818"/>
      <c r="AXY40" s="818"/>
      <c r="AXZ40" s="818"/>
      <c r="AYA40" s="818"/>
      <c r="AYB40" s="818"/>
      <c r="AYC40" s="818"/>
      <c r="AYD40" s="818"/>
      <c r="AYE40" s="818"/>
      <c r="AYF40" s="818"/>
      <c r="AYG40" s="818"/>
      <c r="AYH40" s="818"/>
      <c r="AYI40" s="818"/>
      <c r="AYJ40" s="818"/>
      <c r="AYK40" s="818"/>
      <c r="AYL40" s="818"/>
      <c r="AYM40" s="818"/>
      <c r="AYN40" s="818"/>
      <c r="AYO40" s="818"/>
      <c r="AYP40" s="818"/>
      <c r="AYQ40" s="818"/>
    </row>
    <row r="41" spans="5:220 1283:1343" x14ac:dyDescent="0.2">
      <c r="AWI41" s="818"/>
      <c r="AWJ41" s="818"/>
      <c r="AWK41" s="818"/>
      <c r="AWL41" s="818"/>
      <c r="AWM41" s="818"/>
      <c r="AWN41" s="818"/>
      <c r="AWO41" s="818"/>
      <c r="AWP41" s="818"/>
      <c r="AWQ41" s="818"/>
      <c r="AWR41" s="818"/>
      <c r="AWS41" s="818"/>
      <c r="AWT41" s="818"/>
      <c r="AWU41" s="818"/>
      <c r="AWV41" s="818"/>
      <c r="AWW41" s="818"/>
      <c r="AWX41" s="818"/>
      <c r="AWY41" s="818"/>
      <c r="AWZ41" s="818"/>
      <c r="AXA41" s="818"/>
      <c r="AXB41" s="818"/>
      <c r="AXC41" s="818"/>
      <c r="AXD41" s="818"/>
      <c r="AXE41" s="818"/>
      <c r="AXF41" s="818"/>
      <c r="AXG41" s="818"/>
      <c r="AXH41" s="818"/>
      <c r="AXI41" s="818"/>
      <c r="AXJ41" s="818"/>
      <c r="AXK41" s="818"/>
      <c r="AXL41" s="818"/>
      <c r="AXM41" s="818"/>
      <c r="AXN41" s="818"/>
      <c r="AXO41" s="818"/>
      <c r="AXP41" s="818"/>
      <c r="AXQ41" s="818"/>
      <c r="AXR41" s="818"/>
      <c r="AXS41" s="818"/>
      <c r="AXT41" s="818"/>
      <c r="AXU41" s="818"/>
      <c r="AXV41" s="818"/>
      <c r="AXW41" s="818"/>
      <c r="AXX41" s="818"/>
      <c r="AXY41" s="818"/>
      <c r="AXZ41" s="818"/>
      <c r="AYA41" s="818"/>
      <c r="AYB41" s="818"/>
      <c r="AYC41" s="818"/>
      <c r="AYD41" s="818"/>
      <c r="AYE41" s="818"/>
      <c r="AYF41" s="818"/>
      <c r="AYG41" s="818"/>
      <c r="AYH41" s="818"/>
      <c r="AYI41" s="818"/>
      <c r="AYJ41" s="818"/>
      <c r="AYK41" s="818"/>
      <c r="AYL41" s="818"/>
      <c r="AYM41" s="818"/>
      <c r="AYN41" s="818"/>
      <c r="AYO41" s="818"/>
      <c r="AYP41" s="818"/>
      <c r="AYQ41" s="818"/>
    </row>
    <row r="42" spans="5:220 1283:1343" x14ac:dyDescent="0.2">
      <c r="AWI42" s="818"/>
      <c r="AWJ42" s="818"/>
      <c r="AWK42" s="818"/>
      <c r="AWL42" s="818"/>
      <c r="AWM42" s="818"/>
      <c r="AWN42" s="818"/>
      <c r="AWO42" s="818"/>
      <c r="AWP42" s="818"/>
      <c r="AWQ42" s="818"/>
      <c r="AWR42" s="818"/>
      <c r="AWS42" s="818"/>
      <c r="AWT42" s="818"/>
      <c r="AWU42" s="818"/>
      <c r="AWV42" s="818"/>
      <c r="AWW42" s="818"/>
      <c r="AWX42" s="818"/>
      <c r="AWY42" s="818"/>
      <c r="AWZ42" s="818"/>
      <c r="AXA42" s="818"/>
      <c r="AXB42" s="818"/>
      <c r="AXC42" s="818"/>
      <c r="AXD42" s="818"/>
      <c r="AXE42" s="818"/>
      <c r="AXF42" s="818"/>
      <c r="AXG42" s="818"/>
      <c r="AXH42" s="818"/>
      <c r="AXI42" s="818"/>
      <c r="AXJ42" s="818"/>
      <c r="AXK42" s="818"/>
      <c r="AXL42" s="818"/>
      <c r="AXM42" s="818"/>
      <c r="AXN42" s="818"/>
      <c r="AXO42" s="818"/>
      <c r="AXP42" s="818"/>
      <c r="AXQ42" s="818"/>
      <c r="AXR42" s="818"/>
      <c r="AXS42" s="818"/>
      <c r="AXT42" s="818"/>
      <c r="AXU42" s="818"/>
      <c r="AXV42" s="818"/>
      <c r="AXW42" s="818"/>
      <c r="AXX42" s="818"/>
      <c r="AXY42" s="818"/>
      <c r="AXZ42" s="818"/>
      <c r="AYA42" s="818"/>
      <c r="AYB42" s="818"/>
      <c r="AYC42" s="818"/>
      <c r="AYD42" s="818"/>
      <c r="AYE42" s="818"/>
      <c r="AYF42" s="818"/>
      <c r="AYG42" s="818"/>
      <c r="AYH42" s="818"/>
      <c r="AYI42" s="818"/>
      <c r="AYJ42" s="818"/>
      <c r="AYK42" s="818"/>
      <c r="AYL42" s="818"/>
      <c r="AYM42" s="818"/>
      <c r="AYN42" s="818"/>
      <c r="AYO42" s="818"/>
      <c r="AYP42" s="818"/>
      <c r="AYQ42" s="818"/>
    </row>
    <row r="43" spans="5:220 1283:1343" x14ac:dyDescent="0.2">
      <c r="AWI43" s="818"/>
      <c r="AWJ43" s="818"/>
      <c r="AWK43" s="818"/>
      <c r="AWL43" s="818"/>
      <c r="AWM43" s="818"/>
      <c r="AWN43" s="818"/>
      <c r="AWO43" s="818"/>
      <c r="AWP43" s="818"/>
      <c r="AWQ43" s="818"/>
      <c r="AWR43" s="818"/>
      <c r="AWS43" s="818"/>
      <c r="AWT43" s="818"/>
      <c r="AWU43" s="818"/>
      <c r="AWV43" s="818"/>
      <c r="AWW43" s="818"/>
      <c r="AWX43" s="818"/>
      <c r="AWY43" s="818"/>
      <c r="AWZ43" s="818"/>
      <c r="AXA43" s="818"/>
      <c r="AXB43" s="818"/>
      <c r="AXC43" s="818"/>
      <c r="AXD43" s="818"/>
      <c r="AXE43" s="818"/>
      <c r="AXF43" s="818"/>
      <c r="AXG43" s="818"/>
      <c r="AXH43" s="818"/>
      <c r="AXI43" s="818"/>
      <c r="AXJ43" s="818"/>
      <c r="AXK43" s="818"/>
      <c r="AXL43" s="818"/>
      <c r="AXM43" s="818"/>
      <c r="AXN43" s="818"/>
      <c r="AXO43" s="818"/>
      <c r="AXP43" s="818"/>
      <c r="AXQ43" s="818"/>
      <c r="AXR43" s="818"/>
      <c r="AXS43" s="818"/>
      <c r="AXT43" s="818"/>
      <c r="AXU43" s="818"/>
      <c r="AXV43" s="818"/>
      <c r="AXW43" s="818"/>
      <c r="AXX43" s="818"/>
      <c r="AXY43" s="818"/>
      <c r="AXZ43" s="818"/>
      <c r="AYA43" s="818"/>
      <c r="AYB43" s="818"/>
      <c r="AYC43" s="818"/>
      <c r="AYD43" s="818"/>
      <c r="AYE43" s="818"/>
      <c r="AYF43" s="818"/>
      <c r="AYG43" s="818"/>
      <c r="AYH43" s="818"/>
      <c r="AYI43" s="818"/>
      <c r="AYJ43" s="818"/>
      <c r="AYK43" s="818"/>
      <c r="AYL43" s="818"/>
      <c r="AYM43" s="818"/>
      <c r="AYN43" s="818"/>
      <c r="AYO43" s="818"/>
      <c r="AYP43" s="818"/>
      <c r="AYQ43" s="818"/>
    </row>
    <row r="44" spans="5:220 1283:1343" x14ac:dyDescent="0.2">
      <c r="AWI44" s="818"/>
      <c r="AWJ44" s="818"/>
      <c r="AWK44" s="818"/>
      <c r="AWL44" s="818"/>
      <c r="AWM44" s="818"/>
      <c r="AWN44" s="818"/>
      <c r="AWO44" s="818"/>
      <c r="AWP44" s="818"/>
      <c r="AWQ44" s="818"/>
      <c r="AWR44" s="818"/>
      <c r="AWS44" s="818"/>
      <c r="AWT44" s="818"/>
      <c r="AWU44" s="818"/>
      <c r="AWV44" s="818"/>
      <c r="AWW44" s="818"/>
      <c r="AWX44" s="818"/>
      <c r="AWY44" s="818"/>
      <c r="AWZ44" s="818"/>
      <c r="AXA44" s="818"/>
      <c r="AXB44" s="818"/>
      <c r="AXC44" s="818"/>
      <c r="AXD44" s="818"/>
      <c r="AXE44" s="818"/>
      <c r="AXF44" s="818"/>
      <c r="AXG44" s="818"/>
      <c r="AXH44" s="818"/>
      <c r="AXI44" s="818"/>
      <c r="AXJ44" s="818"/>
      <c r="AXK44" s="818"/>
      <c r="AXL44" s="818"/>
      <c r="AXM44" s="818"/>
      <c r="AXN44" s="818"/>
      <c r="AXO44" s="818"/>
      <c r="AXP44" s="818"/>
      <c r="AXQ44" s="818"/>
      <c r="AXR44" s="818"/>
      <c r="AXS44" s="818"/>
      <c r="AXT44" s="818"/>
      <c r="AXU44" s="818"/>
      <c r="AXV44" s="818"/>
      <c r="AXW44" s="818"/>
      <c r="AXX44" s="818"/>
      <c r="AXY44" s="818"/>
      <c r="AXZ44" s="818"/>
      <c r="AYA44" s="818"/>
      <c r="AYB44" s="818"/>
      <c r="AYC44" s="818"/>
      <c r="AYD44" s="818"/>
      <c r="AYE44" s="818"/>
      <c r="AYF44" s="818"/>
      <c r="AYG44" s="818"/>
      <c r="AYH44" s="818"/>
      <c r="AYI44" s="818"/>
      <c r="AYJ44" s="818"/>
      <c r="AYK44" s="818"/>
      <c r="AYL44" s="818"/>
      <c r="AYM44" s="818"/>
      <c r="AYN44" s="818"/>
      <c r="AYO44" s="818"/>
      <c r="AYP44" s="818"/>
      <c r="AYQ44" s="818"/>
    </row>
    <row r="45" spans="5:220 1283:1343" x14ac:dyDescent="0.2">
      <c r="AWI45" s="818"/>
      <c r="AWJ45" s="818"/>
      <c r="AWK45" s="818"/>
      <c r="AWL45" s="818"/>
      <c r="AWM45" s="818"/>
      <c r="AWN45" s="818"/>
      <c r="AWO45" s="818"/>
      <c r="AWP45" s="818"/>
      <c r="AWQ45" s="818"/>
      <c r="AWR45" s="818"/>
      <c r="AWS45" s="818"/>
      <c r="AWT45" s="818"/>
      <c r="AWU45" s="818"/>
      <c r="AWV45" s="818"/>
      <c r="AWW45" s="818"/>
      <c r="AWX45" s="818"/>
      <c r="AWY45" s="818"/>
      <c r="AWZ45" s="818"/>
      <c r="AXA45" s="818"/>
      <c r="AXB45" s="818"/>
      <c r="AXC45" s="818"/>
      <c r="AXD45" s="818"/>
      <c r="AXE45" s="818"/>
      <c r="AXF45" s="818"/>
      <c r="AXG45" s="818"/>
      <c r="AXH45" s="818"/>
      <c r="AXI45" s="818"/>
      <c r="AXJ45" s="818"/>
      <c r="AXK45" s="818"/>
      <c r="AXL45" s="818"/>
      <c r="AXM45" s="818"/>
      <c r="AXN45" s="818"/>
      <c r="AXO45" s="818"/>
      <c r="AXP45" s="818"/>
      <c r="AXQ45" s="818"/>
      <c r="AXR45" s="818"/>
      <c r="AXS45" s="818"/>
      <c r="AXT45" s="818"/>
      <c r="AXU45" s="818"/>
      <c r="AXV45" s="818"/>
      <c r="AXW45" s="818"/>
      <c r="AXX45" s="818"/>
      <c r="AXY45" s="818"/>
      <c r="AXZ45" s="818"/>
      <c r="AYA45" s="818"/>
      <c r="AYB45" s="818"/>
      <c r="AYC45" s="818"/>
      <c r="AYD45" s="818"/>
      <c r="AYE45" s="818"/>
      <c r="AYF45" s="818"/>
      <c r="AYG45" s="818"/>
      <c r="AYH45" s="818"/>
      <c r="AYI45" s="818"/>
      <c r="AYJ45" s="818"/>
      <c r="AYK45" s="818"/>
      <c r="AYL45" s="818"/>
      <c r="AYM45" s="818"/>
      <c r="AYN45" s="818"/>
      <c r="AYO45" s="818"/>
      <c r="AYP45" s="818"/>
      <c r="AYQ45" s="818"/>
    </row>
    <row r="46" spans="5:220 1283:1343" x14ac:dyDescent="0.2">
      <c r="AWI46" s="818"/>
      <c r="AWJ46" s="818"/>
      <c r="AWK46" s="818"/>
      <c r="AWL46" s="818"/>
      <c r="AWM46" s="818"/>
      <c r="AWN46" s="818"/>
      <c r="AWO46" s="818"/>
      <c r="AWP46" s="818"/>
      <c r="AWQ46" s="818"/>
      <c r="AWR46" s="818"/>
      <c r="AWS46" s="818"/>
      <c r="AWT46" s="818"/>
      <c r="AWU46" s="818"/>
      <c r="AWV46" s="818"/>
      <c r="AWW46" s="818"/>
      <c r="AWX46" s="818"/>
      <c r="AWY46" s="818"/>
      <c r="AWZ46" s="818"/>
      <c r="AXA46" s="818"/>
      <c r="AXB46" s="818"/>
      <c r="AXC46" s="818"/>
      <c r="AXD46" s="818"/>
      <c r="AXE46" s="818"/>
      <c r="AXF46" s="818"/>
      <c r="AXG46" s="818"/>
      <c r="AXH46" s="818"/>
      <c r="AXI46" s="818"/>
      <c r="AXJ46" s="818"/>
      <c r="AXK46" s="818"/>
      <c r="AXL46" s="818"/>
      <c r="AXM46" s="818"/>
      <c r="AXN46" s="818"/>
      <c r="AXO46" s="818"/>
      <c r="AXP46" s="818"/>
      <c r="AXQ46" s="818"/>
      <c r="AXR46" s="818"/>
      <c r="AXS46" s="818"/>
      <c r="AXT46" s="818"/>
      <c r="AXU46" s="818"/>
      <c r="AXV46" s="818"/>
      <c r="AXW46" s="818"/>
      <c r="AXX46" s="818"/>
      <c r="AXY46" s="818"/>
      <c r="AXZ46" s="818"/>
      <c r="AYA46" s="818"/>
      <c r="AYB46" s="818"/>
      <c r="AYC46" s="818"/>
      <c r="AYD46" s="818"/>
      <c r="AYE46" s="818"/>
      <c r="AYF46" s="818"/>
      <c r="AYG46" s="818"/>
      <c r="AYH46" s="818"/>
      <c r="AYI46" s="818"/>
      <c r="AYJ46" s="818"/>
      <c r="AYK46" s="818"/>
      <c r="AYL46" s="818"/>
      <c r="AYM46" s="818"/>
      <c r="AYN46" s="818"/>
      <c r="AYO46" s="818"/>
      <c r="AYP46" s="818"/>
      <c r="AYQ46" s="818"/>
    </row>
    <row r="47" spans="5:220 1283:1343" x14ac:dyDescent="0.2">
      <c r="AWI47" s="818"/>
      <c r="AWJ47" s="818"/>
      <c r="AWK47" s="818"/>
      <c r="AWL47" s="818"/>
      <c r="AWM47" s="818"/>
      <c r="AWN47" s="818"/>
      <c r="AWO47" s="818"/>
      <c r="AWP47" s="818"/>
      <c r="AWQ47" s="818"/>
      <c r="AWR47" s="818"/>
      <c r="AWS47" s="818"/>
      <c r="AWT47" s="818"/>
      <c r="AWU47" s="818"/>
      <c r="AWV47" s="818"/>
      <c r="AWW47" s="818"/>
      <c r="AWX47" s="818"/>
      <c r="AWY47" s="818"/>
      <c r="AWZ47" s="818"/>
      <c r="AXA47" s="818"/>
      <c r="AXB47" s="818"/>
      <c r="AXC47" s="818"/>
      <c r="AXD47" s="818"/>
      <c r="AXE47" s="818"/>
      <c r="AXF47" s="818"/>
      <c r="AXG47" s="818"/>
      <c r="AXH47" s="818"/>
      <c r="AXI47" s="818"/>
      <c r="AXJ47" s="818"/>
      <c r="AXK47" s="818"/>
      <c r="AXL47" s="818"/>
      <c r="AXM47" s="818"/>
      <c r="AXN47" s="818"/>
      <c r="AXO47" s="818"/>
      <c r="AXP47" s="818"/>
      <c r="AXQ47" s="818"/>
      <c r="AXR47" s="818"/>
      <c r="AXS47" s="818"/>
      <c r="AXT47" s="818"/>
      <c r="AXU47" s="818"/>
      <c r="AXV47" s="818"/>
      <c r="AXW47" s="818"/>
      <c r="AXX47" s="818"/>
      <c r="AXY47" s="818"/>
      <c r="AXZ47" s="818"/>
      <c r="AYA47" s="818"/>
      <c r="AYB47" s="818"/>
      <c r="AYC47" s="818"/>
      <c r="AYD47" s="818"/>
      <c r="AYE47" s="818"/>
      <c r="AYF47" s="818"/>
      <c r="AYG47" s="818"/>
      <c r="AYH47" s="818"/>
      <c r="AYI47" s="818"/>
      <c r="AYJ47" s="818"/>
      <c r="AYK47" s="818"/>
      <c r="AYL47" s="818"/>
      <c r="AYM47" s="818"/>
      <c r="AYN47" s="818"/>
      <c r="AYO47" s="818"/>
      <c r="AYP47" s="818"/>
      <c r="AYQ47" s="818"/>
    </row>
    <row r="48" spans="5:220 1283:1343" x14ac:dyDescent="0.2">
      <c r="AWI48" s="818"/>
      <c r="AWJ48" s="818"/>
      <c r="AWK48" s="818"/>
      <c r="AWL48" s="818"/>
      <c r="AWM48" s="818"/>
      <c r="AWN48" s="818"/>
      <c r="AWO48" s="818"/>
      <c r="AWP48" s="818"/>
      <c r="AWQ48" s="818"/>
      <c r="AWR48" s="818"/>
      <c r="AWS48" s="818"/>
      <c r="AWT48" s="818"/>
      <c r="AWU48" s="818"/>
      <c r="AWV48" s="818"/>
      <c r="AWW48" s="818"/>
      <c r="AWX48" s="818"/>
      <c r="AWY48" s="818"/>
      <c r="AWZ48" s="818"/>
      <c r="AXA48" s="818"/>
      <c r="AXB48" s="818"/>
      <c r="AXC48" s="818"/>
      <c r="AXD48" s="818"/>
      <c r="AXE48" s="818"/>
      <c r="AXF48" s="818"/>
      <c r="AXG48" s="818"/>
      <c r="AXH48" s="818"/>
      <c r="AXI48" s="818"/>
      <c r="AXJ48" s="818"/>
      <c r="AXK48" s="818"/>
      <c r="AXL48" s="818"/>
      <c r="AXM48" s="818"/>
      <c r="AXN48" s="818"/>
      <c r="AXO48" s="818"/>
      <c r="AXP48" s="818"/>
      <c r="AXQ48" s="818"/>
      <c r="AXR48" s="818"/>
      <c r="AXS48" s="818"/>
      <c r="AXT48" s="818"/>
      <c r="AXU48" s="818"/>
      <c r="AXV48" s="818"/>
      <c r="AXW48" s="818"/>
      <c r="AXX48" s="818"/>
      <c r="AXY48" s="818"/>
      <c r="AXZ48" s="818"/>
      <c r="AYA48" s="818"/>
      <c r="AYB48" s="818"/>
      <c r="AYC48" s="818"/>
      <c r="AYD48" s="818"/>
      <c r="AYE48" s="818"/>
      <c r="AYF48" s="818"/>
      <c r="AYG48" s="818"/>
      <c r="AYH48" s="818"/>
      <c r="AYI48" s="818"/>
      <c r="AYJ48" s="818"/>
      <c r="AYK48" s="818"/>
      <c r="AYL48" s="818"/>
      <c r="AYM48" s="818"/>
      <c r="AYN48" s="818"/>
      <c r="AYO48" s="818"/>
      <c r="AYP48" s="818"/>
      <c r="AYQ48" s="818"/>
    </row>
    <row r="49" spans="1283:1343" x14ac:dyDescent="0.2">
      <c r="AWI49" s="818"/>
      <c r="AWJ49" s="818"/>
      <c r="AWK49" s="818"/>
      <c r="AWL49" s="818"/>
      <c r="AWM49" s="818"/>
      <c r="AWN49" s="818"/>
      <c r="AWO49" s="818"/>
      <c r="AWP49" s="818"/>
      <c r="AWQ49" s="818"/>
      <c r="AWR49" s="818"/>
      <c r="AWS49" s="818"/>
      <c r="AWT49" s="818"/>
      <c r="AWU49" s="818"/>
      <c r="AWV49" s="818"/>
      <c r="AWW49" s="818"/>
      <c r="AWX49" s="818"/>
      <c r="AWY49" s="818"/>
      <c r="AWZ49" s="818"/>
      <c r="AXA49" s="818"/>
      <c r="AXB49" s="818"/>
      <c r="AXC49" s="818"/>
      <c r="AXD49" s="818"/>
      <c r="AXE49" s="818"/>
      <c r="AXF49" s="818"/>
      <c r="AXG49" s="818"/>
      <c r="AXH49" s="818"/>
      <c r="AXI49" s="818"/>
      <c r="AXJ49" s="818"/>
      <c r="AXK49" s="818"/>
      <c r="AXL49" s="818"/>
      <c r="AXM49" s="818"/>
      <c r="AXN49" s="818"/>
      <c r="AXO49" s="818"/>
      <c r="AXP49" s="818"/>
      <c r="AXQ49" s="818"/>
      <c r="AXR49" s="818"/>
      <c r="AXS49" s="818"/>
      <c r="AXT49" s="818"/>
      <c r="AXU49" s="818"/>
      <c r="AXV49" s="818"/>
      <c r="AXW49" s="818"/>
      <c r="AXX49" s="818"/>
      <c r="AXY49" s="818"/>
      <c r="AXZ49" s="818"/>
      <c r="AYA49" s="818"/>
      <c r="AYB49" s="818"/>
      <c r="AYC49" s="818"/>
      <c r="AYD49" s="818"/>
      <c r="AYE49" s="818"/>
      <c r="AYF49" s="818"/>
      <c r="AYG49" s="818"/>
      <c r="AYH49" s="818"/>
      <c r="AYI49" s="818"/>
      <c r="AYJ49" s="818"/>
      <c r="AYK49" s="818"/>
      <c r="AYL49" s="818"/>
      <c r="AYM49" s="818"/>
      <c r="AYN49" s="818"/>
      <c r="AYO49" s="818"/>
      <c r="AYP49" s="818"/>
      <c r="AYQ49" s="818"/>
    </row>
    <row r="50" spans="1283:1343" x14ac:dyDescent="0.2">
      <c r="AWI50" s="818"/>
      <c r="AWJ50" s="818"/>
      <c r="AWK50" s="818"/>
      <c r="AWL50" s="818"/>
      <c r="AWM50" s="818"/>
      <c r="AWN50" s="818"/>
      <c r="AWO50" s="818"/>
      <c r="AWP50" s="818"/>
      <c r="AWQ50" s="818"/>
      <c r="AWR50" s="818"/>
      <c r="AWS50" s="818"/>
      <c r="AWT50" s="818"/>
      <c r="AWU50" s="818"/>
      <c r="AWV50" s="818"/>
      <c r="AWW50" s="818"/>
      <c r="AWX50" s="818"/>
      <c r="AWY50" s="818"/>
      <c r="AWZ50" s="818"/>
      <c r="AXA50" s="818"/>
      <c r="AXB50" s="818"/>
      <c r="AXC50" s="818"/>
      <c r="AXD50" s="818"/>
      <c r="AXE50" s="818"/>
      <c r="AXF50" s="818"/>
      <c r="AXG50" s="818"/>
      <c r="AXH50" s="818"/>
      <c r="AXI50" s="818"/>
      <c r="AXJ50" s="818"/>
      <c r="AXK50" s="818"/>
      <c r="AXL50" s="818"/>
      <c r="AXM50" s="818"/>
      <c r="AXN50" s="818"/>
      <c r="AXO50" s="818"/>
      <c r="AXP50" s="818"/>
      <c r="AXQ50" s="818"/>
      <c r="AXR50" s="818"/>
      <c r="AXS50" s="818"/>
      <c r="AXT50" s="818"/>
      <c r="AXU50" s="818"/>
      <c r="AXV50" s="818"/>
      <c r="AXW50" s="818"/>
      <c r="AXX50" s="818"/>
      <c r="AXY50" s="818"/>
      <c r="AXZ50" s="818"/>
      <c r="AYA50" s="818"/>
      <c r="AYB50" s="818"/>
      <c r="AYC50" s="818"/>
      <c r="AYD50" s="818"/>
      <c r="AYE50" s="818"/>
      <c r="AYF50" s="818"/>
      <c r="AYG50" s="818"/>
      <c r="AYH50" s="818"/>
      <c r="AYI50" s="818"/>
      <c r="AYJ50" s="818"/>
      <c r="AYK50" s="818"/>
      <c r="AYL50" s="818"/>
      <c r="AYM50" s="818"/>
      <c r="AYN50" s="818"/>
      <c r="AYO50" s="818"/>
      <c r="AYP50" s="818"/>
      <c r="AYQ50" s="818"/>
    </row>
    <row r="51" spans="1283:1343" x14ac:dyDescent="0.2">
      <c r="AWI51" s="818"/>
      <c r="AWJ51" s="818"/>
      <c r="AWK51" s="818"/>
      <c r="AWL51" s="818"/>
      <c r="AWM51" s="818"/>
      <c r="AWN51" s="818"/>
      <c r="AWO51" s="818"/>
      <c r="AWP51" s="818"/>
      <c r="AWQ51" s="818"/>
      <c r="AWR51" s="818"/>
      <c r="AWS51" s="818"/>
      <c r="AWT51" s="818"/>
      <c r="AWU51" s="818"/>
      <c r="AWV51" s="818"/>
      <c r="AWW51" s="818"/>
      <c r="AWX51" s="818"/>
      <c r="AWY51" s="818"/>
      <c r="AWZ51" s="818"/>
      <c r="AXA51" s="818"/>
      <c r="AXB51" s="818"/>
      <c r="AXC51" s="818"/>
      <c r="AXD51" s="818"/>
      <c r="AXE51" s="818"/>
      <c r="AXF51" s="818"/>
      <c r="AXG51" s="818"/>
      <c r="AXH51" s="818"/>
      <c r="AXI51" s="818"/>
      <c r="AXJ51" s="818"/>
      <c r="AXK51" s="818"/>
      <c r="AXL51" s="818"/>
      <c r="AXM51" s="818"/>
      <c r="AXN51" s="818"/>
      <c r="AXO51" s="818"/>
      <c r="AXP51" s="818"/>
      <c r="AXQ51" s="818"/>
      <c r="AXR51" s="818"/>
      <c r="AXS51" s="818"/>
      <c r="AXT51" s="818"/>
      <c r="AXU51" s="818"/>
      <c r="AXV51" s="818"/>
      <c r="AXW51" s="818"/>
      <c r="AXX51" s="818"/>
      <c r="AXY51" s="818"/>
      <c r="AXZ51" s="818"/>
      <c r="AYA51" s="818"/>
      <c r="AYB51" s="818"/>
      <c r="AYC51" s="818"/>
      <c r="AYD51" s="818"/>
      <c r="AYE51" s="818"/>
      <c r="AYF51" s="818"/>
      <c r="AYG51" s="818"/>
      <c r="AYH51" s="818"/>
      <c r="AYI51" s="818"/>
      <c r="AYJ51" s="818"/>
      <c r="AYK51" s="818"/>
      <c r="AYL51" s="818"/>
      <c r="AYM51" s="818"/>
      <c r="AYN51" s="818"/>
      <c r="AYO51" s="818"/>
      <c r="AYP51" s="818"/>
      <c r="AYQ51" s="818"/>
    </row>
    <row r="52" spans="1283:1343" x14ac:dyDescent="0.2">
      <c r="AWI52" s="818"/>
      <c r="AWJ52" s="818"/>
      <c r="AWK52" s="818"/>
      <c r="AWL52" s="818"/>
      <c r="AWM52" s="818"/>
      <c r="AWN52" s="818"/>
      <c r="AWO52" s="818"/>
      <c r="AWP52" s="818"/>
      <c r="AWQ52" s="818"/>
      <c r="AWR52" s="818"/>
      <c r="AWS52" s="818"/>
      <c r="AWT52" s="818"/>
      <c r="AWU52" s="818"/>
      <c r="AWV52" s="818"/>
      <c r="AWW52" s="818"/>
      <c r="AWX52" s="818"/>
      <c r="AWY52" s="818"/>
      <c r="AWZ52" s="818"/>
      <c r="AXA52" s="818"/>
      <c r="AXB52" s="818"/>
      <c r="AXC52" s="818"/>
      <c r="AXD52" s="818"/>
      <c r="AXE52" s="818"/>
      <c r="AXF52" s="818"/>
      <c r="AXG52" s="818"/>
      <c r="AXH52" s="818"/>
      <c r="AXI52" s="818"/>
      <c r="AXJ52" s="818"/>
      <c r="AXK52" s="818"/>
      <c r="AXL52" s="818"/>
      <c r="AXM52" s="818"/>
      <c r="AXN52" s="818"/>
      <c r="AXO52" s="818"/>
      <c r="AXP52" s="818"/>
      <c r="AXQ52" s="818"/>
      <c r="AXR52" s="818"/>
      <c r="AXS52" s="818"/>
      <c r="AXT52" s="818"/>
      <c r="AXU52" s="818"/>
      <c r="AXV52" s="818"/>
      <c r="AXW52" s="818"/>
      <c r="AXX52" s="818"/>
      <c r="AXY52" s="818"/>
      <c r="AXZ52" s="818"/>
      <c r="AYA52" s="818"/>
      <c r="AYB52" s="818"/>
      <c r="AYC52" s="818"/>
      <c r="AYD52" s="818"/>
      <c r="AYE52" s="818"/>
      <c r="AYF52" s="818"/>
      <c r="AYG52" s="818"/>
      <c r="AYH52" s="818"/>
      <c r="AYI52" s="818"/>
      <c r="AYJ52" s="818"/>
      <c r="AYK52" s="818"/>
      <c r="AYL52" s="818"/>
      <c r="AYM52" s="818"/>
      <c r="AYN52" s="818"/>
      <c r="AYO52" s="818"/>
      <c r="AYP52" s="818"/>
      <c r="AYQ52" s="818"/>
    </row>
    <row r="53" spans="1283:1343" x14ac:dyDescent="0.2">
      <c r="AWI53" s="818"/>
      <c r="AWJ53" s="818"/>
      <c r="AWK53" s="818"/>
      <c r="AWL53" s="818"/>
      <c r="AWM53" s="818"/>
      <c r="AWN53" s="818"/>
      <c r="AWO53" s="818"/>
      <c r="AWP53" s="818"/>
      <c r="AWQ53" s="818"/>
      <c r="AWR53" s="818"/>
      <c r="AWS53" s="818"/>
      <c r="AWT53" s="818"/>
      <c r="AWU53" s="818"/>
      <c r="AWV53" s="818"/>
      <c r="AWW53" s="818"/>
      <c r="AWX53" s="818"/>
      <c r="AWY53" s="818"/>
      <c r="AWZ53" s="818"/>
      <c r="AXA53" s="818"/>
      <c r="AXB53" s="818"/>
      <c r="AXC53" s="818"/>
      <c r="AXD53" s="818"/>
      <c r="AXE53" s="818"/>
      <c r="AXF53" s="818"/>
      <c r="AXG53" s="818"/>
      <c r="AXH53" s="818"/>
      <c r="AXI53" s="818"/>
      <c r="AXJ53" s="818"/>
      <c r="AXK53" s="818"/>
      <c r="AXL53" s="818"/>
      <c r="AXM53" s="818"/>
      <c r="AXN53" s="818"/>
      <c r="AXO53" s="818"/>
      <c r="AXP53" s="818"/>
      <c r="AXQ53" s="818"/>
      <c r="AXR53" s="818"/>
      <c r="AXS53" s="818"/>
      <c r="AXT53" s="818"/>
      <c r="AXU53" s="818"/>
      <c r="AXV53" s="818"/>
      <c r="AXW53" s="818"/>
      <c r="AXX53" s="818"/>
      <c r="AXY53" s="818"/>
      <c r="AXZ53" s="818"/>
      <c r="AYA53" s="818"/>
      <c r="AYB53" s="818"/>
      <c r="AYC53" s="818"/>
      <c r="AYD53" s="818"/>
      <c r="AYE53" s="818"/>
      <c r="AYF53" s="818"/>
      <c r="AYG53" s="818"/>
      <c r="AYH53" s="818"/>
      <c r="AYI53" s="818"/>
      <c r="AYJ53" s="818"/>
      <c r="AYK53" s="818"/>
      <c r="AYL53" s="818"/>
      <c r="AYM53" s="818"/>
      <c r="AYN53" s="818"/>
      <c r="AYO53" s="818"/>
      <c r="AYP53" s="818"/>
      <c r="AYQ53" s="818"/>
    </row>
    <row r="54" spans="1283:1343" x14ac:dyDescent="0.2">
      <c r="AWI54" s="818"/>
      <c r="AWJ54" s="818"/>
      <c r="AWK54" s="818"/>
      <c r="AWL54" s="818"/>
      <c r="AWM54" s="818"/>
      <c r="AWN54" s="818"/>
      <c r="AWO54" s="818"/>
      <c r="AWP54" s="818"/>
      <c r="AWQ54" s="818"/>
      <c r="AWR54" s="818"/>
      <c r="AWS54" s="818"/>
      <c r="AWT54" s="818"/>
      <c r="AWU54" s="818"/>
      <c r="AWV54" s="818"/>
      <c r="AWW54" s="818"/>
      <c r="AWX54" s="818"/>
      <c r="AWY54" s="818"/>
      <c r="AWZ54" s="818"/>
      <c r="AXA54" s="818"/>
      <c r="AXB54" s="818"/>
      <c r="AXC54" s="818"/>
      <c r="AXD54" s="818"/>
      <c r="AXE54" s="818"/>
      <c r="AXF54" s="818"/>
      <c r="AXG54" s="818"/>
      <c r="AXH54" s="818"/>
      <c r="AXI54" s="818"/>
      <c r="AXJ54" s="818"/>
      <c r="AXK54" s="818"/>
      <c r="AXL54" s="818"/>
      <c r="AXM54" s="818"/>
      <c r="AXN54" s="818"/>
      <c r="AXO54" s="818"/>
      <c r="AXP54" s="818"/>
      <c r="AXQ54" s="818"/>
      <c r="AXR54" s="818"/>
      <c r="AXS54" s="818"/>
      <c r="AXT54" s="818"/>
      <c r="AXU54" s="818"/>
      <c r="AXV54" s="818"/>
      <c r="AXW54" s="818"/>
      <c r="AXX54" s="818"/>
      <c r="AXY54" s="818"/>
      <c r="AXZ54" s="818"/>
      <c r="AYA54" s="818"/>
      <c r="AYB54" s="818"/>
      <c r="AYC54" s="818"/>
      <c r="AYD54" s="818"/>
      <c r="AYE54" s="818"/>
      <c r="AYF54" s="818"/>
      <c r="AYG54" s="818"/>
      <c r="AYH54" s="818"/>
      <c r="AYI54" s="818"/>
      <c r="AYJ54" s="818"/>
      <c r="AYK54" s="818"/>
      <c r="AYL54" s="818"/>
      <c r="AYM54" s="818"/>
      <c r="AYN54" s="818"/>
      <c r="AYO54" s="818"/>
      <c r="AYP54" s="818"/>
      <c r="AYQ54" s="818"/>
    </row>
    <row r="55" spans="1283:1343" x14ac:dyDescent="0.2">
      <c r="AWI55" s="818"/>
      <c r="AWJ55" s="818"/>
      <c r="AWK55" s="818"/>
      <c r="AWL55" s="818"/>
      <c r="AWM55" s="818"/>
      <c r="AWN55" s="818"/>
      <c r="AWO55" s="818"/>
      <c r="AWP55" s="818"/>
      <c r="AWQ55" s="818"/>
      <c r="AWR55" s="818"/>
      <c r="AWS55" s="818"/>
      <c r="AWT55" s="818"/>
      <c r="AWU55" s="818"/>
      <c r="AWV55" s="818"/>
      <c r="AWW55" s="818"/>
      <c r="AWX55" s="818"/>
      <c r="AWY55" s="818"/>
      <c r="AWZ55" s="818"/>
      <c r="AXA55" s="818"/>
      <c r="AXB55" s="818"/>
      <c r="AXC55" s="818"/>
      <c r="AXD55" s="818"/>
      <c r="AXE55" s="818"/>
      <c r="AXF55" s="818"/>
      <c r="AXG55" s="818"/>
      <c r="AXH55" s="818"/>
      <c r="AXI55" s="818"/>
      <c r="AXJ55" s="818"/>
      <c r="AXK55" s="818"/>
      <c r="AXL55" s="818"/>
      <c r="AXM55" s="818"/>
      <c r="AXN55" s="818"/>
      <c r="AXO55" s="818"/>
      <c r="AXP55" s="818"/>
      <c r="AXQ55" s="818"/>
      <c r="AXR55" s="818"/>
      <c r="AXS55" s="818"/>
      <c r="AXT55" s="818"/>
      <c r="AXU55" s="818"/>
      <c r="AXV55" s="818"/>
      <c r="AXW55" s="818"/>
      <c r="AXX55" s="818"/>
      <c r="AXY55" s="818"/>
      <c r="AXZ55" s="818"/>
      <c r="AYA55" s="818"/>
      <c r="AYB55" s="818"/>
      <c r="AYC55" s="818"/>
      <c r="AYD55" s="818"/>
      <c r="AYE55" s="818"/>
      <c r="AYF55" s="818"/>
      <c r="AYG55" s="818"/>
      <c r="AYH55" s="818"/>
      <c r="AYI55" s="818"/>
      <c r="AYJ55" s="818"/>
      <c r="AYK55" s="818"/>
      <c r="AYL55" s="818"/>
      <c r="AYM55" s="818"/>
      <c r="AYN55" s="818"/>
      <c r="AYO55" s="818"/>
      <c r="AYP55" s="818"/>
      <c r="AYQ55" s="818"/>
    </row>
    <row r="56" spans="1283:1343" x14ac:dyDescent="0.2">
      <c r="AWI56" s="818"/>
      <c r="AWJ56" s="818"/>
      <c r="AWK56" s="818"/>
      <c r="AWL56" s="818"/>
      <c r="AWM56" s="818"/>
      <c r="AWN56" s="818"/>
      <c r="AWO56" s="818"/>
      <c r="AWP56" s="818"/>
      <c r="AWQ56" s="818"/>
      <c r="AWR56" s="818"/>
      <c r="AWS56" s="818"/>
      <c r="AWT56" s="818"/>
      <c r="AWU56" s="818"/>
      <c r="AWV56" s="818"/>
      <c r="AWW56" s="818"/>
      <c r="AWX56" s="818"/>
      <c r="AWY56" s="818"/>
      <c r="AWZ56" s="818"/>
      <c r="AXA56" s="818"/>
      <c r="AXB56" s="818"/>
      <c r="AXC56" s="818"/>
      <c r="AXD56" s="818"/>
      <c r="AXE56" s="818"/>
      <c r="AXF56" s="818"/>
      <c r="AXG56" s="818"/>
      <c r="AXH56" s="818"/>
      <c r="AXI56" s="818"/>
      <c r="AXJ56" s="818"/>
      <c r="AXK56" s="818"/>
      <c r="AXL56" s="818"/>
      <c r="AXM56" s="818"/>
      <c r="AXN56" s="818"/>
      <c r="AXO56" s="818"/>
      <c r="AXP56" s="818"/>
      <c r="AXQ56" s="818"/>
      <c r="AXR56" s="818"/>
      <c r="AXS56" s="818"/>
      <c r="AXT56" s="818"/>
      <c r="AXU56" s="818"/>
      <c r="AXV56" s="818"/>
      <c r="AXW56" s="818"/>
      <c r="AXX56" s="818"/>
      <c r="AXY56" s="818"/>
      <c r="AXZ56" s="818"/>
      <c r="AYA56" s="818"/>
      <c r="AYB56" s="818"/>
      <c r="AYC56" s="818"/>
      <c r="AYD56" s="818"/>
      <c r="AYE56" s="818"/>
      <c r="AYF56" s="818"/>
      <c r="AYG56" s="818"/>
      <c r="AYH56" s="818"/>
      <c r="AYI56" s="818"/>
      <c r="AYJ56" s="818"/>
      <c r="AYK56" s="818"/>
      <c r="AYL56" s="818"/>
      <c r="AYM56" s="818"/>
      <c r="AYN56" s="818"/>
      <c r="AYO56" s="818"/>
      <c r="AYP56" s="818"/>
      <c r="AYQ56" s="818"/>
    </row>
    <row r="57" spans="1283:1343" x14ac:dyDescent="0.2">
      <c r="AWI57" s="818"/>
      <c r="AWJ57" s="818"/>
      <c r="AWK57" s="818"/>
      <c r="AWL57" s="818"/>
      <c r="AWM57" s="818"/>
      <c r="AWN57" s="818"/>
      <c r="AWO57" s="818"/>
      <c r="AWP57" s="818"/>
      <c r="AWQ57" s="818"/>
      <c r="AWR57" s="818"/>
      <c r="AWS57" s="818"/>
      <c r="AWT57" s="818"/>
      <c r="AWU57" s="818"/>
      <c r="AWV57" s="818"/>
      <c r="AWW57" s="818"/>
      <c r="AWX57" s="818"/>
      <c r="AWY57" s="818"/>
      <c r="AWZ57" s="818"/>
      <c r="AXA57" s="818"/>
      <c r="AXB57" s="818"/>
      <c r="AXC57" s="818"/>
      <c r="AXD57" s="818"/>
      <c r="AXE57" s="818"/>
      <c r="AXF57" s="818"/>
      <c r="AXG57" s="818"/>
      <c r="AXH57" s="818"/>
      <c r="AXI57" s="818"/>
      <c r="AXJ57" s="818"/>
      <c r="AXK57" s="818"/>
      <c r="AXL57" s="818"/>
      <c r="AXM57" s="818"/>
      <c r="AXN57" s="818"/>
      <c r="AXO57" s="818"/>
      <c r="AXP57" s="818"/>
      <c r="AXQ57" s="818"/>
      <c r="AXR57" s="818"/>
      <c r="AXS57" s="818"/>
      <c r="AXT57" s="818"/>
      <c r="AXU57" s="818"/>
      <c r="AXV57" s="818"/>
      <c r="AXW57" s="818"/>
      <c r="AXX57" s="818"/>
      <c r="AXY57" s="818"/>
      <c r="AXZ57" s="818"/>
      <c r="AYA57" s="818"/>
      <c r="AYB57" s="818"/>
      <c r="AYC57" s="818"/>
      <c r="AYD57" s="818"/>
      <c r="AYE57" s="818"/>
      <c r="AYF57" s="818"/>
      <c r="AYG57" s="818"/>
      <c r="AYH57" s="818"/>
      <c r="AYI57" s="818"/>
      <c r="AYJ57" s="818"/>
      <c r="AYK57" s="818"/>
      <c r="AYL57" s="818"/>
      <c r="AYM57" s="818"/>
      <c r="AYN57" s="818"/>
      <c r="AYO57" s="818"/>
      <c r="AYP57" s="818"/>
      <c r="AYQ57" s="818"/>
    </row>
    <row r="58" spans="1283:1343" x14ac:dyDescent="0.2">
      <c r="AWI58" s="818"/>
      <c r="AWJ58" s="818"/>
      <c r="AWK58" s="818"/>
      <c r="AWL58" s="818"/>
      <c r="AWM58" s="818"/>
      <c r="AWN58" s="818"/>
      <c r="AWO58" s="818"/>
      <c r="AWP58" s="818"/>
      <c r="AWQ58" s="818"/>
      <c r="AWR58" s="818"/>
      <c r="AWS58" s="818"/>
      <c r="AWT58" s="818"/>
      <c r="AWU58" s="818"/>
      <c r="AWV58" s="818"/>
      <c r="AWW58" s="818"/>
      <c r="AWX58" s="818"/>
      <c r="AWY58" s="818"/>
      <c r="AWZ58" s="818"/>
      <c r="AXA58" s="818"/>
      <c r="AXB58" s="818"/>
      <c r="AXC58" s="818"/>
      <c r="AXD58" s="818"/>
      <c r="AXE58" s="818"/>
      <c r="AXF58" s="818"/>
      <c r="AXG58" s="818"/>
      <c r="AXH58" s="818"/>
      <c r="AXI58" s="818"/>
      <c r="AXJ58" s="818"/>
      <c r="AXK58" s="818"/>
      <c r="AXL58" s="818"/>
      <c r="AXM58" s="818"/>
      <c r="AXN58" s="818"/>
      <c r="AXO58" s="818"/>
      <c r="AXP58" s="818"/>
      <c r="AXQ58" s="818"/>
      <c r="AXR58" s="818"/>
      <c r="AXS58" s="818"/>
      <c r="AXT58" s="818"/>
      <c r="AXU58" s="818"/>
      <c r="AXV58" s="818"/>
      <c r="AXW58" s="818"/>
      <c r="AXX58" s="818"/>
      <c r="AXY58" s="818"/>
      <c r="AXZ58" s="818"/>
      <c r="AYA58" s="818"/>
      <c r="AYB58" s="818"/>
      <c r="AYC58" s="818"/>
      <c r="AYD58" s="818"/>
      <c r="AYE58" s="818"/>
      <c r="AYF58" s="818"/>
      <c r="AYG58" s="818"/>
      <c r="AYH58" s="818"/>
      <c r="AYI58" s="818"/>
      <c r="AYJ58" s="818"/>
      <c r="AYK58" s="818"/>
      <c r="AYL58" s="818"/>
      <c r="AYM58" s="818"/>
      <c r="AYN58" s="818"/>
      <c r="AYO58" s="818"/>
      <c r="AYP58" s="818"/>
      <c r="AYQ58" s="818"/>
    </row>
    <row r="59" spans="1283:1343" x14ac:dyDescent="0.2">
      <c r="AWI59" s="818"/>
      <c r="AWJ59" s="818"/>
      <c r="AWK59" s="818"/>
      <c r="AWL59" s="818"/>
      <c r="AWM59" s="818"/>
      <c r="AWN59" s="818"/>
      <c r="AWO59" s="818"/>
      <c r="AWP59" s="818"/>
      <c r="AWQ59" s="818"/>
      <c r="AWR59" s="818"/>
      <c r="AWS59" s="818"/>
      <c r="AWT59" s="818"/>
      <c r="AWU59" s="818"/>
      <c r="AWV59" s="818"/>
      <c r="AWW59" s="818"/>
      <c r="AWX59" s="818"/>
      <c r="AWY59" s="818"/>
      <c r="AWZ59" s="818"/>
      <c r="AXA59" s="818"/>
      <c r="AXB59" s="818"/>
      <c r="AXC59" s="818"/>
      <c r="AXD59" s="818"/>
      <c r="AXE59" s="818"/>
      <c r="AXF59" s="818"/>
      <c r="AXG59" s="818"/>
      <c r="AXH59" s="818"/>
      <c r="AXI59" s="818"/>
      <c r="AXJ59" s="818"/>
      <c r="AXK59" s="818"/>
      <c r="AXL59" s="818"/>
      <c r="AXM59" s="818"/>
      <c r="AXN59" s="818"/>
      <c r="AXO59" s="818"/>
      <c r="AXP59" s="818"/>
      <c r="AXQ59" s="818"/>
      <c r="AXR59" s="818"/>
      <c r="AXS59" s="818"/>
      <c r="AXT59" s="818"/>
      <c r="AXU59" s="818"/>
      <c r="AXV59" s="818"/>
      <c r="AXW59" s="818"/>
      <c r="AXX59" s="818"/>
      <c r="AXY59" s="818"/>
      <c r="AXZ59" s="818"/>
      <c r="AYA59" s="818"/>
      <c r="AYB59" s="818"/>
      <c r="AYC59" s="818"/>
      <c r="AYD59" s="818"/>
      <c r="AYE59" s="818"/>
      <c r="AYF59" s="818"/>
      <c r="AYG59" s="818"/>
      <c r="AYH59" s="818"/>
      <c r="AYI59" s="818"/>
      <c r="AYJ59" s="818"/>
      <c r="AYK59" s="818"/>
      <c r="AYL59" s="818"/>
      <c r="AYM59" s="818"/>
      <c r="AYN59" s="818"/>
      <c r="AYO59" s="818"/>
      <c r="AYP59" s="818"/>
      <c r="AYQ59" s="818"/>
    </row>
    <row r="60" spans="1283:1343" x14ac:dyDescent="0.2">
      <c r="AWI60" s="818"/>
      <c r="AWJ60" s="818"/>
      <c r="AWK60" s="818"/>
      <c r="AWL60" s="818"/>
      <c r="AWM60" s="818"/>
      <c r="AWN60" s="818"/>
      <c r="AWO60" s="818"/>
      <c r="AWP60" s="818"/>
      <c r="AWQ60" s="818"/>
      <c r="AWR60" s="818"/>
      <c r="AWS60" s="818"/>
      <c r="AWT60" s="818"/>
      <c r="AWU60" s="818"/>
      <c r="AWV60" s="818"/>
      <c r="AWW60" s="818"/>
      <c r="AWX60" s="818"/>
      <c r="AWY60" s="818"/>
      <c r="AWZ60" s="818"/>
      <c r="AXA60" s="818"/>
      <c r="AXB60" s="818"/>
      <c r="AXC60" s="818"/>
      <c r="AXD60" s="818"/>
      <c r="AXE60" s="818"/>
      <c r="AXF60" s="818"/>
      <c r="AXG60" s="818"/>
      <c r="AXH60" s="818"/>
      <c r="AXI60" s="818"/>
      <c r="AXJ60" s="818"/>
      <c r="AXK60" s="818"/>
      <c r="AXL60" s="818"/>
      <c r="AXM60" s="818"/>
      <c r="AXN60" s="818"/>
      <c r="AXO60" s="818"/>
      <c r="AXP60" s="818"/>
      <c r="AXQ60" s="818"/>
      <c r="AXR60" s="818"/>
      <c r="AXS60" s="818"/>
      <c r="AXT60" s="818"/>
      <c r="AXU60" s="818"/>
      <c r="AXV60" s="818"/>
      <c r="AXW60" s="818"/>
      <c r="AXX60" s="818"/>
      <c r="AXY60" s="818"/>
      <c r="AXZ60" s="818"/>
      <c r="AYA60" s="818"/>
      <c r="AYB60" s="818"/>
      <c r="AYC60" s="818"/>
      <c r="AYD60" s="818"/>
      <c r="AYE60" s="818"/>
      <c r="AYF60" s="818"/>
      <c r="AYG60" s="818"/>
      <c r="AYH60" s="818"/>
      <c r="AYI60" s="818"/>
      <c r="AYJ60" s="818"/>
      <c r="AYK60" s="818"/>
      <c r="AYL60" s="818"/>
      <c r="AYM60" s="818"/>
      <c r="AYN60" s="818"/>
      <c r="AYO60" s="818"/>
      <c r="AYP60" s="818"/>
      <c r="AYQ60" s="818"/>
    </row>
    <row r="61" spans="1283:1343" x14ac:dyDescent="0.2">
      <c r="AWI61" s="818"/>
      <c r="AWJ61" s="818"/>
      <c r="AWK61" s="818"/>
      <c r="AWL61" s="818"/>
      <c r="AWM61" s="818"/>
      <c r="AWN61" s="818"/>
      <c r="AWO61" s="818"/>
      <c r="AWP61" s="818"/>
      <c r="AWQ61" s="818"/>
      <c r="AWR61" s="818"/>
      <c r="AWS61" s="818"/>
      <c r="AWT61" s="818"/>
      <c r="AWU61" s="818"/>
      <c r="AWV61" s="818"/>
      <c r="AWW61" s="818"/>
      <c r="AWX61" s="818"/>
      <c r="AWY61" s="818"/>
      <c r="AWZ61" s="818"/>
      <c r="AXA61" s="818"/>
      <c r="AXB61" s="818"/>
      <c r="AXC61" s="818"/>
      <c r="AXD61" s="818"/>
      <c r="AXE61" s="818"/>
      <c r="AXF61" s="818"/>
      <c r="AXG61" s="818"/>
      <c r="AXH61" s="818"/>
      <c r="AXI61" s="818"/>
      <c r="AXJ61" s="818"/>
      <c r="AXK61" s="818"/>
      <c r="AXL61" s="818"/>
      <c r="AXM61" s="818"/>
      <c r="AXN61" s="818"/>
      <c r="AXO61" s="818"/>
      <c r="AXP61" s="818"/>
      <c r="AXQ61" s="818"/>
      <c r="AXR61" s="818"/>
      <c r="AXS61" s="818"/>
      <c r="AXT61" s="818"/>
      <c r="AXU61" s="818"/>
      <c r="AXV61" s="818"/>
      <c r="AXW61" s="818"/>
      <c r="AXX61" s="818"/>
      <c r="AXY61" s="818"/>
      <c r="AXZ61" s="818"/>
      <c r="AYA61" s="818"/>
      <c r="AYB61" s="818"/>
      <c r="AYC61" s="818"/>
      <c r="AYD61" s="818"/>
      <c r="AYE61" s="818"/>
      <c r="AYF61" s="818"/>
      <c r="AYG61" s="818"/>
      <c r="AYH61" s="818"/>
      <c r="AYI61" s="818"/>
      <c r="AYJ61" s="818"/>
      <c r="AYK61" s="818"/>
      <c r="AYL61" s="818"/>
      <c r="AYM61" s="818"/>
      <c r="AYN61" s="818"/>
      <c r="AYO61" s="818"/>
      <c r="AYP61" s="818"/>
      <c r="AYQ61" s="818"/>
    </row>
    <row r="62" spans="1283:1343" x14ac:dyDescent="0.2">
      <c r="AWI62" s="818"/>
      <c r="AWJ62" s="818"/>
      <c r="AWK62" s="818"/>
      <c r="AWL62" s="818"/>
      <c r="AWM62" s="818"/>
      <c r="AWN62" s="818"/>
      <c r="AWO62" s="818"/>
      <c r="AWP62" s="818"/>
      <c r="AWQ62" s="818"/>
      <c r="AWR62" s="818"/>
      <c r="AWS62" s="818"/>
      <c r="AWT62" s="818"/>
      <c r="AWU62" s="818"/>
      <c r="AWV62" s="818"/>
      <c r="AWW62" s="818"/>
      <c r="AWX62" s="818"/>
      <c r="AWY62" s="818"/>
      <c r="AWZ62" s="818"/>
      <c r="AXA62" s="818"/>
      <c r="AXB62" s="818"/>
      <c r="AXC62" s="818"/>
      <c r="AXD62" s="818"/>
      <c r="AXE62" s="818"/>
      <c r="AXF62" s="818"/>
      <c r="AXG62" s="818"/>
      <c r="AXH62" s="818"/>
      <c r="AXI62" s="818"/>
      <c r="AXJ62" s="818"/>
      <c r="AXK62" s="818"/>
      <c r="AXL62" s="818"/>
      <c r="AXM62" s="818"/>
      <c r="AXN62" s="818"/>
      <c r="AXO62" s="818"/>
      <c r="AXP62" s="818"/>
      <c r="AXQ62" s="818"/>
      <c r="AXR62" s="818"/>
      <c r="AXS62" s="818"/>
      <c r="AXT62" s="818"/>
      <c r="AXU62" s="818"/>
      <c r="AXV62" s="818"/>
      <c r="AXW62" s="818"/>
      <c r="AXX62" s="818"/>
      <c r="AXY62" s="818"/>
      <c r="AXZ62" s="818"/>
      <c r="AYA62" s="818"/>
      <c r="AYB62" s="818"/>
      <c r="AYC62" s="818"/>
      <c r="AYD62" s="818"/>
      <c r="AYE62" s="818"/>
      <c r="AYF62" s="818"/>
      <c r="AYG62" s="818"/>
      <c r="AYH62" s="818"/>
      <c r="AYI62" s="818"/>
      <c r="AYJ62" s="818"/>
      <c r="AYK62" s="818"/>
      <c r="AYL62" s="818"/>
      <c r="AYM62" s="818"/>
      <c r="AYN62" s="818"/>
      <c r="AYO62" s="818"/>
      <c r="AYP62" s="818"/>
      <c r="AYQ62" s="818"/>
    </row>
    <row r="63" spans="1283:1343" x14ac:dyDescent="0.2">
      <c r="AWI63" s="818"/>
      <c r="AWJ63" s="818"/>
      <c r="AWK63" s="818"/>
      <c r="AWL63" s="818"/>
      <c r="AWM63" s="818"/>
      <c r="AWN63" s="818"/>
      <c r="AWO63" s="818"/>
      <c r="AWP63" s="818"/>
      <c r="AWQ63" s="818"/>
      <c r="AWR63" s="818"/>
      <c r="AWS63" s="818"/>
      <c r="AWT63" s="818"/>
      <c r="AWU63" s="818"/>
      <c r="AWV63" s="818"/>
      <c r="AWW63" s="818"/>
      <c r="AWX63" s="818"/>
      <c r="AWY63" s="818"/>
      <c r="AWZ63" s="818"/>
      <c r="AXA63" s="818"/>
      <c r="AXB63" s="818"/>
      <c r="AXC63" s="818"/>
      <c r="AXD63" s="818"/>
      <c r="AXE63" s="818"/>
      <c r="AXF63" s="818"/>
      <c r="AXG63" s="818"/>
      <c r="AXH63" s="818"/>
      <c r="AXI63" s="818"/>
      <c r="AXJ63" s="818"/>
      <c r="AXK63" s="818"/>
      <c r="AXL63" s="818"/>
      <c r="AXM63" s="818"/>
      <c r="AXN63" s="818"/>
      <c r="AXO63" s="818"/>
      <c r="AXP63" s="818"/>
      <c r="AXQ63" s="818"/>
      <c r="AXR63" s="818"/>
      <c r="AXS63" s="818"/>
      <c r="AXT63" s="818"/>
      <c r="AXU63" s="818"/>
      <c r="AXV63" s="818"/>
      <c r="AXW63" s="818"/>
      <c r="AXX63" s="818"/>
      <c r="AXY63" s="818"/>
      <c r="AXZ63" s="818"/>
      <c r="AYA63" s="818"/>
      <c r="AYB63" s="818"/>
      <c r="AYC63" s="818"/>
      <c r="AYD63" s="818"/>
      <c r="AYE63" s="818"/>
      <c r="AYF63" s="818"/>
      <c r="AYG63" s="818"/>
      <c r="AYH63" s="818"/>
      <c r="AYI63" s="818"/>
      <c r="AYJ63" s="818"/>
      <c r="AYK63" s="818"/>
      <c r="AYL63" s="818"/>
      <c r="AYM63" s="818"/>
      <c r="AYN63" s="818"/>
      <c r="AYO63" s="818"/>
      <c r="AYP63" s="818"/>
      <c r="AYQ63" s="818"/>
    </row>
    <row r="64" spans="1283:1343" x14ac:dyDescent="0.2">
      <c r="AWI64" s="818"/>
      <c r="AWJ64" s="818"/>
      <c r="AWK64" s="818"/>
      <c r="AWL64" s="818"/>
      <c r="AWM64" s="818"/>
      <c r="AWN64" s="818"/>
      <c r="AWO64" s="818"/>
      <c r="AWP64" s="818"/>
      <c r="AWQ64" s="818"/>
      <c r="AWR64" s="818"/>
      <c r="AWS64" s="818"/>
      <c r="AWT64" s="818"/>
      <c r="AWU64" s="818"/>
      <c r="AWV64" s="818"/>
      <c r="AWW64" s="818"/>
      <c r="AWX64" s="818"/>
      <c r="AWY64" s="818"/>
      <c r="AWZ64" s="818"/>
      <c r="AXA64" s="818"/>
      <c r="AXB64" s="818"/>
      <c r="AXC64" s="818"/>
      <c r="AXD64" s="818"/>
      <c r="AXE64" s="818"/>
      <c r="AXF64" s="818"/>
      <c r="AXG64" s="818"/>
      <c r="AXH64" s="818"/>
      <c r="AXI64" s="818"/>
      <c r="AXJ64" s="818"/>
      <c r="AXK64" s="818"/>
      <c r="AXL64" s="818"/>
      <c r="AXM64" s="818"/>
      <c r="AXN64" s="818"/>
      <c r="AXO64" s="818"/>
      <c r="AXP64" s="818"/>
      <c r="AXQ64" s="818"/>
      <c r="AXR64" s="818"/>
      <c r="AXS64" s="818"/>
      <c r="AXT64" s="818"/>
      <c r="AXU64" s="818"/>
      <c r="AXV64" s="818"/>
      <c r="AXW64" s="818"/>
      <c r="AXX64" s="818"/>
      <c r="AXY64" s="818"/>
      <c r="AXZ64" s="818"/>
      <c r="AYA64" s="818"/>
      <c r="AYB64" s="818"/>
      <c r="AYC64" s="818"/>
      <c r="AYD64" s="818"/>
      <c r="AYE64" s="818"/>
      <c r="AYF64" s="818"/>
      <c r="AYG64" s="818"/>
      <c r="AYH64" s="818"/>
      <c r="AYI64" s="818"/>
      <c r="AYJ64" s="818"/>
      <c r="AYK64" s="818"/>
      <c r="AYL64" s="818"/>
      <c r="AYM64" s="818"/>
      <c r="AYN64" s="818"/>
      <c r="AYO64" s="818"/>
      <c r="AYP64" s="818"/>
      <c r="AYQ64" s="818"/>
    </row>
    <row r="65" spans="9:11 1283:1343" x14ac:dyDescent="0.2">
      <c r="AWI65" s="818"/>
      <c r="AWJ65" s="818"/>
      <c r="AWK65" s="818"/>
      <c r="AWL65" s="818"/>
      <c r="AWM65" s="818"/>
      <c r="AWN65" s="818"/>
      <c r="AWO65" s="818"/>
      <c r="AWP65" s="818"/>
      <c r="AWQ65" s="818"/>
      <c r="AWR65" s="818"/>
      <c r="AWS65" s="818"/>
      <c r="AWT65" s="818"/>
      <c r="AWU65" s="818"/>
      <c r="AWV65" s="818"/>
      <c r="AWW65" s="818"/>
      <c r="AWX65" s="818"/>
      <c r="AWY65" s="818"/>
      <c r="AWZ65" s="818"/>
      <c r="AXA65" s="818"/>
      <c r="AXB65" s="818"/>
      <c r="AXC65" s="818"/>
      <c r="AXD65" s="818"/>
      <c r="AXE65" s="818"/>
      <c r="AXF65" s="818"/>
      <c r="AXG65" s="818"/>
      <c r="AXH65" s="818"/>
      <c r="AXI65" s="818"/>
      <c r="AXJ65" s="818"/>
      <c r="AXK65" s="818"/>
      <c r="AXL65" s="818"/>
      <c r="AXM65" s="818"/>
      <c r="AXN65" s="818"/>
      <c r="AXO65" s="818"/>
      <c r="AXP65" s="818"/>
      <c r="AXQ65" s="818"/>
      <c r="AXR65" s="818"/>
      <c r="AXS65" s="818"/>
      <c r="AXT65" s="818"/>
      <c r="AXU65" s="818"/>
      <c r="AXV65" s="818"/>
      <c r="AXW65" s="818"/>
      <c r="AXX65" s="818"/>
      <c r="AXY65" s="818"/>
      <c r="AXZ65" s="818"/>
      <c r="AYA65" s="818"/>
      <c r="AYB65" s="818"/>
      <c r="AYC65" s="818"/>
      <c r="AYD65" s="818"/>
      <c r="AYE65" s="818"/>
      <c r="AYF65" s="818"/>
      <c r="AYG65" s="818"/>
      <c r="AYH65" s="818"/>
      <c r="AYI65" s="818"/>
      <c r="AYJ65" s="818"/>
      <c r="AYK65" s="818"/>
      <c r="AYL65" s="818"/>
      <c r="AYM65" s="818"/>
      <c r="AYN65" s="818"/>
      <c r="AYO65" s="818"/>
      <c r="AYP65" s="818"/>
      <c r="AYQ65" s="818"/>
    </row>
    <row r="66" spans="9:11 1283:1343" x14ac:dyDescent="0.2">
      <c r="AWI66" s="818"/>
      <c r="AWJ66" s="818"/>
      <c r="AWK66" s="818"/>
      <c r="AWL66" s="818"/>
      <c r="AWM66" s="818"/>
      <c r="AWN66" s="818"/>
      <c r="AWO66" s="818"/>
      <c r="AWP66" s="818"/>
      <c r="AWQ66" s="818"/>
      <c r="AWR66" s="818"/>
      <c r="AWS66" s="818"/>
      <c r="AWT66" s="818"/>
      <c r="AWU66" s="818"/>
      <c r="AWV66" s="818"/>
      <c r="AWW66" s="818"/>
      <c r="AWX66" s="818"/>
      <c r="AWY66" s="818"/>
      <c r="AWZ66" s="818"/>
      <c r="AXA66" s="818"/>
      <c r="AXB66" s="818"/>
      <c r="AXC66" s="818"/>
      <c r="AXD66" s="818"/>
      <c r="AXE66" s="818"/>
      <c r="AXF66" s="818"/>
      <c r="AXG66" s="818"/>
      <c r="AXH66" s="818"/>
      <c r="AXI66" s="818"/>
      <c r="AXJ66" s="818"/>
      <c r="AXK66" s="818"/>
      <c r="AXL66" s="818"/>
      <c r="AXM66" s="818"/>
      <c r="AXN66" s="818"/>
      <c r="AXO66" s="818"/>
      <c r="AXP66" s="818"/>
      <c r="AXQ66" s="818"/>
      <c r="AXR66" s="818"/>
      <c r="AXS66" s="818"/>
      <c r="AXT66" s="818"/>
      <c r="AXU66" s="818"/>
      <c r="AXV66" s="818"/>
      <c r="AXW66" s="818"/>
      <c r="AXX66" s="818"/>
      <c r="AXY66" s="818"/>
      <c r="AXZ66" s="818"/>
      <c r="AYA66" s="818"/>
      <c r="AYB66" s="818"/>
      <c r="AYC66" s="818"/>
      <c r="AYD66" s="818"/>
      <c r="AYE66" s="818"/>
      <c r="AYF66" s="818"/>
      <c r="AYG66" s="818"/>
      <c r="AYH66" s="818"/>
      <c r="AYI66" s="818"/>
      <c r="AYJ66" s="818"/>
      <c r="AYK66" s="818"/>
      <c r="AYL66" s="818"/>
      <c r="AYM66" s="818"/>
      <c r="AYN66" s="818"/>
      <c r="AYO66" s="818"/>
      <c r="AYP66" s="818"/>
      <c r="AYQ66" s="818"/>
    </row>
    <row r="67" spans="9:11 1283:1343" x14ac:dyDescent="0.2">
      <c r="AWI67" s="818"/>
      <c r="AWJ67" s="818"/>
      <c r="AWK67" s="818"/>
      <c r="AWL67" s="818"/>
      <c r="AWM67" s="818"/>
      <c r="AWN67" s="818"/>
      <c r="AWO67" s="818"/>
      <c r="AWP67" s="818"/>
      <c r="AWQ67" s="818"/>
      <c r="AWR67" s="818"/>
      <c r="AWS67" s="818"/>
      <c r="AWT67" s="818"/>
      <c r="AWU67" s="818"/>
      <c r="AWV67" s="818"/>
      <c r="AWW67" s="818"/>
      <c r="AWX67" s="818"/>
      <c r="AWY67" s="818"/>
      <c r="AWZ67" s="818"/>
      <c r="AXA67" s="818"/>
      <c r="AXB67" s="818"/>
      <c r="AXC67" s="818"/>
      <c r="AXD67" s="818"/>
      <c r="AXE67" s="818"/>
      <c r="AXF67" s="818"/>
      <c r="AXG67" s="818"/>
      <c r="AXH67" s="818"/>
      <c r="AXI67" s="818"/>
      <c r="AXJ67" s="818"/>
      <c r="AXK67" s="818"/>
      <c r="AXL67" s="818"/>
      <c r="AXM67" s="818"/>
      <c r="AXN67" s="818"/>
      <c r="AXO67" s="818"/>
      <c r="AXP67" s="818"/>
      <c r="AXQ67" s="818"/>
      <c r="AXR67" s="818"/>
      <c r="AXS67" s="818"/>
      <c r="AXT67" s="818"/>
      <c r="AXU67" s="818"/>
      <c r="AXV67" s="818"/>
      <c r="AXW67" s="818"/>
      <c r="AXX67" s="818"/>
      <c r="AXY67" s="818"/>
      <c r="AXZ67" s="818"/>
      <c r="AYA67" s="818"/>
      <c r="AYB67" s="818"/>
      <c r="AYC67" s="818"/>
      <c r="AYD67" s="818"/>
      <c r="AYE67" s="818"/>
      <c r="AYF67" s="818"/>
      <c r="AYG67" s="818"/>
      <c r="AYH67" s="818"/>
      <c r="AYI67" s="818"/>
      <c r="AYJ67" s="818"/>
      <c r="AYK67" s="818"/>
      <c r="AYL67" s="818"/>
      <c r="AYM67" s="818"/>
      <c r="AYN67" s="818"/>
      <c r="AYO67" s="818"/>
      <c r="AYP67" s="818"/>
      <c r="AYQ67" s="818"/>
    </row>
    <row r="68" spans="9:11 1283:1343" x14ac:dyDescent="0.2">
      <c r="AWI68" s="818"/>
      <c r="AWJ68" s="818"/>
      <c r="AWK68" s="818"/>
      <c r="AWL68" s="818"/>
      <c r="AWM68" s="818"/>
      <c r="AWN68" s="818"/>
      <c r="AWO68" s="818"/>
      <c r="AWP68" s="818"/>
      <c r="AWQ68" s="818"/>
      <c r="AWR68" s="818"/>
      <c r="AWS68" s="818"/>
      <c r="AWT68" s="818"/>
      <c r="AWU68" s="818"/>
      <c r="AWV68" s="818"/>
      <c r="AWW68" s="818"/>
      <c r="AWX68" s="818"/>
      <c r="AWY68" s="818"/>
      <c r="AWZ68" s="818"/>
      <c r="AXA68" s="818"/>
      <c r="AXB68" s="818"/>
      <c r="AXC68" s="818"/>
      <c r="AXD68" s="818"/>
      <c r="AXE68" s="818"/>
      <c r="AXF68" s="818"/>
      <c r="AXG68" s="818"/>
      <c r="AXH68" s="818"/>
      <c r="AXI68" s="818"/>
      <c r="AXJ68" s="818"/>
      <c r="AXK68" s="818"/>
      <c r="AXL68" s="818"/>
      <c r="AXM68" s="818"/>
      <c r="AXN68" s="818"/>
      <c r="AXO68" s="818"/>
      <c r="AXP68" s="818"/>
      <c r="AXQ68" s="818"/>
      <c r="AXR68" s="818"/>
      <c r="AXS68" s="818"/>
      <c r="AXT68" s="818"/>
      <c r="AXU68" s="818"/>
      <c r="AXV68" s="818"/>
      <c r="AXW68" s="818"/>
      <c r="AXX68" s="818"/>
      <c r="AXY68" s="818"/>
      <c r="AXZ68" s="818"/>
      <c r="AYA68" s="818"/>
      <c r="AYB68" s="818"/>
      <c r="AYC68" s="818"/>
      <c r="AYD68" s="818"/>
      <c r="AYE68" s="818"/>
      <c r="AYF68" s="818"/>
      <c r="AYG68" s="818"/>
      <c r="AYH68" s="818"/>
      <c r="AYI68" s="818"/>
      <c r="AYJ68" s="818"/>
      <c r="AYK68" s="818"/>
      <c r="AYL68" s="818"/>
      <c r="AYM68" s="818"/>
      <c r="AYN68" s="818"/>
      <c r="AYO68" s="818"/>
      <c r="AYP68" s="818"/>
      <c r="AYQ68" s="818"/>
    </row>
    <row r="69" spans="9:11 1283:1343" x14ac:dyDescent="0.2">
      <c r="AWI69" s="818"/>
      <c r="AWJ69" s="818"/>
      <c r="AWK69" s="818"/>
      <c r="AWL69" s="818"/>
      <c r="AWM69" s="818"/>
      <c r="AWN69" s="818"/>
      <c r="AWO69" s="818"/>
      <c r="AWP69" s="818"/>
      <c r="AWQ69" s="818"/>
      <c r="AWR69" s="818"/>
      <c r="AWS69" s="818"/>
      <c r="AWT69" s="818"/>
      <c r="AWU69" s="818"/>
      <c r="AWV69" s="818"/>
      <c r="AWW69" s="818"/>
      <c r="AWX69" s="818"/>
      <c r="AWY69" s="818"/>
      <c r="AWZ69" s="818"/>
      <c r="AXA69" s="818"/>
      <c r="AXB69" s="818"/>
      <c r="AXC69" s="818"/>
      <c r="AXD69" s="818"/>
      <c r="AXE69" s="818"/>
      <c r="AXF69" s="818"/>
      <c r="AXG69" s="818"/>
      <c r="AXH69" s="818"/>
      <c r="AXI69" s="818"/>
      <c r="AXJ69" s="818"/>
      <c r="AXK69" s="818"/>
      <c r="AXL69" s="818"/>
      <c r="AXM69" s="818"/>
      <c r="AXN69" s="818"/>
      <c r="AXO69" s="818"/>
      <c r="AXP69" s="818"/>
      <c r="AXQ69" s="818"/>
      <c r="AXR69" s="818"/>
      <c r="AXS69" s="818"/>
      <c r="AXT69" s="818"/>
      <c r="AXU69" s="818"/>
      <c r="AXV69" s="818"/>
      <c r="AXW69" s="818"/>
      <c r="AXX69" s="818"/>
      <c r="AXY69" s="818"/>
      <c r="AXZ69" s="818"/>
      <c r="AYA69" s="818"/>
      <c r="AYB69" s="818"/>
      <c r="AYC69" s="818"/>
      <c r="AYD69" s="818"/>
      <c r="AYE69" s="818"/>
      <c r="AYF69" s="818"/>
      <c r="AYG69" s="818"/>
      <c r="AYH69" s="818"/>
      <c r="AYI69" s="818"/>
      <c r="AYJ69" s="818"/>
      <c r="AYK69" s="818"/>
      <c r="AYL69" s="818"/>
      <c r="AYM69" s="818"/>
      <c r="AYN69" s="818"/>
      <c r="AYO69" s="818"/>
      <c r="AYP69" s="818"/>
      <c r="AYQ69" s="818"/>
    </row>
    <row r="70" spans="9:11 1283:1343" x14ac:dyDescent="0.2">
      <c r="AWI70" s="818"/>
      <c r="AWJ70" s="818"/>
      <c r="AWK70" s="818"/>
      <c r="AWL70" s="818"/>
      <c r="AWM70" s="818"/>
      <c r="AWN70" s="818"/>
      <c r="AWO70" s="818"/>
      <c r="AWP70" s="818"/>
      <c r="AWQ70" s="818"/>
      <c r="AWR70" s="818"/>
      <c r="AWS70" s="818"/>
      <c r="AWT70" s="818"/>
      <c r="AWU70" s="818"/>
      <c r="AWV70" s="818"/>
      <c r="AWW70" s="818"/>
      <c r="AWX70" s="818"/>
      <c r="AWY70" s="818"/>
      <c r="AWZ70" s="818"/>
      <c r="AXA70" s="818"/>
      <c r="AXB70" s="818"/>
      <c r="AXC70" s="818"/>
      <c r="AXD70" s="818"/>
      <c r="AXE70" s="818"/>
      <c r="AXF70" s="818"/>
      <c r="AXG70" s="818"/>
      <c r="AXH70" s="818"/>
      <c r="AXI70" s="818"/>
      <c r="AXJ70" s="818"/>
      <c r="AXK70" s="818"/>
      <c r="AXL70" s="818"/>
      <c r="AXM70" s="818"/>
      <c r="AXN70" s="818"/>
      <c r="AXO70" s="818"/>
      <c r="AXP70" s="818"/>
      <c r="AXQ70" s="818"/>
      <c r="AXR70" s="818"/>
      <c r="AXS70" s="818"/>
      <c r="AXT70" s="818"/>
      <c r="AXU70" s="818"/>
      <c r="AXV70" s="818"/>
      <c r="AXW70" s="818"/>
      <c r="AXX70" s="818"/>
      <c r="AXY70" s="818"/>
      <c r="AXZ70" s="818"/>
      <c r="AYA70" s="818"/>
      <c r="AYB70" s="818"/>
      <c r="AYC70" s="818"/>
      <c r="AYD70" s="818"/>
      <c r="AYE70" s="818"/>
      <c r="AYF70" s="818"/>
      <c r="AYG70" s="818"/>
      <c r="AYH70" s="818"/>
      <c r="AYI70" s="818"/>
      <c r="AYJ70" s="818"/>
      <c r="AYK70" s="818"/>
      <c r="AYL70" s="818"/>
      <c r="AYM70" s="818"/>
      <c r="AYN70" s="818"/>
      <c r="AYO70" s="818"/>
      <c r="AYP70" s="818"/>
      <c r="AYQ70" s="818"/>
    </row>
    <row r="71" spans="9:11 1283:1343" x14ac:dyDescent="0.2">
      <c r="AWI71" s="818"/>
      <c r="AWJ71" s="818"/>
      <c r="AWK71" s="818"/>
      <c r="AWL71" s="818"/>
      <c r="AWM71" s="818"/>
      <c r="AWN71" s="818"/>
      <c r="AWO71" s="818"/>
      <c r="AWP71" s="818"/>
      <c r="AWQ71" s="818"/>
      <c r="AWR71" s="818"/>
      <c r="AWS71" s="818"/>
      <c r="AWT71" s="818"/>
      <c r="AWU71" s="818"/>
      <c r="AWV71" s="818"/>
      <c r="AWW71" s="818"/>
      <c r="AWX71" s="818"/>
      <c r="AWY71" s="818"/>
      <c r="AWZ71" s="818"/>
      <c r="AXA71" s="818"/>
      <c r="AXB71" s="818"/>
      <c r="AXC71" s="818"/>
      <c r="AXD71" s="818"/>
      <c r="AXE71" s="818"/>
      <c r="AXF71" s="818"/>
      <c r="AXG71" s="818"/>
      <c r="AXH71" s="818"/>
      <c r="AXI71" s="818"/>
      <c r="AXJ71" s="818"/>
      <c r="AXK71" s="818"/>
      <c r="AXL71" s="818"/>
      <c r="AXM71" s="818"/>
      <c r="AXN71" s="818"/>
      <c r="AXO71" s="818"/>
      <c r="AXP71" s="818"/>
      <c r="AXQ71" s="818"/>
      <c r="AXR71" s="818"/>
      <c r="AXS71" s="818"/>
      <c r="AXT71" s="818"/>
      <c r="AXU71" s="818"/>
      <c r="AXV71" s="818"/>
      <c r="AXW71" s="818"/>
      <c r="AXX71" s="818"/>
      <c r="AXY71" s="818"/>
      <c r="AXZ71" s="818"/>
      <c r="AYA71" s="818"/>
      <c r="AYB71" s="818"/>
      <c r="AYC71" s="818"/>
      <c r="AYD71" s="818"/>
      <c r="AYE71" s="818"/>
      <c r="AYF71" s="818"/>
      <c r="AYG71" s="818"/>
      <c r="AYH71" s="818"/>
      <c r="AYI71" s="818"/>
      <c r="AYJ71" s="818"/>
      <c r="AYK71" s="818"/>
      <c r="AYL71" s="818"/>
      <c r="AYM71" s="818"/>
      <c r="AYN71" s="818"/>
      <c r="AYO71" s="818"/>
      <c r="AYP71" s="818"/>
      <c r="AYQ71" s="818"/>
    </row>
    <row r="72" spans="9:11 1283:1343" x14ac:dyDescent="0.2">
      <c r="AWI72" s="818"/>
      <c r="AWJ72" s="818"/>
      <c r="AWK72" s="818"/>
      <c r="AWL72" s="818"/>
      <c r="AWM72" s="818"/>
      <c r="AWN72" s="818"/>
      <c r="AWO72" s="818"/>
      <c r="AWP72" s="818"/>
      <c r="AWQ72" s="818"/>
      <c r="AWR72" s="818"/>
      <c r="AWS72" s="818"/>
      <c r="AWT72" s="818"/>
      <c r="AWU72" s="818"/>
      <c r="AWV72" s="818"/>
      <c r="AWW72" s="818"/>
      <c r="AWX72" s="818"/>
      <c r="AWY72" s="818"/>
      <c r="AWZ72" s="818"/>
      <c r="AXA72" s="818"/>
      <c r="AXB72" s="818"/>
      <c r="AXC72" s="818"/>
      <c r="AXD72" s="818"/>
      <c r="AXE72" s="818"/>
      <c r="AXF72" s="818"/>
      <c r="AXG72" s="818"/>
      <c r="AXH72" s="818"/>
      <c r="AXI72" s="818"/>
      <c r="AXJ72" s="818"/>
      <c r="AXK72" s="818"/>
      <c r="AXL72" s="818"/>
      <c r="AXM72" s="818"/>
      <c r="AXN72" s="818"/>
      <c r="AXO72" s="818"/>
      <c r="AXP72" s="818"/>
      <c r="AXQ72" s="818"/>
      <c r="AXR72" s="818"/>
      <c r="AXS72" s="818"/>
      <c r="AXT72" s="818"/>
      <c r="AXU72" s="818"/>
      <c r="AXV72" s="818"/>
      <c r="AXW72" s="818"/>
      <c r="AXX72" s="818"/>
      <c r="AXY72" s="818"/>
      <c r="AXZ72" s="818"/>
      <c r="AYA72" s="818"/>
      <c r="AYB72" s="818"/>
      <c r="AYC72" s="818"/>
      <c r="AYD72" s="818"/>
      <c r="AYE72" s="818"/>
      <c r="AYF72" s="818"/>
      <c r="AYG72" s="818"/>
      <c r="AYH72" s="818"/>
      <c r="AYI72" s="818"/>
      <c r="AYJ72" s="818"/>
      <c r="AYK72" s="818"/>
      <c r="AYL72" s="818"/>
      <c r="AYM72" s="818"/>
      <c r="AYN72" s="818"/>
      <c r="AYO72" s="818"/>
      <c r="AYP72" s="818"/>
      <c r="AYQ72" s="818"/>
    </row>
    <row r="73" spans="9:11 1283:1343" x14ac:dyDescent="0.2">
      <c r="AWI73" s="818"/>
      <c r="AWJ73" s="818"/>
      <c r="AWK73" s="818"/>
      <c r="AWL73" s="818"/>
      <c r="AWM73" s="818"/>
      <c r="AWN73" s="818"/>
      <c r="AWO73" s="818"/>
      <c r="AWP73" s="818"/>
      <c r="AWQ73" s="818"/>
      <c r="AWR73" s="818"/>
      <c r="AWS73" s="818"/>
      <c r="AWT73" s="818"/>
      <c r="AWU73" s="818"/>
      <c r="AWV73" s="818"/>
      <c r="AWW73" s="818"/>
      <c r="AWX73" s="818"/>
      <c r="AWY73" s="818"/>
      <c r="AWZ73" s="818"/>
      <c r="AXA73" s="818"/>
      <c r="AXB73" s="818"/>
      <c r="AXC73" s="818"/>
      <c r="AXD73" s="818"/>
      <c r="AXE73" s="818"/>
      <c r="AXF73" s="818"/>
      <c r="AXG73" s="818"/>
      <c r="AXH73" s="818"/>
      <c r="AXI73" s="818"/>
      <c r="AXJ73" s="818"/>
      <c r="AXK73" s="818"/>
      <c r="AXL73" s="818"/>
      <c r="AXM73" s="818"/>
      <c r="AXN73" s="818"/>
      <c r="AXO73" s="818"/>
      <c r="AXP73" s="818"/>
      <c r="AXQ73" s="818"/>
      <c r="AXR73" s="818"/>
      <c r="AXS73" s="818"/>
      <c r="AXT73" s="818"/>
      <c r="AXU73" s="818"/>
      <c r="AXV73" s="818"/>
      <c r="AXW73" s="818"/>
      <c r="AXX73" s="818"/>
      <c r="AXY73" s="818"/>
      <c r="AXZ73" s="818"/>
      <c r="AYA73" s="818"/>
      <c r="AYB73" s="818"/>
      <c r="AYC73" s="818"/>
      <c r="AYD73" s="818"/>
      <c r="AYE73" s="818"/>
      <c r="AYF73" s="818"/>
      <c r="AYG73" s="818"/>
      <c r="AYH73" s="818"/>
      <c r="AYI73" s="818"/>
      <c r="AYJ73" s="818"/>
      <c r="AYK73" s="818"/>
      <c r="AYL73" s="818"/>
      <c r="AYM73" s="818"/>
      <c r="AYN73" s="818"/>
      <c r="AYO73" s="818"/>
      <c r="AYP73" s="818"/>
      <c r="AYQ73" s="818"/>
    </row>
    <row r="74" spans="9:11 1283:1343" x14ac:dyDescent="0.2">
      <c r="AWI74" s="818"/>
      <c r="AWJ74" s="818"/>
      <c r="AWK74" s="818"/>
      <c r="AWL74" s="818"/>
      <c r="AWM74" s="818"/>
      <c r="AWN74" s="818"/>
      <c r="AWO74" s="818"/>
      <c r="AWP74" s="818"/>
      <c r="AWQ74" s="818"/>
      <c r="AWR74" s="818"/>
      <c r="AWS74" s="818"/>
      <c r="AWT74" s="818"/>
      <c r="AWU74" s="818"/>
      <c r="AWV74" s="818"/>
      <c r="AWW74" s="818"/>
      <c r="AWX74" s="818"/>
      <c r="AWY74" s="818"/>
      <c r="AWZ74" s="818"/>
      <c r="AXA74" s="818"/>
      <c r="AXB74" s="818"/>
      <c r="AXC74" s="818"/>
      <c r="AXD74" s="818"/>
      <c r="AXE74" s="818"/>
      <c r="AXF74" s="818"/>
      <c r="AXG74" s="818"/>
      <c r="AXH74" s="818"/>
      <c r="AXI74" s="818"/>
      <c r="AXJ74" s="818"/>
      <c r="AXK74" s="818"/>
      <c r="AXL74" s="818"/>
      <c r="AXM74" s="818"/>
      <c r="AXN74" s="818"/>
      <c r="AXO74" s="818"/>
      <c r="AXP74" s="818"/>
      <c r="AXQ74" s="818"/>
      <c r="AXR74" s="818"/>
      <c r="AXS74" s="818"/>
      <c r="AXT74" s="818"/>
      <c r="AXU74" s="818"/>
      <c r="AXV74" s="818"/>
      <c r="AXW74" s="818"/>
      <c r="AXX74" s="818"/>
      <c r="AXY74" s="818"/>
      <c r="AXZ74" s="818"/>
      <c r="AYA74" s="818"/>
      <c r="AYB74" s="818"/>
      <c r="AYC74" s="818"/>
      <c r="AYD74" s="818"/>
      <c r="AYE74" s="818"/>
      <c r="AYF74" s="818"/>
      <c r="AYG74" s="818"/>
      <c r="AYH74" s="818"/>
      <c r="AYI74" s="818"/>
      <c r="AYJ74" s="818"/>
      <c r="AYK74" s="818"/>
      <c r="AYL74" s="818"/>
      <c r="AYM74" s="818"/>
      <c r="AYN74" s="818"/>
      <c r="AYO74" s="818"/>
      <c r="AYP74" s="818"/>
      <c r="AYQ74" s="818"/>
    </row>
    <row r="75" spans="9:11 1283:1343" x14ac:dyDescent="0.2">
      <c r="AWI75" s="818"/>
      <c r="AWJ75" s="818"/>
      <c r="AWK75" s="818"/>
      <c r="AWL75" s="818"/>
      <c r="AWM75" s="818"/>
      <c r="AWN75" s="818"/>
      <c r="AWO75" s="818"/>
      <c r="AWP75" s="818"/>
      <c r="AWQ75" s="818"/>
      <c r="AWR75" s="818"/>
      <c r="AWS75" s="818"/>
      <c r="AWT75" s="818"/>
      <c r="AWU75" s="818"/>
      <c r="AWV75" s="818"/>
      <c r="AWW75" s="818"/>
      <c r="AWX75" s="818"/>
      <c r="AWY75" s="818"/>
      <c r="AWZ75" s="818"/>
      <c r="AXA75" s="818"/>
      <c r="AXB75" s="818"/>
      <c r="AXC75" s="818"/>
      <c r="AXD75" s="818"/>
      <c r="AXE75" s="818"/>
      <c r="AXF75" s="818"/>
      <c r="AXG75" s="818"/>
      <c r="AXH75" s="818"/>
      <c r="AXI75" s="818"/>
      <c r="AXJ75" s="818"/>
      <c r="AXK75" s="818"/>
      <c r="AXL75" s="818"/>
      <c r="AXM75" s="818"/>
      <c r="AXN75" s="818"/>
      <c r="AXO75" s="818"/>
      <c r="AXP75" s="818"/>
      <c r="AXQ75" s="818"/>
      <c r="AXR75" s="818"/>
      <c r="AXS75" s="818"/>
      <c r="AXT75" s="818"/>
      <c r="AXU75" s="818"/>
      <c r="AXV75" s="818"/>
      <c r="AXW75" s="818"/>
      <c r="AXX75" s="818"/>
      <c r="AXY75" s="818"/>
      <c r="AXZ75" s="818"/>
      <c r="AYA75" s="818"/>
      <c r="AYB75" s="818"/>
      <c r="AYC75" s="818"/>
      <c r="AYD75" s="818"/>
      <c r="AYE75" s="818"/>
      <c r="AYF75" s="818"/>
      <c r="AYG75" s="818"/>
      <c r="AYH75" s="818"/>
      <c r="AYI75" s="818"/>
      <c r="AYJ75" s="818"/>
      <c r="AYK75" s="818"/>
      <c r="AYL75" s="818"/>
      <c r="AYM75" s="818"/>
      <c r="AYN75" s="818"/>
      <c r="AYO75" s="818"/>
      <c r="AYP75" s="818"/>
      <c r="AYQ75" s="818"/>
    </row>
    <row r="76" spans="9:11 1283:1343" x14ac:dyDescent="0.2">
      <c r="J76" s="1028"/>
      <c r="AWI76" s="818"/>
      <c r="AWJ76" s="818"/>
      <c r="AWK76" s="818"/>
      <c r="AWL76" s="818"/>
      <c r="AWM76" s="818"/>
      <c r="AWN76" s="818"/>
      <c r="AWO76" s="818"/>
      <c r="AWP76" s="818"/>
      <c r="AWQ76" s="818"/>
      <c r="AWR76" s="818"/>
      <c r="AWS76" s="818"/>
      <c r="AWT76" s="818"/>
      <c r="AWU76" s="818"/>
      <c r="AWV76" s="818"/>
      <c r="AWW76" s="818"/>
      <c r="AWX76" s="818"/>
      <c r="AWY76" s="818"/>
      <c r="AWZ76" s="818"/>
      <c r="AXA76" s="818"/>
      <c r="AXB76" s="818"/>
      <c r="AXC76" s="818"/>
      <c r="AXD76" s="818"/>
      <c r="AXE76" s="818"/>
      <c r="AXF76" s="818"/>
      <c r="AXG76" s="818"/>
      <c r="AXH76" s="818"/>
      <c r="AXI76" s="818"/>
      <c r="AXJ76" s="818"/>
      <c r="AXK76" s="818"/>
      <c r="AXL76" s="818"/>
      <c r="AXM76" s="818"/>
      <c r="AXN76" s="818"/>
      <c r="AXO76" s="818"/>
      <c r="AXP76" s="818"/>
      <c r="AXQ76" s="818"/>
      <c r="AXR76" s="818"/>
      <c r="AXS76" s="818"/>
      <c r="AXT76" s="818"/>
      <c r="AXU76" s="818"/>
      <c r="AXV76" s="818"/>
      <c r="AXW76" s="818"/>
      <c r="AXX76" s="818"/>
      <c r="AXY76" s="818"/>
      <c r="AXZ76" s="818"/>
      <c r="AYA76" s="818"/>
      <c r="AYB76" s="818"/>
      <c r="AYC76" s="818"/>
      <c r="AYD76" s="818"/>
      <c r="AYE76" s="818"/>
      <c r="AYF76" s="818"/>
      <c r="AYG76" s="818"/>
      <c r="AYH76" s="818"/>
      <c r="AYI76" s="818"/>
      <c r="AYJ76" s="818"/>
      <c r="AYK76" s="818"/>
      <c r="AYL76" s="818"/>
      <c r="AYM76" s="818"/>
      <c r="AYN76" s="818"/>
      <c r="AYO76" s="818"/>
      <c r="AYP76" s="818"/>
      <c r="AYQ76" s="818"/>
    </row>
    <row r="77" spans="9:11 1283:1343" x14ac:dyDescent="0.2">
      <c r="I77" s="1025"/>
      <c r="J77" s="1026"/>
      <c r="K77" s="1027"/>
      <c r="AWI77" s="818"/>
      <c r="AWJ77" s="818"/>
      <c r="AWK77" s="818"/>
      <c r="AWL77" s="818"/>
      <c r="AWM77" s="818"/>
      <c r="AWN77" s="818"/>
      <c r="AWO77" s="818"/>
      <c r="AWP77" s="818"/>
      <c r="AWQ77" s="818"/>
      <c r="AWR77" s="818"/>
      <c r="AWS77" s="818"/>
      <c r="AWT77" s="818"/>
      <c r="AWU77" s="818"/>
      <c r="AWV77" s="818"/>
      <c r="AWW77" s="818"/>
      <c r="AWX77" s="818"/>
      <c r="AWY77" s="818"/>
      <c r="AWZ77" s="818"/>
      <c r="AXA77" s="818"/>
      <c r="AXB77" s="818"/>
      <c r="AXC77" s="818"/>
      <c r="AXD77" s="818"/>
      <c r="AXE77" s="818"/>
      <c r="AXF77" s="818"/>
      <c r="AXG77" s="818"/>
      <c r="AXH77" s="818"/>
      <c r="AXI77" s="818"/>
      <c r="AXJ77" s="818"/>
      <c r="AXK77" s="818"/>
      <c r="AXL77" s="818"/>
      <c r="AXM77" s="818"/>
      <c r="AXN77" s="818"/>
      <c r="AXO77" s="818"/>
      <c r="AXP77" s="818"/>
      <c r="AXQ77" s="818"/>
      <c r="AXR77" s="818"/>
      <c r="AXS77" s="818"/>
      <c r="AXT77" s="818"/>
      <c r="AXU77" s="818"/>
      <c r="AXV77" s="818"/>
      <c r="AXW77" s="818"/>
      <c r="AXX77" s="818"/>
      <c r="AXY77" s="818"/>
      <c r="AXZ77" s="818"/>
      <c r="AYA77" s="818"/>
      <c r="AYB77" s="818"/>
      <c r="AYC77" s="818"/>
      <c r="AYD77" s="818"/>
      <c r="AYE77" s="818"/>
      <c r="AYF77" s="818"/>
      <c r="AYG77" s="818"/>
      <c r="AYH77" s="818"/>
      <c r="AYI77" s="818"/>
      <c r="AYJ77" s="818"/>
      <c r="AYK77" s="818"/>
      <c r="AYL77" s="818"/>
      <c r="AYM77" s="818"/>
      <c r="AYN77" s="818"/>
      <c r="AYO77" s="818"/>
      <c r="AYP77" s="818"/>
      <c r="AYQ77" s="818"/>
    </row>
    <row r="78" spans="9:11 1283:1343" x14ac:dyDescent="0.2">
      <c r="I78" s="1028"/>
      <c r="J78" s="1029"/>
      <c r="K78" s="1030"/>
      <c r="AWI78" s="818"/>
      <c r="AWJ78" s="818"/>
      <c r="AWK78" s="818"/>
      <c r="AWL78" s="818"/>
      <c r="AWM78" s="818"/>
      <c r="AWN78" s="818"/>
      <c r="AWO78" s="818"/>
      <c r="AWP78" s="818"/>
      <c r="AWQ78" s="818"/>
      <c r="AWR78" s="818"/>
      <c r="AWS78" s="818"/>
      <c r="AWT78" s="818"/>
      <c r="AWU78" s="818"/>
      <c r="AWV78" s="818"/>
      <c r="AWW78" s="818"/>
      <c r="AWX78" s="818"/>
      <c r="AWY78" s="818"/>
      <c r="AWZ78" s="818"/>
      <c r="AXA78" s="818"/>
      <c r="AXB78" s="818"/>
      <c r="AXC78" s="818"/>
      <c r="AXD78" s="818"/>
      <c r="AXE78" s="818"/>
      <c r="AXF78" s="818"/>
      <c r="AXG78" s="818"/>
      <c r="AXH78" s="818"/>
      <c r="AXI78" s="818"/>
      <c r="AXJ78" s="818"/>
      <c r="AXK78" s="818"/>
      <c r="AXL78" s="818"/>
      <c r="AXM78" s="818"/>
      <c r="AXN78" s="818"/>
      <c r="AXO78" s="818"/>
      <c r="AXP78" s="818"/>
      <c r="AXQ78" s="818"/>
      <c r="AXR78" s="818"/>
      <c r="AXS78" s="818"/>
      <c r="AXT78" s="818"/>
      <c r="AXU78" s="818"/>
      <c r="AXV78" s="818"/>
      <c r="AXW78" s="818"/>
      <c r="AXX78" s="818"/>
      <c r="AXY78" s="818"/>
      <c r="AXZ78" s="818"/>
      <c r="AYA78" s="818"/>
      <c r="AYB78" s="818"/>
      <c r="AYC78" s="818"/>
      <c r="AYD78" s="818"/>
      <c r="AYE78" s="818"/>
      <c r="AYF78" s="818"/>
      <c r="AYG78" s="818"/>
      <c r="AYH78" s="818"/>
      <c r="AYI78" s="818"/>
      <c r="AYJ78" s="818"/>
      <c r="AYK78" s="818"/>
      <c r="AYL78" s="818"/>
      <c r="AYM78" s="818"/>
      <c r="AYN78" s="818"/>
      <c r="AYO78" s="818"/>
      <c r="AYP78" s="818"/>
      <c r="AYQ78" s="818"/>
    </row>
    <row r="79" spans="9:11 1283:1343" x14ac:dyDescent="0.2">
      <c r="I79" s="1028"/>
      <c r="J79" s="1029"/>
      <c r="K79" s="1030"/>
      <c r="AWI79" s="818"/>
      <c r="AWJ79" s="818"/>
      <c r="AWK79" s="818"/>
      <c r="AWL79" s="818"/>
      <c r="AWM79" s="818"/>
      <c r="AWN79" s="818"/>
      <c r="AWO79" s="818"/>
      <c r="AWP79" s="818"/>
      <c r="AWQ79" s="818"/>
      <c r="AWR79" s="818"/>
      <c r="AWS79" s="818"/>
      <c r="AWT79" s="818"/>
      <c r="AWU79" s="818"/>
      <c r="AWV79" s="818"/>
      <c r="AWW79" s="818"/>
      <c r="AWX79" s="818"/>
      <c r="AWY79" s="818"/>
      <c r="AWZ79" s="818"/>
      <c r="AXA79" s="818"/>
      <c r="AXB79" s="818"/>
      <c r="AXC79" s="818"/>
      <c r="AXD79" s="818"/>
      <c r="AXE79" s="818"/>
      <c r="AXF79" s="818"/>
      <c r="AXG79" s="818"/>
      <c r="AXH79" s="818"/>
      <c r="AXI79" s="818"/>
      <c r="AXJ79" s="818"/>
      <c r="AXK79" s="818"/>
      <c r="AXL79" s="818"/>
      <c r="AXM79" s="818"/>
      <c r="AXN79" s="818"/>
      <c r="AXO79" s="818"/>
      <c r="AXP79" s="818"/>
      <c r="AXQ79" s="818"/>
      <c r="AXR79" s="818"/>
      <c r="AXS79" s="818"/>
      <c r="AXT79" s="818"/>
      <c r="AXU79" s="818"/>
      <c r="AXV79" s="818"/>
      <c r="AXW79" s="818"/>
      <c r="AXX79" s="818"/>
      <c r="AXY79" s="818"/>
      <c r="AXZ79" s="818"/>
      <c r="AYA79" s="818"/>
      <c r="AYB79" s="818"/>
      <c r="AYC79" s="818"/>
      <c r="AYD79" s="818"/>
      <c r="AYE79" s="818"/>
      <c r="AYF79" s="818"/>
      <c r="AYG79" s="818"/>
      <c r="AYH79" s="818"/>
      <c r="AYI79" s="818"/>
      <c r="AYJ79" s="818"/>
      <c r="AYK79" s="818"/>
      <c r="AYL79" s="818"/>
      <c r="AYM79" s="818"/>
      <c r="AYN79" s="818"/>
      <c r="AYO79" s="818"/>
      <c r="AYP79" s="818"/>
      <c r="AYQ79" s="818"/>
    </row>
    <row r="80" spans="9:11 1283:1343" x14ac:dyDescent="0.2">
      <c r="J80" s="1029"/>
      <c r="K80" s="1030"/>
      <c r="AWI80" s="818"/>
      <c r="AWJ80" s="818"/>
      <c r="AWK80" s="818"/>
      <c r="AWL80" s="818"/>
      <c r="AWM80" s="818"/>
      <c r="AWN80" s="818"/>
      <c r="AWO80" s="818"/>
      <c r="AWP80" s="818"/>
      <c r="AWQ80" s="818"/>
      <c r="AWR80" s="818"/>
      <c r="AWS80" s="818"/>
      <c r="AWT80" s="818"/>
      <c r="AWU80" s="818"/>
      <c r="AWV80" s="818"/>
      <c r="AWW80" s="818"/>
      <c r="AWX80" s="818"/>
      <c r="AWY80" s="818"/>
      <c r="AWZ80" s="818"/>
      <c r="AXA80" s="818"/>
      <c r="AXB80" s="818"/>
      <c r="AXC80" s="818"/>
      <c r="AXD80" s="818"/>
      <c r="AXE80" s="818"/>
      <c r="AXF80" s="818"/>
      <c r="AXG80" s="818"/>
      <c r="AXH80" s="818"/>
      <c r="AXI80" s="818"/>
      <c r="AXJ80" s="818"/>
      <c r="AXK80" s="818"/>
      <c r="AXL80" s="818"/>
      <c r="AXM80" s="818"/>
      <c r="AXN80" s="818"/>
      <c r="AXO80" s="818"/>
      <c r="AXP80" s="818"/>
      <c r="AXQ80" s="818"/>
      <c r="AXR80" s="818"/>
      <c r="AXS80" s="818"/>
      <c r="AXT80" s="818"/>
      <c r="AXU80" s="818"/>
      <c r="AXV80" s="818"/>
      <c r="AXW80" s="818"/>
      <c r="AXX80" s="818"/>
      <c r="AXY80" s="818"/>
      <c r="AXZ80" s="818"/>
      <c r="AYA80" s="818"/>
      <c r="AYB80" s="818"/>
      <c r="AYC80" s="818"/>
      <c r="AYD80" s="818"/>
      <c r="AYE80" s="818"/>
      <c r="AYF80" s="818"/>
      <c r="AYG80" s="818"/>
      <c r="AYH80" s="818"/>
      <c r="AYI80" s="818"/>
      <c r="AYJ80" s="818"/>
      <c r="AYK80" s="818"/>
      <c r="AYL80" s="818"/>
      <c r="AYM80" s="818"/>
      <c r="AYN80" s="818"/>
      <c r="AYO80" s="818"/>
      <c r="AYP80" s="818"/>
      <c r="AYQ80" s="818"/>
    </row>
    <row r="81" spans="9:871 1283:1343" x14ac:dyDescent="0.2">
      <c r="I81" s="1028"/>
      <c r="J81" s="1029"/>
      <c r="K81" s="1030"/>
      <c r="AWI81" s="818"/>
      <c r="AWJ81" s="818"/>
      <c r="AWK81" s="818"/>
      <c r="AWL81" s="818"/>
      <c r="AWM81" s="818"/>
      <c r="AWN81" s="818"/>
      <c r="AWO81" s="818"/>
      <c r="AWP81" s="818"/>
      <c r="AWQ81" s="818"/>
      <c r="AWR81" s="818"/>
      <c r="AWS81" s="818"/>
      <c r="AWT81" s="818"/>
      <c r="AWU81" s="818"/>
      <c r="AWV81" s="818"/>
      <c r="AWW81" s="818"/>
      <c r="AWX81" s="818"/>
      <c r="AWY81" s="818"/>
      <c r="AWZ81" s="818"/>
      <c r="AXA81" s="818"/>
      <c r="AXB81" s="818"/>
      <c r="AXC81" s="818"/>
      <c r="AXD81" s="818"/>
      <c r="AXE81" s="818"/>
      <c r="AXF81" s="818"/>
      <c r="AXG81" s="818"/>
      <c r="AXH81" s="818"/>
      <c r="AXI81" s="818"/>
      <c r="AXJ81" s="818"/>
      <c r="AXK81" s="818"/>
      <c r="AXL81" s="818"/>
      <c r="AXM81" s="818"/>
      <c r="AXN81" s="818"/>
      <c r="AXO81" s="818"/>
      <c r="AXP81" s="818"/>
      <c r="AXQ81" s="818"/>
      <c r="AXR81" s="818"/>
      <c r="AXS81" s="818"/>
      <c r="AXT81" s="818"/>
      <c r="AXU81" s="818"/>
      <c r="AXV81" s="818"/>
      <c r="AXW81" s="818"/>
      <c r="AXX81" s="818"/>
      <c r="AXY81" s="818"/>
      <c r="AXZ81" s="818"/>
      <c r="AYA81" s="818"/>
      <c r="AYB81" s="818"/>
      <c r="AYC81" s="818"/>
      <c r="AYD81" s="818"/>
      <c r="AYE81" s="818"/>
      <c r="AYF81" s="818"/>
      <c r="AYG81" s="818"/>
      <c r="AYH81" s="818"/>
      <c r="AYI81" s="818"/>
      <c r="AYJ81" s="818"/>
      <c r="AYK81" s="818"/>
      <c r="AYL81" s="818"/>
      <c r="AYM81" s="818"/>
      <c r="AYN81" s="818"/>
      <c r="AYO81" s="818"/>
      <c r="AYP81" s="818"/>
      <c r="AYQ81" s="818"/>
    </row>
    <row r="82" spans="9:871 1283:1343" x14ac:dyDescent="0.2">
      <c r="I82" s="1028"/>
      <c r="J82" s="1029"/>
      <c r="K82" s="1030"/>
      <c r="AWI82" s="818"/>
      <c r="AWJ82" s="818"/>
      <c r="AWK82" s="818"/>
      <c r="AWL82" s="818"/>
      <c r="AWM82" s="818"/>
      <c r="AWN82" s="818"/>
      <c r="AWO82" s="818"/>
      <c r="AWP82" s="818"/>
      <c r="AWQ82" s="818"/>
      <c r="AWR82" s="818"/>
      <c r="AWS82" s="818"/>
      <c r="AWT82" s="818"/>
      <c r="AWU82" s="818"/>
      <c r="AWV82" s="818"/>
      <c r="AWW82" s="818"/>
      <c r="AWX82" s="818"/>
      <c r="AWY82" s="818"/>
      <c r="AWZ82" s="818"/>
      <c r="AXA82" s="818"/>
      <c r="AXB82" s="818"/>
      <c r="AXC82" s="818"/>
      <c r="AXD82" s="818"/>
      <c r="AXE82" s="818"/>
      <c r="AXF82" s="818"/>
      <c r="AXG82" s="818"/>
      <c r="AXH82" s="818"/>
      <c r="AXI82" s="818"/>
      <c r="AXJ82" s="818"/>
      <c r="AXK82" s="818"/>
      <c r="AXL82" s="818"/>
      <c r="AXM82" s="818"/>
      <c r="AXN82" s="818"/>
      <c r="AXO82" s="818"/>
      <c r="AXP82" s="818"/>
      <c r="AXQ82" s="818"/>
      <c r="AXR82" s="818"/>
      <c r="AXS82" s="818"/>
      <c r="AXT82" s="818"/>
      <c r="AXU82" s="818"/>
      <c r="AXV82" s="818"/>
      <c r="AXW82" s="818"/>
      <c r="AXX82" s="818"/>
      <c r="AXY82" s="818"/>
      <c r="AXZ82" s="818"/>
      <c r="AYA82" s="818"/>
      <c r="AYB82" s="818"/>
      <c r="AYC82" s="818"/>
      <c r="AYD82" s="818"/>
      <c r="AYE82" s="818"/>
      <c r="AYF82" s="818"/>
      <c r="AYG82" s="818"/>
      <c r="AYH82" s="818"/>
      <c r="AYI82" s="818"/>
      <c r="AYJ82" s="818"/>
      <c r="AYK82" s="818"/>
      <c r="AYL82" s="818"/>
      <c r="AYM82" s="818"/>
      <c r="AYN82" s="818"/>
      <c r="AYO82" s="818"/>
      <c r="AYP82" s="818"/>
      <c r="AYQ82" s="818"/>
    </row>
    <row r="83" spans="9:871 1283:1343" x14ac:dyDescent="0.2">
      <c r="I83" s="1028"/>
      <c r="J83" s="1029"/>
      <c r="K83" s="1030"/>
      <c r="AWI83" s="818"/>
      <c r="AWJ83" s="818"/>
      <c r="AWK83" s="818"/>
      <c r="AWL83" s="818"/>
      <c r="AWM83" s="818"/>
      <c r="AWN83" s="818"/>
      <c r="AWO83" s="818"/>
      <c r="AWP83" s="818"/>
      <c r="AWQ83" s="818"/>
      <c r="AWR83" s="818"/>
      <c r="AWS83" s="818"/>
      <c r="AWT83" s="818"/>
      <c r="AWU83" s="818"/>
      <c r="AWV83" s="818"/>
      <c r="AWW83" s="818"/>
      <c r="AWX83" s="818"/>
      <c r="AWY83" s="818"/>
      <c r="AWZ83" s="818"/>
      <c r="AXA83" s="818"/>
      <c r="AXB83" s="818"/>
      <c r="AXC83" s="818"/>
      <c r="AXD83" s="818"/>
      <c r="AXE83" s="818"/>
      <c r="AXF83" s="818"/>
      <c r="AXG83" s="818"/>
      <c r="AXH83" s="818"/>
      <c r="AXI83" s="818"/>
      <c r="AXJ83" s="818"/>
      <c r="AXK83" s="818"/>
      <c r="AXL83" s="818"/>
      <c r="AXM83" s="818"/>
      <c r="AXN83" s="818"/>
      <c r="AXO83" s="818"/>
      <c r="AXP83" s="818"/>
      <c r="AXQ83" s="818"/>
      <c r="AXR83" s="818"/>
      <c r="AXS83" s="818"/>
      <c r="AXT83" s="818"/>
      <c r="AXU83" s="818"/>
      <c r="AXV83" s="818"/>
      <c r="AXW83" s="818"/>
      <c r="AXX83" s="818"/>
      <c r="AXY83" s="818"/>
      <c r="AXZ83" s="818"/>
      <c r="AYA83" s="818"/>
      <c r="AYB83" s="818"/>
      <c r="AYC83" s="818"/>
      <c r="AYD83" s="818"/>
      <c r="AYE83" s="818"/>
      <c r="AYF83" s="818"/>
      <c r="AYG83" s="818"/>
      <c r="AYH83" s="818"/>
      <c r="AYI83" s="818"/>
      <c r="AYJ83" s="818"/>
      <c r="AYK83" s="818"/>
      <c r="AYL83" s="818"/>
      <c r="AYM83" s="818"/>
      <c r="AYN83" s="818"/>
      <c r="AYO83" s="818"/>
      <c r="AYP83" s="818"/>
      <c r="AYQ83" s="818"/>
    </row>
    <row r="84" spans="9:871 1283:1343" x14ac:dyDescent="0.2">
      <c r="I84" s="1028"/>
      <c r="J84" s="1029"/>
      <c r="K84" s="1030"/>
      <c r="AWI84" s="818"/>
      <c r="AWJ84" s="818"/>
      <c r="AWK84" s="818"/>
      <c r="AWL84" s="818"/>
      <c r="AWM84" s="818"/>
      <c r="AWN84" s="818"/>
      <c r="AWO84" s="818"/>
      <c r="AWP84" s="818"/>
      <c r="AWQ84" s="818"/>
      <c r="AWR84" s="818"/>
      <c r="AWS84" s="818"/>
      <c r="AWT84" s="818"/>
      <c r="AWU84" s="818"/>
      <c r="AWV84" s="818"/>
      <c r="AWW84" s="818"/>
      <c r="AWX84" s="818"/>
      <c r="AWY84" s="818"/>
      <c r="AWZ84" s="818"/>
      <c r="AXA84" s="818"/>
      <c r="AXB84" s="818"/>
      <c r="AXC84" s="818"/>
      <c r="AXD84" s="818"/>
      <c r="AXE84" s="818"/>
      <c r="AXF84" s="818"/>
      <c r="AXG84" s="818"/>
      <c r="AXH84" s="818"/>
      <c r="AXI84" s="818"/>
      <c r="AXJ84" s="818"/>
      <c r="AXK84" s="818"/>
      <c r="AXL84" s="818"/>
      <c r="AXM84" s="818"/>
      <c r="AXN84" s="818"/>
      <c r="AXO84" s="818"/>
      <c r="AXP84" s="818"/>
      <c r="AXQ84" s="818"/>
      <c r="AXR84" s="818"/>
      <c r="AXS84" s="818"/>
      <c r="AXT84" s="818"/>
      <c r="AXU84" s="818"/>
      <c r="AXV84" s="818"/>
      <c r="AXW84" s="818"/>
      <c r="AXX84" s="818"/>
      <c r="AXY84" s="818"/>
      <c r="AXZ84" s="818"/>
      <c r="AYA84" s="818"/>
      <c r="AYB84" s="818"/>
      <c r="AYC84" s="818"/>
      <c r="AYD84" s="818"/>
      <c r="AYE84" s="818"/>
      <c r="AYF84" s="818"/>
      <c r="AYG84" s="818"/>
      <c r="AYH84" s="818"/>
      <c r="AYI84" s="818"/>
      <c r="AYJ84" s="818"/>
      <c r="AYK84" s="818"/>
      <c r="AYL84" s="818"/>
      <c r="AYM84" s="818"/>
      <c r="AYN84" s="818"/>
      <c r="AYO84" s="818"/>
      <c r="AYP84" s="818"/>
      <c r="AYQ84" s="818"/>
    </row>
    <row r="85" spans="9:871 1283:1343" x14ac:dyDescent="0.2">
      <c r="I85" s="1028"/>
      <c r="J85" s="1029"/>
      <c r="K85" s="1030"/>
      <c r="AWI85" s="818"/>
      <c r="AWJ85" s="818"/>
      <c r="AWK85" s="818"/>
      <c r="AWL85" s="818"/>
      <c r="AWM85" s="818"/>
      <c r="AWN85" s="818"/>
      <c r="AWO85" s="818"/>
      <c r="AWP85" s="818"/>
      <c r="AWQ85" s="818"/>
      <c r="AWR85" s="818"/>
      <c r="AWS85" s="818"/>
      <c r="AWT85" s="818"/>
      <c r="AWU85" s="818"/>
      <c r="AWV85" s="818"/>
      <c r="AWW85" s="818"/>
      <c r="AWX85" s="818"/>
      <c r="AWY85" s="818"/>
      <c r="AWZ85" s="818"/>
      <c r="AXA85" s="818"/>
      <c r="AXB85" s="818"/>
      <c r="AXC85" s="818"/>
      <c r="AXD85" s="818"/>
      <c r="AXE85" s="818"/>
      <c r="AXF85" s="818"/>
      <c r="AXG85" s="818"/>
      <c r="AXH85" s="818"/>
      <c r="AXI85" s="818"/>
      <c r="AXJ85" s="818"/>
      <c r="AXK85" s="818"/>
      <c r="AXL85" s="818"/>
      <c r="AXM85" s="818"/>
      <c r="AXN85" s="818"/>
      <c r="AXO85" s="818"/>
      <c r="AXP85" s="818"/>
      <c r="AXQ85" s="818"/>
      <c r="AXR85" s="818"/>
      <c r="AXS85" s="818"/>
      <c r="AXT85" s="818"/>
      <c r="AXU85" s="818"/>
      <c r="AXV85" s="818"/>
      <c r="AXW85" s="818"/>
      <c r="AXX85" s="818"/>
      <c r="AXY85" s="818"/>
      <c r="AXZ85" s="818"/>
      <c r="AYA85" s="818"/>
      <c r="AYB85" s="818"/>
      <c r="AYC85" s="818"/>
      <c r="AYD85" s="818"/>
      <c r="AYE85" s="818"/>
      <c r="AYF85" s="818"/>
      <c r="AYG85" s="818"/>
      <c r="AYH85" s="818"/>
      <c r="AYI85" s="818"/>
      <c r="AYJ85" s="818"/>
      <c r="AYK85" s="818"/>
      <c r="AYL85" s="818"/>
      <c r="AYM85" s="818"/>
      <c r="AYN85" s="818"/>
      <c r="AYO85" s="818"/>
      <c r="AYP85" s="818"/>
      <c r="AYQ85" s="818"/>
    </row>
    <row r="86" spans="9:871 1283:1343" x14ac:dyDescent="0.2">
      <c r="I86" s="1028"/>
      <c r="J86" s="1029"/>
      <c r="K86" s="1030"/>
      <c r="AWI86" s="818"/>
      <c r="AWJ86" s="818"/>
      <c r="AWK86" s="818"/>
      <c r="AWL86" s="818"/>
      <c r="AWM86" s="818"/>
      <c r="AWN86" s="818"/>
      <c r="AWO86" s="818"/>
      <c r="AWP86" s="818"/>
      <c r="AWQ86" s="818"/>
      <c r="AWR86" s="818"/>
      <c r="AWS86" s="818"/>
      <c r="AWT86" s="818"/>
      <c r="AWU86" s="818"/>
      <c r="AWV86" s="818"/>
      <c r="AWW86" s="818"/>
      <c r="AWX86" s="818"/>
      <c r="AWY86" s="818"/>
      <c r="AWZ86" s="818"/>
      <c r="AXA86" s="818"/>
      <c r="AXB86" s="818"/>
      <c r="AXC86" s="818"/>
      <c r="AXD86" s="818"/>
      <c r="AXE86" s="818"/>
      <c r="AXF86" s="818"/>
      <c r="AXG86" s="818"/>
      <c r="AXH86" s="818"/>
      <c r="AXI86" s="818"/>
      <c r="AXJ86" s="818"/>
      <c r="AXK86" s="818"/>
      <c r="AXL86" s="818"/>
      <c r="AXM86" s="818"/>
      <c r="AXN86" s="818"/>
      <c r="AXO86" s="818"/>
      <c r="AXP86" s="818"/>
      <c r="AXQ86" s="818"/>
      <c r="AXR86" s="818"/>
      <c r="AXS86" s="818"/>
      <c r="AXT86" s="818"/>
      <c r="AXU86" s="818"/>
      <c r="AXV86" s="818"/>
      <c r="AXW86" s="818"/>
      <c r="AXX86" s="818"/>
      <c r="AXY86" s="818"/>
      <c r="AXZ86" s="818"/>
      <c r="AYA86" s="818"/>
      <c r="AYB86" s="818"/>
      <c r="AYC86" s="818"/>
      <c r="AYD86" s="818"/>
      <c r="AYE86" s="818"/>
      <c r="AYF86" s="818"/>
      <c r="AYG86" s="818"/>
      <c r="AYH86" s="818"/>
      <c r="AYI86" s="818"/>
      <c r="AYJ86" s="818"/>
      <c r="AYK86" s="818"/>
      <c r="AYL86" s="818"/>
      <c r="AYM86" s="818"/>
      <c r="AYN86" s="818"/>
      <c r="AYO86" s="818"/>
      <c r="AYP86" s="818"/>
      <c r="AYQ86" s="818"/>
    </row>
    <row r="87" spans="9:871 1283:1343" x14ac:dyDescent="0.2">
      <c r="I87" s="1028"/>
      <c r="J87" s="1029"/>
      <c r="K87" s="1030"/>
      <c r="AWI87" s="818"/>
      <c r="AWJ87" s="818"/>
      <c r="AWK87" s="818"/>
      <c r="AWL87" s="818"/>
      <c r="AWM87" s="818"/>
      <c r="AWN87" s="818"/>
      <c r="AWO87" s="818"/>
      <c r="AWP87" s="818"/>
      <c r="AWQ87" s="818"/>
      <c r="AWR87" s="818"/>
      <c r="AWS87" s="818"/>
      <c r="AWT87" s="818"/>
      <c r="AWU87" s="818"/>
      <c r="AWV87" s="818"/>
      <c r="AWW87" s="818"/>
      <c r="AWX87" s="818"/>
      <c r="AWY87" s="818"/>
      <c r="AWZ87" s="818"/>
      <c r="AXA87" s="818"/>
      <c r="AXB87" s="818"/>
      <c r="AXC87" s="818"/>
      <c r="AXD87" s="818"/>
      <c r="AXE87" s="818"/>
      <c r="AXF87" s="818"/>
      <c r="AXG87" s="818"/>
      <c r="AXH87" s="818"/>
      <c r="AXI87" s="818"/>
      <c r="AXJ87" s="818"/>
      <c r="AXK87" s="818"/>
      <c r="AXL87" s="818"/>
      <c r="AXM87" s="818"/>
      <c r="AXN87" s="818"/>
      <c r="AXO87" s="818"/>
      <c r="AXP87" s="818"/>
      <c r="AXQ87" s="818"/>
      <c r="AXR87" s="818"/>
      <c r="AXS87" s="818"/>
      <c r="AXT87" s="818"/>
      <c r="AXU87" s="818"/>
      <c r="AXV87" s="818"/>
      <c r="AXW87" s="818"/>
      <c r="AXX87" s="818"/>
      <c r="AXY87" s="818"/>
      <c r="AXZ87" s="818"/>
      <c r="AYA87" s="818"/>
      <c r="AYB87" s="818"/>
      <c r="AYC87" s="818"/>
      <c r="AYD87" s="818"/>
      <c r="AYE87" s="818"/>
      <c r="AYF87" s="818"/>
      <c r="AYG87" s="818"/>
      <c r="AYH87" s="818"/>
      <c r="AYI87" s="818"/>
      <c r="AYJ87" s="818"/>
      <c r="AYK87" s="818"/>
      <c r="AYL87" s="818"/>
      <c r="AYM87" s="818"/>
      <c r="AYN87" s="818"/>
      <c r="AYO87" s="818"/>
      <c r="AYP87" s="818"/>
      <c r="AYQ87" s="818"/>
    </row>
    <row r="88" spans="9:871 1283:1343" x14ac:dyDescent="0.2">
      <c r="I88" s="1028"/>
      <c r="J88" s="1029"/>
      <c r="K88" s="1030"/>
      <c r="AGM88" t="s">
        <v>357</v>
      </c>
      <c r="AWI88" s="818"/>
      <c r="AWJ88" s="818"/>
      <c r="AWK88" s="818"/>
      <c r="AWL88" s="818"/>
      <c r="AWM88" s="818"/>
      <c r="AWN88" s="818"/>
      <c r="AWO88" s="818"/>
      <c r="AWP88" s="818"/>
      <c r="AWQ88" s="818"/>
      <c r="AWR88" s="818"/>
      <c r="AWS88" s="818"/>
      <c r="AWT88" s="818"/>
      <c r="AWU88" s="818"/>
      <c r="AWV88" s="818"/>
      <c r="AWW88" s="818"/>
      <c r="AWX88" s="818"/>
      <c r="AWY88" s="818"/>
      <c r="AWZ88" s="818"/>
      <c r="AXA88" s="818"/>
      <c r="AXB88" s="818"/>
      <c r="AXC88" s="818"/>
      <c r="AXD88" s="818"/>
      <c r="AXE88" s="818"/>
      <c r="AXF88" s="818"/>
      <c r="AXG88" s="818"/>
      <c r="AXH88" s="818"/>
      <c r="AXI88" s="818"/>
      <c r="AXJ88" s="818"/>
      <c r="AXK88" s="818"/>
      <c r="AXL88" s="818"/>
      <c r="AXM88" s="818"/>
      <c r="AXN88" s="818"/>
      <c r="AXO88" s="818"/>
      <c r="AXP88" s="818"/>
      <c r="AXQ88" s="818"/>
      <c r="AXR88" s="818"/>
      <c r="AXS88" s="818"/>
      <c r="AXT88" s="818"/>
      <c r="AXU88" s="818"/>
      <c r="AXV88" s="818"/>
      <c r="AXW88" s="818"/>
      <c r="AXX88" s="818"/>
      <c r="AXY88" s="818"/>
      <c r="AXZ88" s="818"/>
      <c r="AYA88" s="818"/>
      <c r="AYB88" s="818"/>
      <c r="AYC88" s="818"/>
      <c r="AYD88" s="818"/>
      <c r="AYE88" s="818"/>
      <c r="AYF88" s="818"/>
      <c r="AYG88" s="818"/>
      <c r="AYH88" s="818"/>
      <c r="AYI88" s="818"/>
      <c r="AYJ88" s="818"/>
      <c r="AYK88" s="818"/>
      <c r="AYL88" s="818"/>
      <c r="AYM88" s="818"/>
      <c r="AYN88" s="818"/>
      <c r="AYO88" s="818"/>
      <c r="AYP88" s="818"/>
      <c r="AYQ88" s="818"/>
    </row>
    <row r="89" spans="9:871 1283:1343" x14ac:dyDescent="0.2">
      <c r="I89" s="1028"/>
      <c r="J89" s="1029"/>
      <c r="K89" s="1030"/>
      <c r="AWI89" s="818"/>
      <c r="AWJ89" s="818"/>
      <c r="AWK89" s="818"/>
      <c r="AWL89" s="818"/>
      <c r="AWM89" s="818"/>
      <c r="AWN89" s="818"/>
      <c r="AWO89" s="818"/>
      <c r="AWP89" s="818"/>
      <c r="AWQ89" s="818"/>
      <c r="AWR89" s="818"/>
      <c r="AWS89" s="818"/>
      <c r="AWT89" s="818"/>
      <c r="AWU89" s="818"/>
      <c r="AWV89" s="818"/>
      <c r="AWW89" s="818"/>
      <c r="AWX89" s="818"/>
      <c r="AWY89" s="818"/>
      <c r="AWZ89" s="818"/>
      <c r="AXA89" s="818"/>
      <c r="AXB89" s="818"/>
      <c r="AXC89" s="818"/>
      <c r="AXD89" s="818"/>
      <c r="AXE89" s="818"/>
      <c r="AXF89" s="818"/>
      <c r="AXG89" s="818"/>
      <c r="AXH89" s="818"/>
      <c r="AXI89" s="818"/>
      <c r="AXJ89" s="818"/>
      <c r="AXK89" s="818"/>
      <c r="AXL89" s="818"/>
      <c r="AXM89" s="818"/>
      <c r="AXN89" s="818"/>
      <c r="AXO89" s="818"/>
      <c r="AXP89" s="818"/>
      <c r="AXQ89" s="818"/>
      <c r="AXR89" s="818"/>
      <c r="AXS89" s="818"/>
      <c r="AXT89" s="818"/>
      <c r="AXU89" s="818"/>
      <c r="AXV89" s="818"/>
      <c r="AXW89" s="818"/>
      <c r="AXX89" s="818"/>
      <c r="AXY89" s="818"/>
      <c r="AXZ89" s="818"/>
      <c r="AYA89" s="818"/>
      <c r="AYB89" s="818"/>
      <c r="AYC89" s="818"/>
      <c r="AYD89" s="818"/>
      <c r="AYE89" s="818"/>
      <c r="AYF89" s="818"/>
      <c r="AYG89" s="818"/>
      <c r="AYH89" s="818"/>
      <c r="AYI89" s="818"/>
      <c r="AYJ89" s="818"/>
      <c r="AYK89" s="818"/>
      <c r="AYL89" s="818"/>
      <c r="AYM89" s="818"/>
      <c r="AYN89" s="818"/>
      <c r="AYO89" s="818"/>
      <c r="AYP89" s="818"/>
      <c r="AYQ89" s="818"/>
    </row>
    <row r="90" spans="9:871 1283:1343" x14ac:dyDescent="0.2">
      <c r="I90" s="1028"/>
      <c r="J90" s="1029"/>
      <c r="K90" s="1030"/>
      <c r="AWI90" s="818"/>
      <c r="AWJ90" s="818"/>
      <c r="AWK90" s="818"/>
      <c r="AWL90" s="818"/>
      <c r="AWM90" s="818"/>
      <c r="AWN90" s="818"/>
      <c r="AWO90" s="818"/>
      <c r="AWP90" s="818"/>
      <c r="AWQ90" s="818"/>
      <c r="AWR90" s="818"/>
      <c r="AWS90" s="818"/>
      <c r="AWT90" s="818"/>
      <c r="AWU90" s="818"/>
      <c r="AWV90" s="818"/>
      <c r="AWW90" s="818"/>
      <c r="AWX90" s="818"/>
      <c r="AWY90" s="818"/>
      <c r="AWZ90" s="818"/>
      <c r="AXA90" s="818"/>
      <c r="AXB90" s="818"/>
      <c r="AXC90" s="818"/>
      <c r="AXD90" s="818"/>
      <c r="AXE90" s="818"/>
      <c r="AXF90" s="818"/>
      <c r="AXG90" s="818"/>
      <c r="AXH90" s="818"/>
      <c r="AXI90" s="818"/>
      <c r="AXJ90" s="818"/>
      <c r="AXK90" s="818"/>
      <c r="AXL90" s="818"/>
      <c r="AXM90" s="818"/>
      <c r="AXN90" s="818"/>
      <c r="AXO90" s="818"/>
      <c r="AXP90" s="818"/>
      <c r="AXQ90" s="818"/>
      <c r="AXR90" s="818"/>
      <c r="AXS90" s="818"/>
      <c r="AXT90" s="818"/>
      <c r="AXU90" s="818"/>
      <c r="AXV90" s="818"/>
      <c r="AXW90" s="818"/>
      <c r="AXX90" s="818"/>
      <c r="AXY90" s="818"/>
      <c r="AXZ90" s="818"/>
      <c r="AYA90" s="818"/>
      <c r="AYB90" s="818"/>
      <c r="AYC90" s="818"/>
      <c r="AYD90" s="818"/>
      <c r="AYE90" s="818"/>
      <c r="AYF90" s="818"/>
      <c r="AYG90" s="818"/>
      <c r="AYH90" s="818"/>
      <c r="AYI90" s="818"/>
      <c r="AYJ90" s="818"/>
      <c r="AYK90" s="818"/>
      <c r="AYL90" s="818"/>
      <c r="AYM90" s="818"/>
      <c r="AYN90" s="818"/>
      <c r="AYO90" s="818"/>
      <c r="AYP90" s="818"/>
      <c r="AYQ90" s="818"/>
    </row>
    <row r="91" spans="9:871 1283:1343" x14ac:dyDescent="0.2">
      <c r="I91" s="1028"/>
      <c r="J91" s="1029"/>
      <c r="K91" s="1030"/>
      <c r="AWI91" s="818"/>
      <c r="AWJ91" s="818"/>
      <c r="AWK91" s="818"/>
      <c r="AWL91" s="818"/>
      <c r="AWM91" s="818"/>
      <c r="AWN91" s="818"/>
      <c r="AWO91" s="818"/>
      <c r="AWP91" s="818"/>
      <c r="AWQ91" s="818"/>
      <c r="AWR91" s="818"/>
      <c r="AWS91" s="818"/>
      <c r="AWT91" s="818"/>
      <c r="AWU91" s="818"/>
      <c r="AWV91" s="818"/>
      <c r="AWW91" s="818"/>
      <c r="AWX91" s="818"/>
      <c r="AWY91" s="818"/>
      <c r="AWZ91" s="818"/>
      <c r="AXA91" s="818"/>
      <c r="AXB91" s="818"/>
      <c r="AXC91" s="818"/>
      <c r="AXD91" s="818"/>
      <c r="AXE91" s="818"/>
      <c r="AXF91" s="818"/>
      <c r="AXG91" s="818"/>
      <c r="AXH91" s="818"/>
      <c r="AXI91" s="818"/>
      <c r="AXJ91" s="818"/>
      <c r="AXK91" s="818"/>
      <c r="AXL91" s="818"/>
      <c r="AXM91" s="818"/>
      <c r="AXN91" s="818"/>
      <c r="AXO91" s="818"/>
      <c r="AXP91" s="818"/>
      <c r="AXQ91" s="818"/>
      <c r="AXR91" s="818"/>
      <c r="AXS91" s="818"/>
      <c r="AXT91" s="818"/>
      <c r="AXU91" s="818"/>
      <c r="AXV91" s="818"/>
      <c r="AXW91" s="818"/>
      <c r="AXX91" s="818"/>
      <c r="AXY91" s="818"/>
      <c r="AXZ91" s="818"/>
      <c r="AYA91" s="818"/>
      <c r="AYB91" s="818"/>
      <c r="AYC91" s="818"/>
      <c r="AYD91" s="818"/>
      <c r="AYE91" s="818"/>
      <c r="AYF91" s="818"/>
      <c r="AYG91" s="818"/>
      <c r="AYH91" s="818"/>
      <c r="AYI91" s="818"/>
      <c r="AYJ91" s="818"/>
      <c r="AYK91" s="818"/>
      <c r="AYL91" s="818"/>
      <c r="AYM91" s="818"/>
      <c r="AYN91" s="818"/>
      <c r="AYO91" s="818"/>
      <c r="AYP91" s="818"/>
      <c r="AYQ91" s="818"/>
    </row>
    <row r="92" spans="9:871 1283:1343" x14ac:dyDescent="0.2">
      <c r="I92" s="1028"/>
      <c r="J92" s="1029"/>
      <c r="K92" s="1030"/>
      <c r="AWI92" s="818"/>
      <c r="AWJ92" s="818"/>
      <c r="AWK92" s="818"/>
      <c r="AWL92" s="818"/>
      <c r="AWM92" s="818"/>
      <c r="AWN92" s="818"/>
      <c r="AWO92" s="818"/>
      <c r="AWP92" s="818"/>
      <c r="AWQ92" s="818"/>
      <c r="AWR92" s="818"/>
      <c r="AWS92" s="818"/>
      <c r="AWT92" s="818"/>
      <c r="AWU92" s="818"/>
      <c r="AWV92" s="818"/>
      <c r="AWW92" s="818"/>
      <c r="AWX92" s="818"/>
      <c r="AWY92" s="818"/>
      <c r="AWZ92" s="818"/>
      <c r="AXA92" s="818"/>
      <c r="AXB92" s="818"/>
      <c r="AXC92" s="818"/>
      <c r="AXD92" s="818"/>
      <c r="AXE92" s="818"/>
      <c r="AXF92" s="818"/>
      <c r="AXG92" s="818"/>
      <c r="AXH92" s="818"/>
      <c r="AXI92" s="818"/>
      <c r="AXJ92" s="818"/>
      <c r="AXK92" s="818"/>
      <c r="AXL92" s="818"/>
      <c r="AXM92" s="818"/>
      <c r="AXN92" s="818"/>
      <c r="AXO92" s="818"/>
      <c r="AXP92" s="818"/>
      <c r="AXQ92" s="818"/>
      <c r="AXR92" s="818"/>
      <c r="AXS92" s="818"/>
      <c r="AXT92" s="818"/>
      <c r="AXU92" s="818"/>
      <c r="AXV92" s="818"/>
      <c r="AXW92" s="818"/>
      <c r="AXX92" s="818"/>
      <c r="AXY92" s="818"/>
      <c r="AXZ92" s="818"/>
      <c r="AYA92" s="818"/>
      <c r="AYB92" s="818"/>
      <c r="AYC92" s="818"/>
      <c r="AYD92" s="818"/>
      <c r="AYE92" s="818"/>
      <c r="AYF92" s="818"/>
      <c r="AYG92" s="818"/>
      <c r="AYH92" s="818"/>
      <c r="AYI92" s="818"/>
      <c r="AYJ92" s="818"/>
      <c r="AYK92" s="818"/>
      <c r="AYL92" s="818"/>
      <c r="AYM92" s="818"/>
      <c r="AYN92" s="818"/>
      <c r="AYO92" s="818"/>
      <c r="AYP92" s="818"/>
      <c r="AYQ92" s="818"/>
    </row>
    <row r="93" spans="9:871 1283:1343" x14ac:dyDescent="0.2">
      <c r="I93" s="1028"/>
      <c r="J93" s="1029"/>
      <c r="K93" s="1030"/>
      <c r="AWI93" s="818"/>
      <c r="AWJ93" s="818"/>
      <c r="AWK93" s="818"/>
      <c r="AWL93" s="818"/>
      <c r="AWM93" s="818"/>
      <c r="AWN93" s="818"/>
      <c r="AWO93" s="818"/>
      <c r="AWP93" s="818"/>
      <c r="AWQ93" s="818"/>
      <c r="AWR93" s="818"/>
      <c r="AWS93" s="818"/>
      <c r="AWT93" s="818"/>
      <c r="AWU93" s="818"/>
      <c r="AWV93" s="818"/>
      <c r="AWW93" s="818"/>
      <c r="AWX93" s="818"/>
      <c r="AWY93" s="818"/>
      <c r="AWZ93" s="818"/>
      <c r="AXA93" s="818"/>
      <c r="AXB93" s="818"/>
      <c r="AXC93" s="818"/>
      <c r="AXD93" s="818"/>
      <c r="AXE93" s="818"/>
      <c r="AXF93" s="818"/>
      <c r="AXG93" s="818"/>
      <c r="AXH93" s="818"/>
      <c r="AXI93" s="818"/>
      <c r="AXJ93" s="818"/>
      <c r="AXK93" s="818"/>
      <c r="AXL93" s="818"/>
      <c r="AXM93" s="818"/>
      <c r="AXN93" s="818"/>
      <c r="AXO93" s="818"/>
      <c r="AXP93" s="818"/>
      <c r="AXQ93" s="818"/>
      <c r="AXR93" s="818"/>
      <c r="AXS93" s="818"/>
      <c r="AXT93" s="818"/>
      <c r="AXU93" s="818"/>
      <c r="AXV93" s="818"/>
      <c r="AXW93" s="818"/>
      <c r="AXX93" s="818"/>
      <c r="AXY93" s="818"/>
      <c r="AXZ93" s="818"/>
      <c r="AYA93" s="818"/>
      <c r="AYB93" s="818"/>
      <c r="AYC93" s="818"/>
      <c r="AYD93" s="818"/>
      <c r="AYE93" s="818"/>
      <c r="AYF93" s="818"/>
      <c r="AYG93" s="818"/>
      <c r="AYH93" s="818"/>
      <c r="AYI93" s="818"/>
      <c r="AYJ93" s="818"/>
      <c r="AYK93" s="818"/>
      <c r="AYL93" s="818"/>
      <c r="AYM93" s="818"/>
      <c r="AYN93" s="818"/>
      <c r="AYO93" s="818"/>
      <c r="AYP93" s="818"/>
      <c r="AYQ93" s="818"/>
    </row>
    <row r="94" spans="9:871 1283:1343" x14ac:dyDescent="0.2">
      <c r="I94" s="1031"/>
      <c r="J94" s="1032"/>
      <c r="K94" s="1033"/>
      <c r="AWI94" s="818"/>
      <c r="AWJ94" s="818"/>
      <c r="AWK94" s="818"/>
      <c r="AWL94" s="818"/>
      <c r="AWM94" s="818"/>
      <c r="AWN94" s="818"/>
      <c r="AWO94" s="818"/>
      <c r="AWP94" s="818"/>
      <c r="AWQ94" s="818"/>
      <c r="AWR94" s="818"/>
      <c r="AWS94" s="818"/>
      <c r="AWT94" s="818"/>
      <c r="AWU94" s="818"/>
      <c r="AWV94" s="818"/>
      <c r="AWW94" s="818"/>
      <c r="AWX94" s="818"/>
      <c r="AWY94" s="818"/>
      <c r="AWZ94" s="818"/>
      <c r="AXA94" s="818"/>
      <c r="AXB94" s="818"/>
      <c r="AXC94" s="818"/>
      <c r="AXD94" s="818"/>
      <c r="AXE94" s="818"/>
      <c r="AXF94" s="818"/>
      <c r="AXG94" s="818"/>
      <c r="AXH94" s="818"/>
      <c r="AXI94" s="818"/>
      <c r="AXJ94" s="818"/>
      <c r="AXK94" s="818"/>
      <c r="AXL94" s="818"/>
      <c r="AXM94" s="818"/>
      <c r="AXN94" s="818"/>
      <c r="AXO94" s="818"/>
      <c r="AXP94" s="818"/>
      <c r="AXQ94" s="818"/>
      <c r="AXR94" s="818"/>
      <c r="AXS94" s="818"/>
      <c r="AXT94" s="818"/>
      <c r="AXU94" s="818"/>
      <c r="AXV94" s="818"/>
      <c r="AXW94" s="818"/>
      <c r="AXX94" s="818"/>
      <c r="AXY94" s="818"/>
      <c r="AXZ94" s="818"/>
      <c r="AYA94" s="818"/>
      <c r="AYB94" s="818"/>
      <c r="AYC94" s="818"/>
      <c r="AYD94" s="818"/>
      <c r="AYE94" s="818"/>
      <c r="AYF94" s="818"/>
      <c r="AYG94" s="818"/>
      <c r="AYH94" s="818"/>
      <c r="AYI94" s="818"/>
      <c r="AYJ94" s="818"/>
      <c r="AYK94" s="818"/>
      <c r="AYL94" s="818"/>
      <c r="AYM94" s="818"/>
      <c r="AYN94" s="818"/>
      <c r="AYO94" s="818"/>
      <c r="AYP94" s="818"/>
      <c r="AYQ94" s="818"/>
    </row>
    <row r="95" spans="9:871 1283:1343" x14ac:dyDescent="0.2">
      <c r="AWI95" s="818"/>
      <c r="AWJ95" s="818"/>
      <c r="AWK95" s="818"/>
      <c r="AWL95" s="818"/>
      <c r="AWM95" s="818"/>
      <c r="AWN95" s="818"/>
      <c r="AWO95" s="818"/>
      <c r="AWP95" s="818"/>
      <c r="AWQ95" s="818"/>
      <c r="AWR95" s="818"/>
      <c r="AWS95" s="818"/>
      <c r="AWT95" s="818"/>
      <c r="AWU95" s="818"/>
      <c r="AWV95" s="818"/>
      <c r="AWW95" s="818"/>
      <c r="AWX95" s="818"/>
      <c r="AWY95" s="818"/>
      <c r="AWZ95" s="818"/>
      <c r="AXA95" s="818"/>
      <c r="AXB95" s="818"/>
      <c r="AXC95" s="818"/>
      <c r="AXD95" s="818"/>
      <c r="AXE95" s="818"/>
      <c r="AXF95" s="818"/>
      <c r="AXG95" s="818"/>
      <c r="AXH95" s="818"/>
      <c r="AXI95" s="818"/>
      <c r="AXJ95" s="818"/>
      <c r="AXK95" s="818"/>
      <c r="AXL95" s="818"/>
      <c r="AXM95" s="818"/>
      <c r="AXN95" s="818"/>
      <c r="AXO95" s="818"/>
      <c r="AXP95" s="818"/>
      <c r="AXQ95" s="818"/>
      <c r="AXR95" s="818"/>
      <c r="AXS95" s="818"/>
      <c r="AXT95" s="818"/>
      <c r="AXU95" s="818"/>
      <c r="AXV95" s="818"/>
      <c r="AXW95" s="818"/>
      <c r="AXX95" s="818"/>
      <c r="AXY95" s="818"/>
      <c r="AXZ95" s="818"/>
      <c r="AYA95" s="818"/>
      <c r="AYB95" s="818"/>
      <c r="AYC95" s="818"/>
      <c r="AYD95" s="818"/>
      <c r="AYE95" s="818"/>
      <c r="AYF95" s="818"/>
      <c r="AYG95" s="818"/>
      <c r="AYH95" s="818"/>
      <c r="AYI95" s="818"/>
      <c r="AYJ95" s="818"/>
      <c r="AYK95" s="818"/>
      <c r="AYL95" s="818"/>
      <c r="AYM95" s="818"/>
      <c r="AYN95" s="818"/>
      <c r="AYO95" s="818"/>
      <c r="AYP95" s="818"/>
      <c r="AYQ95" s="818"/>
    </row>
    <row r="96" spans="9:871 1283:1343" x14ac:dyDescent="0.2">
      <c r="AWI96" s="818"/>
      <c r="AWJ96" s="818"/>
      <c r="AWK96" s="818"/>
      <c r="AWL96" s="818"/>
      <c r="AWM96" s="818"/>
      <c r="AWN96" s="818"/>
      <c r="AWO96" s="818"/>
      <c r="AWP96" s="818"/>
      <c r="AWQ96" s="818"/>
      <c r="AWR96" s="818"/>
      <c r="AWS96" s="818"/>
      <c r="AWT96" s="818"/>
      <c r="AWU96" s="818"/>
      <c r="AWV96" s="818"/>
      <c r="AWW96" s="818"/>
      <c r="AWX96" s="818"/>
      <c r="AWY96" s="818"/>
      <c r="AWZ96" s="818"/>
      <c r="AXA96" s="818"/>
      <c r="AXB96" s="818"/>
      <c r="AXC96" s="818"/>
      <c r="AXD96" s="818"/>
      <c r="AXE96" s="818"/>
      <c r="AXF96" s="818"/>
      <c r="AXG96" s="818"/>
      <c r="AXH96" s="818"/>
      <c r="AXI96" s="818"/>
      <c r="AXJ96" s="818"/>
      <c r="AXK96" s="818"/>
      <c r="AXL96" s="818"/>
      <c r="AXM96" s="818"/>
      <c r="AXN96" s="818"/>
      <c r="AXO96" s="818"/>
      <c r="AXP96" s="818"/>
      <c r="AXQ96" s="818"/>
      <c r="AXR96" s="818"/>
      <c r="AXS96" s="818"/>
      <c r="AXT96" s="818"/>
      <c r="AXU96" s="818"/>
      <c r="AXV96" s="818"/>
      <c r="AXW96" s="818"/>
      <c r="AXX96" s="818"/>
      <c r="AXY96" s="818"/>
      <c r="AXZ96" s="818"/>
      <c r="AYA96" s="818"/>
      <c r="AYB96" s="818"/>
      <c r="AYC96" s="818"/>
      <c r="AYD96" s="818"/>
      <c r="AYE96" s="818"/>
      <c r="AYF96" s="818"/>
      <c r="AYG96" s="818"/>
      <c r="AYH96" s="818"/>
      <c r="AYI96" s="818"/>
      <c r="AYJ96" s="818"/>
      <c r="AYK96" s="818"/>
      <c r="AYL96" s="818"/>
      <c r="AYM96" s="818"/>
      <c r="AYN96" s="818"/>
      <c r="AYO96" s="818"/>
      <c r="AYP96" s="818"/>
      <c r="AYQ96" s="818"/>
    </row>
    <row r="97" spans="1283:1343" x14ac:dyDescent="0.2">
      <c r="AWI97" s="818"/>
      <c r="AWJ97" s="818"/>
      <c r="AWK97" s="818"/>
      <c r="AWL97" s="818"/>
      <c r="AWM97" s="818"/>
      <c r="AWN97" s="818"/>
      <c r="AWO97" s="818"/>
      <c r="AWP97" s="818"/>
      <c r="AWQ97" s="818"/>
      <c r="AWR97" s="818"/>
      <c r="AWS97" s="818"/>
      <c r="AWT97" s="818"/>
      <c r="AWU97" s="818"/>
      <c r="AWV97" s="818"/>
      <c r="AWW97" s="818"/>
      <c r="AWX97" s="818"/>
      <c r="AWY97" s="818"/>
      <c r="AWZ97" s="818"/>
      <c r="AXA97" s="818"/>
      <c r="AXB97" s="818"/>
      <c r="AXC97" s="818"/>
      <c r="AXD97" s="818"/>
      <c r="AXE97" s="818"/>
      <c r="AXF97" s="818"/>
      <c r="AXG97" s="818"/>
      <c r="AXH97" s="818"/>
      <c r="AXI97" s="818"/>
      <c r="AXJ97" s="818"/>
      <c r="AXK97" s="818"/>
      <c r="AXL97" s="818"/>
      <c r="AXM97" s="818"/>
      <c r="AXN97" s="818"/>
      <c r="AXO97" s="818"/>
      <c r="AXP97" s="818"/>
      <c r="AXQ97" s="818"/>
      <c r="AXR97" s="818"/>
      <c r="AXS97" s="818"/>
      <c r="AXT97" s="818"/>
      <c r="AXU97" s="818"/>
      <c r="AXV97" s="818"/>
      <c r="AXW97" s="818"/>
      <c r="AXX97" s="818"/>
      <c r="AXY97" s="818"/>
      <c r="AXZ97" s="818"/>
      <c r="AYA97" s="818"/>
      <c r="AYB97" s="818"/>
      <c r="AYC97" s="818"/>
      <c r="AYD97" s="818"/>
      <c r="AYE97" s="818"/>
      <c r="AYF97" s="818"/>
      <c r="AYG97" s="818"/>
      <c r="AYH97" s="818"/>
      <c r="AYI97" s="818"/>
      <c r="AYJ97" s="818"/>
      <c r="AYK97" s="818"/>
      <c r="AYL97" s="818"/>
      <c r="AYM97" s="818"/>
      <c r="AYN97" s="818"/>
      <c r="AYO97" s="818"/>
      <c r="AYP97" s="818"/>
      <c r="AYQ97" s="818"/>
    </row>
    <row r="98" spans="1283:1343" x14ac:dyDescent="0.2">
      <c r="AWI98" s="818"/>
      <c r="AWJ98" s="818"/>
      <c r="AWK98" s="818"/>
      <c r="AWL98" s="818"/>
      <c r="AWM98" s="818"/>
      <c r="AWN98" s="818"/>
      <c r="AWO98" s="818"/>
      <c r="AWP98" s="818"/>
      <c r="AWQ98" s="818"/>
      <c r="AWR98" s="818"/>
      <c r="AWS98" s="818"/>
      <c r="AWT98" s="818"/>
      <c r="AWU98" s="818"/>
      <c r="AWV98" s="818"/>
      <c r="AWW98" s="818"/>
      <c r="AWX98" s="818"/>
      <c r="AWY98" s="818"/>
      <c r="AWZ98" s="818"/>
      <c r="AXA98" s="818"/>
      <c r="AXB98" s="818"/>
      <c r="AXC98" s="818"/>
      <c r="AXD98" s="818"/>
      <c r="AXE98" s="818"/>
      <c r="AXF98" s="818"/>
      <c r="AXG98" s="818"/>
      <c r="AXH98" s="818"/>
      <c r="AXI98" s="818"/>
      <c r="AXJ98" s="818"/>
      <c r="AXK98" s="818"/>
      <c r="AXL98" s="818"/>
      <c r="AXM98" s="818"/>
      <c r="AXN98" s="818"/>
      <c r="AXO98" s="818"/>
      <c r="AXP98" s="818"/>
      <c r="AXQ98" s="818"/>
      <c r="AXR98" s="818"/>
      <c r="AXS98" s="818"/>
      <c r="AXT98" s="818"/>
      <c r="AXU98" s="818"/>
      <c r="AXV98" s="818"/>
      <c r="AXW98" s="818"/>
      <c r="AXX98" s="818"/>
      <c r="AXY98" s="818"/>
      <c r="AXZ98" s="818"/>
      <c r="AYA98" s="818"/>
      <c r="AYB98" s="818"/>
      <c r="AYC98" s="818"/>
      <c r="AYD98" s="818"/>
      <c r="AYE98" s="818"/>
      <c r="AYF98" s="818"/>
      <c r="AYG98" s="818"/>
      <c r="AYH98" s="818"/>
      <c r="AYI98" s="818"/>
      <c r="AYJ98" s="818"/>
      <c r="AYK98" s="818"/>
      <c r="AYL98" s="818"/>
      <c r="AYM98" s="818"/>
      <c r="AYN98" s="818"/>
      <c r="AYO98" s="818"/>
      <c r="AYP98" s="818"/>
      <c r="AYQ98" s="818"/>
    </row>
    <row r="99" spans="1283:1343" x14ac:dyDescent="0.2">
      <c r="AWI99" s="818"/>
      <c r="AWJ99" s="818"/>
      <c r="AWK99" s="818"/>
      <c r="AWL99" s="818"/>
      <c r="AWM99" s="818"/>
      <c r="AWN99" s="818"/>
      <c r="AWO99" s="818"/>
      <c r="AWP99" s="818"/>
      <c r="AWQ99" s="818"/>
      <c r="AWR99" s="818"/>
      <c r="AWS99" s="818"/>
      <c r="AWT99" s="818"/>
      <c r="AWU99" s="818"/>
      <c r="AWV99" s="818"/>
      <c r="AWW99" s="818"/>
      <c r="AWX99" s="818"/>
      <c r="AWY99" s="818"/>
      <c r="AWZ99" s="818"/>
      <c r="AXA99" s="818"/>
      <c r="AXB99" s="818"/>
      <c r="AXC99" s="818"/>
      <c r="AXD99" s="818"/>
      <c r="AXE99" s="818"/>
      <c r="AXF99" s="818"/>
      <c r="AXG99" s="818"/>
      <c r="AXH99" s="818"/>
      <c r="AXI99" s="818"/>
      <c r="AXJ99" s="818"/>
      <c r="AXK99" s="818"/>
      <c r="AXL99" s="818"/>
      <c r="AXM99" s="818"/>
      <c r="AXN99" s="818"/>
      <c r="AXO99" s="818"/>
      <c r="AXP99" s="818"/>
      <c r="AXQ99" s="818"/>
      <c r="AXR99" s="818"/>
      <c r="AXS99" s="818"/>
      <c r="AXT99" s="818"/>
      <c r="AXU99" s="818"/>
      <c r="AXV99" s="818"/>
      <c r="AXW99" s="818"/>
      <c r="AXX99" s="818"/>
      <c r="AXY99" s="818"/>
      <c r="AXZ99" s="818"/>
      <c r="AYA99" s="818"/>
      <c r="AYB99" s="818"/>
      <c r="AYC99" s="818"/>
      <c r="AYD99" s="818"/>
      <c r="AYE99" s="818"/>
      <c r="AYF99" s="818"/>
      <c r="AYG99" s="818"/>
      <c r="AYH99" s="818"/>
      <c r="AYI99" s="818"/>
      <c r="AYJ99" s="818"/>
      <c r="AYK99" s="818"/>
      <c r="AYL99" s="818"/>
      <c r="AYM99" s="818"/>
      <c r="AYN99" s="818"/>
      <c r="AYO99" s="818"/>
      <c r="AYP99" s="818"/>
      <c r="AYQ99" s="818"/>
    </row>
    <row r="100" spans="1283:1343" x14ac:dyDescent="0.2">
      <c r="AWI100" s="818"/>
      <c r="AWJ100" s="818"/>
      <c r="AWK100" s="818"/>
      <c r="AWL100" s="818"/>
      <c r="AWM100" s="818"/>
      <c r="AWN100" s="818"/>
      <c r="AWO100" s="818"/>
      <c r="AWP100" s="818"/>
      <c r="AWQ100" s="818"/>
      <c r="AWR100" s="818"/>
      <c r="AWS100" s="818"/>
      <c r="AWT100" s="818"/>
      <c r="AWU100" s="818"/>
      <c r="AWV100" s="818"/>
      <c r="AWW100" s="818"/>
      <c r="AWX100" s="818"/>
      <c r="AWY100" s="818"/>
      <c r="AWZ100" s="818"/>
      <c r="AXA100" s="818"/>
      <c r="AXB100" s="818"/>
      <c r="AXC100" s="818"/>
      <c r="AXD100" s="818"/>
      <c r="AXE100" s="818"/>
      <c r="AXF100" s="818"/>
      <c r="AXG100" s="818"/>
      <c r="AXH100" s="818"/>
      <c r="AXI100" s="818"/>
      <c r="AXJ100" s="818"/>
      <c r="AXK100" s="818"/>
      <c r="AXL100" s="818"/>
      <c r="AXM100" s="818"/>
      <c r="AXN100" s="818"/>
      <c r="AXO100" s="818"/>
      <c r="AXP100" s="818"/>
      <c r="AXQ100" s="818"/>
      <c r="AXR100" s="818"/>
      <c r="AXS100" s="818"/>
      <c r="AXT100" s="818"/>
      <c r="AXU100" s="818"/>
      <c r="AXV100" s="818"/>
      <c r="AXW100" s="818"/>
      <c r="AXX100" s="818"/>
      <c r="AXY100" s="818"/>
      <c r="AXZ100" s="818"/>
      <c r="AYA100" s="818"/>
      <c r="AYB100" s="818"/>
      <c r="AYC100" s="818"/>
      <c r="AYD100" s="818"/>
      <c r="AYE100" s="818"/>
      <c r="AYF100" s="818"/>
      <c r="AYG100" s="818"/>
      <c r="AYH100" s="818"/>
      <c r="AYI100" s="818"/>
      <c r="AYJ100" s="818"/>
      <c r="AYK100" s="818"/>
      <c r="AYL100" s="818"/>
      <c r="AYM100" s="818"/>
      <c r="AYN100" s="818"/>
      <c r="AYO100" s="818"/>
      <c r="AYP100" s="818"/>
      <c r="AYQ100" s="818"/>
    </row>
    <row r="101" spans="1283:1343" x14ac:dyDescent="0.2">
      <c r="AWI101" s="818"/>
      <c r="AWJ101" s="818"/>
      <c r="AWK101" s="818"/>
      <c r="AWL101" s="818"/>
      <c r="AWM101" s="818"/>
      <c r="AWN101" s="818"/>
      <c r="AWO101" s="818"/>
      <c r="AWP101" s="818"/>
      <c r="AWQ101" s="818"/>
      <c r="AWR101" s="818"/>
      <c r="AWS101" s="818"/>
      <c r="AWT101" s="818"/>
      <c r="AWU101" s="818"/>
      <c r="AWV101" s="818"/>
      <c r="AWW101" s="818"/>
      <c r="AWX101" s="818"/>
      <c r="AWY101" s="818"/>
      <c r="AWZ101" s="818"/>
      <c r="AXA101" s="818"/>
      <c r="AXB101" s="818"/>
      <c r="AXC101" s="818"/>
      <c r="AXD101" s="818"/>
      <c r="AXE101" s="818"/>
      <c r="AXF101" s="818"/>
      <c r="AXG101" s="818"/>
      <c r="AXH101" s="818"/>
      <c r="AXI101" s="818"/>
      <c r="AXJ101" s="818"/>
      <c r="AXK101" s="818"/>
      <c r="AXL101" s="818"/>
      <c r="AXM101" s="818"/>
      <c r="AXN101" s="818"/>
      <c r="AXO101" s="818"/>
      <c r="AXP101" s="818"/>
      <c r="AXQ101" s="818"/>
      <c r="AXR101" s="818"/>
      <c r="AXS101" s="818"/>
      <c r="AXT101" s="818"/>
      <c r="AXU101" s="818"/>
      <c r="AXV101" s="818"/>
      <c r="AXW101" s="818"/>
      <c r="AXX101" s="818"/>
      <c r="AXY101" s="818"/>
      <c r="AXZ101" s="818"/>
      <c r="AYA101" s="818"/>
      <c r="AYB101" s="818"/>
      <c r="AYC101" s="818"/>
      <c r="AYD101" s="818"/>
      <c r="AYE101" s="818"/>
      <c r="AYF101" s="818"/>
      <c r="AYG101" s="818"/>
      <c r="AYH101" s="818"/>
      <c r="AYI101" s="818"/>
      <c r="AYJ101" s="818"/>
      <c r="AYK101" s="818"/>
      <c r="AYL101" s="818"/>
      <c r="AYM101" s="818"/>
      <c r="AYN101" s="818"/>
      <c r="AYO101" s="818"/>
      <c r="AYP101" s="818"/>
      <c r="AYQ101" s="818"/>
    </row>
    <row r="102" spans="1283:1343" x14ac:dyDescent="0.2">
      <c r="AWI102" s="818"/>
      <c r="AWJ102" s="818"/>
      <c r="AWK102" s="818"/>
      <c r="AWL102" s="818"/>
      <c r="AWM102" s="818"/>
      <c r="AWN102" s="818"/>
      <c r="AWO102" s="818"/>
      <c r="AWP102" s="818"/>
      <c r="AWQ102" s="818"/>
      <c r="AWR102" s="818"/>
      <c r="AWS102" s="818"/>
      <c r="AWT102" s="818"/>
      <c r="AWU102" s="818"/>
      <c r="AWV102" s="818"/>
      <c r="AWW102" s="818"/>
      <c r="AWX102" s="818"/>
      <c r="AWY102" s="818"/>
      <c r="AWZ102" s="818"/>
      <c r="AXA102" s="818"/>
      <c r="AXB102" s="818"/>
      <c r="AXC102" s="818"/>
      <c r="AXD102" s="818"/>
      <c r="AXE102" s="818"/>
      <c r="AXF102" s="818"/>
      <c r="AXG102" s="818"/>
      <c r="AXH102" s="818"/>
      <c r="AXI102" s="818"/>
      <c r="AXJ102" s="818"/>
      <c r="AXK102" s="818"/>
      <c r="AXL102" s="818"/>
      <c r="AXM102" s="818"/>
      <c r="AXN102" s="818"/>
      <c r="AXO102" s="818"/>
      <c r="AXP102" s="818"/>
      <c r="AXQ102" s="818"/>
      <c r="AXR102" s="818"/>
      <c r="AXS102" s="818"/>
      <c r="AXT102" s="818"/>
      <c r="AXU102" s="818"/>
      <c r="AXV102" s="818"/>
      <c r="AXW102" s="818"/>
      <c r="AXX102" s="818"/>
      <c r="AXY102" s="818"/>
      <c r="AXZ102" s="818"/>
      <c r="AYA102" s="818"/>
      <c r="AYB102" s="818"/>
      <c r="AYC102" s="818"/>
      <c r="AYD102" s="818"/>
      <c r="AYE102" s="818"/>
      <c r="AYF102" s="818"/>
      <c r="AYG102" s="818"/>
      <c r="AYH102" s="818"/>
      <c r="AYI102" s="818"/>
      <c r="AYJ102" s="818"/>
      <c r="AYK102" s="818"/>
      <c r="AYL102" s="818"/>
      <c r="AYM102" s="818"/>
      <c r="AYN102" s="818"/>
      <c r="AYO102" s="818"/>
      <c r="AYP102" s="818"/>
      <c r="AYQ102" s="818"/>
    </row>
    <row r="103" spans="1283:1343" x14ac:dyDescent="0.2">
      <c r="AWI103" s="818"/>
      <c r="AWJ103" s="818"/>
      <c r="AWK103" s="818"/>
      <c r="AWL103" s="818"/>
      <c r="AWM103" s="818"/>
      <c r="AWN103" s="818"/>
      <c r="AWO103" s="818"/>
      <c r="AWP103" s="818"/>
      <c r="AWQ103" s="818"/>
      <c r="AWR103" s="818"/>
      <c r="AWS103" s="818"/>
      <c r="AWT103" s="818"/>
      <c r="AWU103" s="818"/>
      <c r="AWV103" s="818"/>
      <c r="AWW103" s="818"/>
      <c r="AWX103" s="818"/>
      <c r="AWY103" s="818"/>
      <c r="AWZ103" s="818"/>
      <c r="AXA103" s="818"/>
      <c r="AXB103" s="818"/>
      <c r="AXC103" s="818"/>
      <c r="AXD103" s="818"/>
      <c r="AXE103" s="818"/>
      <c r="AXF103" s="818"/>
      <c r="AXG103" s="818"/>
      <c r="AXH103" s="818"/>
      <c r="AXI103" s="818"/>
      <c r="AXJ103" s="818"/>
      <c r="AXK103" s="818"/>
      <c r="AXL103" s="818"/>
      <c r="AXM103" s="818"/>
      <c r="AXN103" s="818"/>
      <c r="AXO103" s="818"/>
      <c r="AXP103" s="818"/>
      <c r="AXQ103" s="818"/>
      <c r="AXR103" s="818"/>
      <c r="AXS103" s="818"/>
      <c r="AXT103" s="818"/>
      <c r="AXU103" s="818"/>
      <c r="AXV103" s="818"/>
      <c r="AXW103" s="818"/>
      <c r="AXX103" s="818"/>
      <c r="AXY103" s="818"/>
      <c r="AXZ103" s="818"/>
      <c r="AYA103" s="818"/>
      <c r="AYB103" s="818"/>
      <c r="AYC103" s="818"/>
      <c r="AYD103" s="818"/>
      <c r="AYE103" s="818"/>
      <c r="AYF103" s="818"/>
      <c r="AYG103" s="818"/>
      <c r="AYH103" s="818"/>
      <c r="AYI103" s="818"/>
      <c r="AYJ103" s="818"/>
      <c r="AYK103" s="818"/>
      <c r="AYL103" s="818"/>
      <c r="AYM103" s="818"/>
      <c r="AYN103" s="818"/>
      <c r="AYO103" s="818"/>
      <c r="AYP103" s="818"/>
      <c r="AYQ103" s="818"/>
    </row>
    <row r="104" spans="1283:1343" x14ac:dyDescent="0.2">
      <c r="AWI104" s="818"/>
      <c r="AWJ104" s="818"/>
      <c r="AWK104" s="818"/>
      <c r="AWL104" s="818"/>
      <c r="AWM104" s="818"/>
      <c r="AWN104" s="818"/>
      <c r="AWO104" s="818"/>
      <c r="AWP104" s="818"/>
      <c r="AWQ104" s="818"/>
      <c r="AWR104" s="818"/>
      <c r="AWS104" s="818"/>
      <c r="AWT104" s="818"/>
      <c r="AWU104" s="818"/>
      <c r="AWV104" s="818"/>
      <c r="AWW104" s="818"/>
      <c r="AWX104" s="818"/>
      <c r="AWY104" s="818"/>
      <c r="AWZ104" s="818"/>
      <c r="AXA104" s="818"/>
      <c r="AXB104" s="818"/>
      <c r="AXC104" s="818"/>
      <c r="AXD104" s="818"/>
      <c r="AXE104" s="818"/>
      <c r="AXF104" s="818"/>
      <c r="AXG104" s="818"/>
      <c r="AXH104" s="818"/>
      <c r="AXI104" s="818"/>
      <c r="AXJ104" s="818"/>
      <c r="AXK104" s="818"/>
      <c r="AXL104" s="818"/>
      <c r="AXM104" s="818"/>
      <c r="AXN104" s="818"/>
      <c r="AXO104" s="818"/>
      <c r="AXP104" s="818"/>
      <c r="AXQ104" s="818"/>
      <c r="AXR104" s="818"/>
      <c r="AXS104" s="818"/>
      <c r="AXT104" s="818"/>
      <c r="AXU104" s="818"/>
      <c r="AXV104" s="818"/>
      <c r="AXW104" s="818"/>
      <c r="AXX104" s="818"/>
      <c r="AXY104" s="818"/>
      <c r="AXZ104" s="818"/>
      <c r="AYA104" s="818"/>
      <c r="AYB104" s="818"/>
      <c r="AYC104" s="818"/>
      <c r="AYD104" s="818"/>
      <c r="AYE104" s="818"/>
      <c r="AYF104" s="818"/>
      <c r="AYG104" s="818"/>
      <c r="AYH104" s="818"/>
      <c r="AYI104" s="818"/>
      <c r="AYJ104" s="818"/>
      <c r="AYK104" s="818"/>
      <c r="AYL104" s="818"/>
      <c r="AYM104" s="818"/>
      <c r="AYN104" s="818"/>
      <c r="AYO104" s="818"/>
      <c r="AYP104" s="818"/>
      <c r="AYQ104" s="818"/>
    </row>
    <row r="105" spans="1283:1343" x14ac:dyDescent="0.2">
      <c r="AWI105" s="818"/>
      <c r="AWJ105" s="818"/>
      <c r="AWK105" s="818"/>
      <c r="AWL105" s="818"/>
      <c r="AWM105" s="818"/>
      <c r="AWN105" s="818"/>
      <c r="AWO105" s="818"/>
      <c r="AWP105" s="818"/>
      <c r="AWQ105" s="818"/>
      <c r="AWR105" s="818"/>
      <c r="AWS105" s="818"/>
      <c r="AWT105" s="818"/>
      <c r="AWU105" s="818"/>
      <c r="AWV105" s="818"/>
      <c r="AWW105" s="818"/>
      <c r="AWX105" s="818"/>
      <c r="AWY105" s="818"/>
      <c r="AWZ105" s="818"/>
      <c r="AXA105" s="818"/>
      <c r="AXB105" s="818"/>
      <c r="AXC105" s="818"/>
      <c r="AXD105" s="818"/>
      <c r="AXE105" s="818"/>
      <c r="AXF105" s="818"/>
      <c r="AXG105" s="818"/>
      <c r="AXH105" s="818"/>
      <c r="AXI105" s="818"/>
      <c r="AXJ105" s="818"/>
      <c r="AXK105" s="818"/>
      <c r="AXL105" s="818"/>
      <c r="AXM105" s="818"/>
      <c r="AXN105" s="818"/>
      <c r="AXO105" s="818"/>
      <c r="AXP105" s="818"/>
      <c r="AXQ105" s="818"/>
      <c r="AXR105" s="818"/>
      <c r="AXS105" s="818"/>
      <c r="AXT105" s="818"/>
      <c r="AXU105" s="818"/>
      <c r="AXV105" s="818"/>
      <c r="AXW105" s="818"/>
      <c r="AXX105" s="818"/>
      <c r="AXY105" s="818"/>
      <c r="AXZ105" s="818"/>
      <c r="AYA105" s="818"/>
      <c r="AYB105" s="818"/>
      <c r="AYC105" s="818"/>
      <c r="AYD105" s="818"/>
      <c r="AYE105" s="818"/>
      <c r="AYF105" s="818"/>
      <c r="AYG105" s="818"/>
      <c r="AYH105" s="818"/>
      <c r="AYI105" s="818"/>
      <c r="AYJ105" s="818"/>
      <c r="AYK105" s="818"/>
      <c r="AYL105" s="818"/>
      <c r="AYM105" s="818"/>
      <c r="AYN105" s="818"/>
      <c r="AYO105" s="818"/>
      <c r="AYP105" s="818"/>
      <c r="AYQ105" s="818"/>
    </row>
    <row r="106" spans="1283:1343" x14ac:dyDescent="0.2">
      <c r="AWI106" s="818"/>
      <c r="AWJ106" s="818"/>
      <c r="AWK106" s="818"/>
      <c r="AWL106" s="818"/>
      <c r="AWM106" s="818"/>
      <c r="AWN106" s="818"/>
      <c r="AWO106" s="818"/>
      <c r="AWP106" s="818"/>
      <c r="AWQ106" s="818"/>
      <c r="AWR106" s="818"/>
      <c r="AWS106" s="818"/>
      <c r="AWT106" s="818"/>
      <c r="AWU106" s="818"/>
      <c r="AWV106" s="818"/>
      <c r="AWW106" s="818"/>
      <c r="AWX106" s="818"/>
      <c r="AWY106" s="818"/>
      <c r="AWZ106" s="818"/>
      <c r="AXA106" s="818"/>
      <c r="AXB106" s="818"/>
      <c r="AXC106" s="818"/>
      <c r="AXD106" s="818"/>
      <c r="AXE106" s="818"/>
      <c r="AXF106" s="818"/>
      <c r="AXG106" s="818"/>
      <c r="AXH106" s="818"/>
      <c r="AXI106" s="818"/>
      <c r="AXJ106" s="818"/>
      <c r="AXK106" s="818"/>
      <c r="AXL106" s="818"/>
      <c r="AXM106" s="818"/>
      <c r="AXN106" s="818"/>
      <c r="AXO106" s="818"/>
      <c r="AXP106" s="818"/>
      <c r="AXQ106" s="818"/>
      <c r="AXR106" s="818"/>
      <c r="AXS106" s="818"/>
      <c r="AXT106" s="818"/>
      <c r="AXU106" s="818"/>
      <c r="AXV106" s="818"/>
      <c r="AXW106" s="818"/>
      <c r="AXX106" s="818"/>
      <c r="AXY106" s="818"/>
      <c r="AXZ106" s="818"/>
      <c r="AYA106" s="818"/>
      <c r="AYB106" s="818"/>
      <c r="AYC106" s="818"/>
      <c r="AYD106" s="818"/>
      <c r="AYE106" s="818"/>
      <c r="AYF106" s="818"/>
      <c r="AYG106" s="818"/>
      <c r="AYH106" s="818"/>
      <c r="AYI106" s="818"/>
      <c r="AYJ106" s="818"/>
      <c r="AYK106" s="818"/>
      <c r="AYL106" s="818"/>
      <c r="AYM106" s="818"/>
      <c r="AYN106" s="818"/>
      <c r="AYO106" s="818"/>
      <c r="AYP106" s="818"/>
      <c r="AYQ106" s="818"/>
    </row>
    <row r="107" spans="1283:1343" x14ac:dyDescent="0.2">
      <c r="AWI107" s="818"/>
      <c r="AWJ107" s="818"/>
      <c r="AWK107" s="818"/>
      <c r="AWL107" s="818"/>
      <c r="AWM107" s="818"/>
      <c r="AWN107" s="818"/>
      <c r="AWO107" s="818"/>
      <c r="AWP107" s="818"/>
      <c r="AWQ107" s="818"/>
      <c r="AWR107" s="818"/>
      <c r="AWS107" s="818"/>
      <c r="AWT107" s="818"/>
      <c r="AWU107" s="818"/>
      <c r="AWV107" s="818"/>
      <c r="AWW107" s="818"/>
      <c r="AWX107" s="818"/>
      <c r="AWY107" s="818"/>
      <c r="AWZ107" s="818"/>
      <c r="AXA107" s="818"/>
      <c r="AXB107" s="818"/>
      <c r="AXC107" s="818"/>
      <c r="AXD107" s="818"/>
      <c r="AXE107" s="818"/>
      <c r="AXF107" s="818"/>
      <c r="AXG107" s="818"/>
      <c r="AXH107" s="818"/>
      <c r="AXI107" s="818"/>
      <c r="AXJ107" s="818"/>
      <c r="AXK107" s="818"/>
      <c r="AXL107" s="818"/>
      <c r="AXM107" s="818"/>
      <c r="AXN107" s="818"/>
      <c r="AXO107" s="818"/>
      <c r="AXP107" s="818"/>
      <c r="AXQ107" s="818"/>
      <c r="AXR107" s="818"/>
      <c r="AXS107" s="818"/>
      <c r="AXT107" s="818"/>
      <c r="AXU107" s="818"/>
      <c r="AXV107" s="818"/>
      <c r="AXW107" s="818"/>
      <c r="AXX107" s="818"/>
      <c r="AXY107" s="818"/>
      <c r="AXZ107" s="818"/>
      <c r="AYA107" s="818"/>
      <c r="AYB107" s="818"/>
      <c r="AYC107" s="818"/>
      <c r="AYD107" s="818"/>
      <c r="AYE107" s="818"/>
      <c r="AYF107" s="818"/>
      <c r="AYG107" s="818"/>
      <c r="AYH107" s="818"/>
      <c r="AYI107" s="818"/>
      <c r="AYJ107" s="818"/>
      <c r="AYK107" s="818"/>
      <c r="AYL107" s="818"/>
      <c r="AYM107" s="818"/>
      <c r="AYN107" s="818"/>
      <c r="AYO107" s="818"/>
      <c r="AYP107" s="818"/>
      <c r="AYQ107" s="818"/>
    </row>
    <row r="108" spans="1283:1343" x14ac:dyDescent="0.2">
      <c r="AWI108" s="818"/>
      <c r="AWJ108" s="818"/>
      <c r="AWK108" s="818"/>
      <c r="AWL108" s="818"/>
      <c r="AWM108" s="818"/>
      <c r="AWN108" s="818"/>
      <c r="AWO108" s="818"/>
      <c r="AWP108" s="818"/>
      <c r="AWQ108" s="818"/>
      <c r="AWR108" s="818"/>
      <c r="AWS108" s="818"/>
      <c r="AWT108" s="818"/>
      <c r="AWU108" s="818"/>
      <c r="AWV108" s="818"/>
      <c r="AWW108" s="818"/>
      <c r="AWX108" s="818"/>
      <c r="AWY108" s="818"/>
      <c r="AWZ108" s="818"/>
      <c r="AXA108" s="818"/>
      <c r="AXB108" s="818"/>
      <c r="AXC108" s="818"/>
      <c r="AXD108" s="818"/>
      <c r="AXE108" s="818"/>
      <c r="AXF108" s="818"/>
      <c r="AXG108" s="818"/>
      <c r="AXH108" s="818"/>
      <c r="AXI108" s="818"/>
      <c r="AXJ108" s="818"/>
      <c r="AXK108" s="818"/>
      <c r="AXL108" s="818"/>
      <c r="AXM108" s="818"/>
      <c r="AXN108" s="818"/>
      <c r="AXO108" s="818"/>
      <c r="AXP108" s="818"/>
      <c r="AXQ108" s="818"/>
      <c r="AXR108" s="818"/>
      <c r="AXS108" s="818"/>
      <c r="AXT108" s="818"/>
      <c r="AXU108" s="818"/>
      <c r="AXV108" s="818"/>
      <c r="AXW108" s="818"/>
      <c r="AXX108" s="818"/>
      <c r="AXY108" s="818"/>
      <c r="AXZ108" s="818"/>
      <c r="AYA108" s="818"/>
      <c r="AYB108" s="818"/>
      <c r="AYC108" s="818"/>
      <c r="AYD108" s="818"/>
      <c r="AYE108" s="818"/>
      <c r="AYF108" s="818"/>
      <c r="AYG108" s="818"/>
      <c r="AYH108" s="818"/>
      <c r="AYI108" s="818"/>
      <c r="AYJ108" s="818"/>
      <c r="AYK108" s="818"/>
      <c r="AYL108" s="818"/>
      <c r="AYM108" s="818"/>
      <c r="AYN108" s="818"/>
      <c r="AYO108" s="818"/>
      <c r="AYP108" s="818"/>
      <c r="AYQ108" s="818"/>
    </row>
    <row r="109" spans="1283:1343" x14ac:dyDescent="0.2">
      <c r="AWI109" s="818"/>
      <c r="AWJ109" s="818"/>
      <c r="AWK109" s="818"/>
      <c r="AWL109" s="818"/>
      <c r="AWM109" s="818"/>
      <c r="AWN109" s="818"/>
      <c r="AWO109" s="818"/>
      <c r="AWP109" s="818"/>
      <c r="AWQ109" s="818"/>
      <c r="AWR109" s="818"/>
      <c r="AWS109" s="818"/>
      <c r="AWT109" s="818"/>
      <c r="AWU109" s="818"/>
      <c r="AWV109" s="818"/>
      <c r="AWW109" s="818"/>
      <c r="AWX109" s="818"/>
      <c r="AWY109" s="818"/>
      <c r="AWZ109" s="818"/>
      <c r="AXA109" s="818"/>
      <c r="AXB109" s="818"/>
      <c r="AXC109" s="818"/>
      <c r="AXD109" s="818"/>
      <c r="AXE109" s="818"/>
      <c r="AXF109" s="818"/>
      <c r="AXG109" s="818"/>
      <c r="AXH109" s="818"/>
      <c r="AXI109" s="818"/>
      <c r="AXJ109" s="818"/>
      <c r="AXK109" s="818"/>
      <c r="AXL109" s="818"/>
      <c r="AXM109" s="818"/>
      <c r="AXN109" s="818"/>
      <c r="AXO109" s="818"/>
      <c r="AXP109" s="818"/>
      <c r="AXQ109" s="818"/>
      <c r="AXR109" s="818"/>
      <c r="AXS109" s="818"/>
      <c r="AXT109" s="818"/>
      <c r="AXU109" s="818"/>
      <c r="AXV109" s="818"/>
      <c r="AXW109" s="818"/>
      <c r="AXX109" s="818"/>
      <c r="AXY109" s="818"/>
      <c r="AXZ109" s="818"/>
      <c r="AYA109" s="818"/>
      <c r="AYB109" s="818"/>
      <c r="AYC109" s="818"/>
      <c r="AYD109" s="818"/>
      <c r="AYE109" s="818"/>
      <c r="AYF109" s="818"/>
      <c r="AYG109" s="818"/>
      <c r="AYH109" s="818"/>
      <c r="AYI109" s="818"/>
      <c r="AYJ109" s="818"/>
      <c r="AYK109" s="818"/>
      <c r="AYL109" s="818"/>
      <c r="AYM109" s="818"/>
      <c r="AYN109" s="818"/>
      <c r="AYO109" s="818"/>
      <c r="AYP109" s="818"/>
      <c r="AYQ109" s="818"/>
    </row>
    <row r="110" spans="1283:1343" x14ac:dyDescent="0.2">
      <c r="AWI110" s="818"/>
      <c r="AWJ110" s="818"/>
      <c r="AWK110" s="818"/>
      <c r="AWL110" s="818"/>
      <c r="AWM110" s="818"/>
      <c r="AWN110" s="818"/>
      <c r="AWO110" s="818"/>
      <c r="AWP110" s="818"/>
      <c r="AWQ110" s="818"/>
      <c r="AWR110" s="818"/>
      <c r="AWS110" s="818"/>
      <c r="AWT110" s="818"/>
      <c r="AWU110" s="818"/>
      <c r="AWV110" s="818"/>
      <c r="AWW110" s="818"/>
      <c r="AWX110" s="818"/>
      <c r="AWY110" s="818"/>
      <c r="AWZ110" s="818"/>
      <c r="AXA110" s="818"/>
      <c r="AXB110" s="818"/>
      <c r="AXC110" s="818"/>
      <c r="AXD110" s="818"/>
      <c r="AXE110" s="818"/>
      <c r="AXF110" s="818"/>
      <c r="AXG110" s="818"/>
      <c r="AXH110" s="818"/>
      <c r="AXI110" s="818"/>
      <c r="AXJ110" s="818"/>
      <c r="AXK110" s="818"/>
      <c r="AXL110" s="818"/>
      <c r="AXM110" s="818"/>
      <c r="AXN110" s="818"/>
      <c r="AXO110" s="818"/>
      <c r="AXP110" s="818"/>
      <c r="AXQ110" s="818"/>
      <c r="AXR110" s="818"/>
      <c r="AXS110" s="818"/>
      <c r="AXT110" s="818"/>
      <c r="AXU110" s="818"/>
      <c r="AXV110" s="818"/>
      <c r="AXW110" s="818"/>
      <c r="AXX110" s="818"/>
      <c r="AXY110" s="818"/>
      <c r="AXZ110" s="818"/>
      <c r="AYA110" s="818"/>
      <c r="AYB110" s="818"/>
      <c r="AYC110" s="818"/>
      <c r="AYD110" s="818"/>
      <c r="AYE110" s="818"/>
      <c r="AYF110" s="818"/>
      <c r="AYG110" s="818"/>
      <c r="AYH110" s="818"/>
      <c r="AYI110" s="818"/>
      <c r="AYJ110" s="818"/>
      <c r="AYK110" s="818"/>
      <c r="AYL110" s="818"/>
      <c r="AYM110" s="818"/>
      <c r="AYN110" s="818"/>
      <c r="AYO110" s="818"/>
      <c r="AYP110" s="818"/>
      <c r="AYQ110" s="818"/>
    </row>
    <row r="111" spans="1283:1343" x14ac:dyDescent="0.2">
      <c r="AWI111" s="818"/>
      <c r="AWJ111" s="818"/>
      <c r="AWK111" s="818"/>
      <c r="AWL111" s="818"/>
      <c r="AWM111" s="818"/>
      <c r="AWN111" s="818"/>
      <c r="AWO111" s="818"/>
      <c r="AWP111" s="818"/>
      <c r="AWQ111" s="818"/>
      <c r="AWR111" s="818"/>
      <c r="AWS111" s="818"/>
      <c r="AWT111" s="818"/>
      <c r="AWU111" s="818"/>
      <c r="AWV111" s="818"/>
      <c r="AWW111" s="818"/>
      <c r="AWX111" s="818"/>
      <c r="AWY111" s="818"/>
      <c r="AWZ111" s="818"/>
      <c r="AXA111" s="818"/>
      <c r="AXB111" s="818"/>
      <c r="AXC111" s="818"/>
      <c r="AXD111" s="818"/>
      <c r="AXE111" s="818"/>
      <c r="AXF111" s="818"/>
      <c r="AXG111" s="818"/>
      <c r="AXH111" s="818"/>
      <c r="AXI111" s="818"/>
      <c r="AXJ111" s="818"/>
      <c r="AXK111" s="818"/>
      <c r="AXL111" s="818"/>
      <c r="AXM111" s="818"/>
      <c r="AXN111" s="818"/>
      <c r="AXO111" s="818"/>
      <c r="AXP111" s="818"/>
      <c r="AXQ111" s="818"/>
      <c r="AXR111" s="818"/>
      <c r="AXS111" s="818"/>
      <c r="AXT111" s="818"/>
      <c r="AXU111" s="818"/>
      <c r="AXV111" s="818"/>
      <c r="AXW111" s="818"/>
      <c r="AXX111" s="818"/>
      <c r="AXY111" s="818"/>
      <c r="AXZ111" s="818"/>
      <c r="AYA111" s="818"/>
      <c r="AYB111" s="818"/>
      <c r="AYC111" s="818"/>
      <c r="AYD111" s="818"/>
      <c r="AYE111" s="818"/>
      <c r="AYF111" s="818"/>
      <c r="AYG111" s="818"/>
      <c r="AYH111" s="818"/>
      <c r="AYI111" s="818"/>
      <c r="AYJ111" s="818"/>
      <c r="AYK111" s="818"/>
      <c r="AYL111" s="818"/>
      <c r="AYM111" s="818"/>
      <c r="AYN111" s="818"/>
      <c r="AYO111" s="818"/>
      <c r="AYP111" s="818"/>
      <c r="AYQ111" s="818"/>
    </row>
    <row r="112" spans="1283:1343" x14ac:dyDescent="0.2">
      <c r="AWI112" s="818"/>
      <c r="AWJ112" s="818"/>
      <c r="AWK112" s="818"/>
      <c r="AWL112" s="818"/>
      <c r="AWM112" s="818"/>
      <c r="AWN112" s="818"/>
      <c r="AWO112" s="818"/>
      <c r="AWP112" s="818"/>
      <c r="AWQ112" s="818"/>
      <c r="AWR112" s="818"/>
      <c r="AWS112" s="818"/>
      <c r="AWT112" s="818"/>
      <c r="AWU112" s="818"/>
      <c r="AWV112" s="818"/>
      <c r="AWW112" s="818"/>
      <c r="AWX112" s="818"/>
      <c r="AWY112" s="818"/>
      <c r="AWZ112" s="818"/>
      <c r="AXA112" s="818"/>
      <c r="AXB112" s="818"/>
      <c r="AXC112" s="818"/>
      <c r="AXD112" s="818"/>
      <c r="AXE112" s="818"/>
      <c r="AXF112" s="818"/>
      <c r="AXG112" s="818"/>
      <c r="AXH112" s="818"/>
      <c r="AXI112" s="818"/>
      <c r="AXJ112" s="818"/>
      <c r="AXK112" s="818"/>
      <c r="AXL112" s="818"/>
      <c r="AXM112" s="818"/>
      <c r="AXN112" s="818"/>
      <c r="AXO112" s="818"/>
      <c r="AXP112" s="818"/>
      <c r="AXQ112" s="818"/>
      <c r="AXR112" s="818"/>
      <c r="AXS112" s="818"/>
      <c r="AXT112" s="818"/>
      <c r="AXU112" s="818"/>
      <c r="AXV112" s="818"/>
      <c r="AXW112" s="818"/>
      <c r="AXX112" s="818"/>
      <c r="AXY112" s="818"/>
      <c r="AXZ112" s="818"/>
      <c r="AYA112" s="818"/>
      <c r="AYB112" s="818"/>
      <c r="AYC112" s="818"/>
      <c r="AYD112" s="818"/>
      <c r="AYE112" s="818"/>
      <c r="AYF112" s="818"/>
      <c r="AYG112" s="818"/>
      <c r="AYH112" s="818"/>
      <c r="AYI112" s="818"/>
      <c r="AYJ112" s="818"/>
      <c r="AYK112" s="818"/>
      <c r="AYL112" s="818"/>
      <c r="AYM112" s="818"/>
      <c r="AYN112" s="818"/>
      <c r="AYO112" s="818"/>
      <c r="AYP112" s="818"/>
      <c r="AYQ112" s="818"/>
    </row>
    <row r="113" spans="1283:1343" x14ac:dyDescent="0.2">
      <c r="AWI113" s="818"/>
      <c r="AWJ113" s="818"/>
      <c r="AWK113" s="818"/>
      <c r="AWL113" s="818"/>
      <c r="AWM113" s="818"/>
      <c r="AWN113" s="818"/>
      <c r="AWO113" s="818"/>
      <c r="AWP113" s="818"/>
      <c r="AWQ113" s="818"/>
      <c r="AWR113" s="818"/>
      <c r="AWS113" s="818"/>
      <c r="AWT113" s="818"/>
      <c r="AWU113" s="818"/>
      <c r="AWV113" s="818"/>
      <c r="AWW113" s="818"/>
      <c r="AWX113" s="818"/>
      <c r="AWY113" s="818"/>
      <c r="AWZ113" s="818"/>
      <c r="AXA113" s="818"/>
      <c r="AXB113" s="818"/>
      <c r="AXC113" s="818"/>
      <c r="AXD113" s="818"/>
      <c r="AXE113" s="818"/>
      <c r="AXF113" s="818"/>
      <c r="AXG113" s="818"/>
      <c r="AXH113" s="818"/>
      <c r="AXI113" s="818"/>
      <c r="AXJ113" s="818"/>
      <c r="AXK113" s="818"/>
      <c r="AXL113" s="818"/>
      <c r="AXM113" s="818"/>
      <c r="AXN113" s="818"/>
      <c r="AXO113" s="818"/>
      <c r="AXP113" s="818"/>
      <c r="AXQ113" s="818"/>
      <c r="AXR113" s="818"/>
      <c r="AXS113" s="818"/>
      <c r="AXT113" s="818"/>
      <c r="AXU113" s="818"/>
      <c r="AXV113" s="818"/>
      <c r="AXW113" s="818"/>
      <c r="AXX113" s="818"/>
      <c r="AXY113" s="818"/>
      <c r="AXZ113" s="818"/>
      <c r="AYA113" s="818"/>
      <c r="AYB113" s="818"/>
      <c r="AYC113" s="818"/>
      <c r="AYD113" s="818"/>
      <c r="AYE113" s="818"/>
      <c r="AYF113" s="818"/>
      <c r="AYG113" s="818"/>
      <c r="AYH113" s="818"/>
      <c r="AYI113" s="818"/>
      <c r="AYJ113" s="818"/>
      <c r="AYK113" s="818"/>
      <c r="AYL113" s="818"/>
      <c r="AYM113" s="818"/>
      <c r="AYN113" s="818"/>
      <c r="AYO113" s="818"/>
      <c r="AYP113" s="818"/>
      <c r="AYQ113" s="818"/>
    </row>
    <row r="114" spans="1283:1343" x14ac:dyDescent="0.2">
      <c r="AWI114" s="818"/>
      <c r="AWJ114" s="818"/>
      <c r="AWK114" s="818"/>
      <c r="AWL114" s="818"/>
      <c r="AWM114" s="818"/>
      <c r="AWN114" s="818"/>
      <c r="AWO114" s="818"/>
      <c r="AWP114" s="818"/>
      <c r="AWQ114" s="818"/>
      <c r="AWR114" s="818"/>
      <c r="AWS114" s="818"/>
      <c r="AWT114" s="818"/>
      <c r="AWU114" s="818"/>
      <c r="AWV114" s="818"/>
      <c r="AWW114" s="818"/>
      <c r="AWX114" s="818"/>
      <c r="AWY114" s="818"/>
      <c r="AWZ114" s="818"/>
      <c r="AXA114" s="818"/>
      <c r="AXB114" s="818"/>
      <c r="AXC114" s="818"/>
      <c r="AXD114" s="818"/>
      <c r="AXE114" s="818"/>
      <c r="AXF114" s="818"/>
      <c r="AXG114" s="818"/>
      <c r="AXH114" s="818"/>
      <c r="AXI114" s="818"/>
      <c r="AXJ114" s="818"/>
      <c r="AXK114" s="818"/>
      <c r="AXL114" s="818"/>
      <c r="AXM114" s="818"/>
      <c r="AXN114" s="818"/>
      <c r="AXO114" s="818"/>
      <c r="AXP114" s="818"/>
      <c r="AXQ114" s="818"/>
      <c r="AXR114" s="818"/>
      <c r="AXS114" s="818"/>
      <c r="AXT114" s="818"/>
      <c r="AXU114" s="818"/>
      <c r="AXV114" s="818"/>
      <c r="AXW114" s="818"/>
      <c r="AXX114" s="818"/>
      <c r="AXY114" s="818"/>
      <c r="AXZ114" s="818"/>
      <c r="AYA114" s="818"/>
      <c r="AYB114" s="818"/>
      <c r="AYC114" s="818"/>
      <c r="AYD114" s="818"/>
      <c r="AYE114" s="818"/>
      <c r="AYF114" s="818"/>
      <c r="AYG114" s="818"/>
      <c r="AYH114" s="818"/>
      <c r="AYI114" s="818"/>
      <c r="AYJ114" s="818"/>
      <c r="AYK114" s="818"/>
      <c r="AYL114" s="818"/>
      <c r="AYM114" s="818"/>
      <c r="AYN114" s="818"/>
      <c r="AYO114" s="818"/>
      <c r="AYP114" s="818"/>
      <c r="AYQ114" s="818"/>
    </row>
    <row r="115" spans="1283:1343" x14ac:dyDescent="0.2">
      <c r="AWI115" s="818"/>
      <c r="AWJ115" s="818"/>
      <c r="AWK115" s="818"/>
      <c r="AWL115" s="818"/>
      <c r="AWM115" s="818"/>
      <c r="AWN115" s="818"/>
      <c r="AWO115" s="818"/>
      <c r="AWP115" s="818"/>
      <c r="AWQ115" s="818"/>
      <c r="AWR115" s="818"/>
      <c r="AWS115" s="818"/>
      <c r="AWT115" s="818"/>
      <c r="AWU115" s="818"/>
      <c r="AWV115" s="818"/>
      <c r="AWW115" s="818"/>
      <c r="AWX115" s="818"/>
      <c r="AWY115" s="818"/>
      <c r="AWZ115" s="818"/>
      <c r="AXA115" s="818"/>
      <c r="AXB115" s="818"/>
      <c r="AXC115" s="818"/>
      <c r="AXD115" s="818"/>
      <c r="AXE115" s="818"/>
      <c r="AXF115" s="818"/>
      <c r="AXG115" s="818"/>
      <c r="AXH115" s="818"/>
      <c r="AXI115" s="818"/>
      <c r="AXJ115" s="818"/>
      <c r="AXK115" s="818"/>
      <c r="AXL115" s="818"/>
      <c r="AXM115" s="818"/>
      <c r="AXN115" s="818"/>
      <c r="AXO115" s="818"/>
      <c r="AXP115" s="818"/>
      <c r="AXQ115" s="818"/>
      <c r="AXR115" s="818"/>
      <c r="AXS115" s="818"/>
      <c r="AXT115" s="818"/>
      <c r="AXU115" s="818"/>
      <c r="AXV115" s="818"/>
      <c r="AXW115" s="818"/>
      <c r="AXX115" s="818"/>
      <c r="AXY115" s="818"/>
      <c r="AXZ115" s="818"/>
      <c r="AYA115" s="818"/>
      <c r="AYB115" s="818"/>
      <c r="AYC115" s="818"/>
      <c r="AYD115" s="818"/>
      <c r="AYE115" s="818"/>
      <c r="AYF115" s="818"/>
      <c r="AYG115" s="818"/>
      <c r="AYH115" s="818"/>
      <c r="AYI115" s="818"/>
      <c r="AYJ115" s="818"/>
      <c r="AYK115" s="818"/>
      <c r="AYL115" s="818"/>
      <c r="AYM115" s="818"/>
      <c r="AYN115" s="818"/>
      <c r="AYO115" s="818"/>
      <c r="AYP115" s="818"/>
      <c r="AYQ115" s="818"/>
    </row>
    <row r="116" spans="1283:1343" x14ac:dyDescent="0.2">
      <c r="AWI116" s="818"/>
      <c r="AWJ116" s="818"/>
      <c r="AWK116" s="818"/>
      <c r="AWL116" s="818"/>
      <c r="AWM116" s="818"/>
      <c r="AWN116" s="818"/>
      <c r="AWO116" s="818"/>
      <c r="AWP116" s="818"/>
      <c r="AWQ116" s="818"/>
      <c r="AWR116" s="818"/>
      <c r="AWS116" s="818"/>
      <c r="AWT116" s="818"/>
      <c r="AWU116" s="818"/>
      <c r="AWV116" s="818"/>
      <c r="AWW116" s="818"/>
      <c r="AWX116" s="818"/>
      <c r="AWY116" s="818"/>
      <c r="AWZ116" s="818"/>
      <c r="AXA116" s="818"/>
      <c r="AXB116" s="818"/>
      <c r="AXC116" s="818"/>
      <c r="AXD116" s="818"/>
      <c r="AXE116" s="818"/>
      <c r="AXF116" s="818"/>
      <c r="AXG116" s="818"/>
      <c r="AXH116" s="818"/>
      <c r="AXI116" s="818"/>
      <c r="AXJ116" s="818"/>
      <c r="AXK116" s="818"/>
      <c r="AXL116" s="818"/>
      <c r="AXM116" s="818"/>
      <c r="AXN116" s="818"/>
      <c r="AXO116" s="818"/>
      <c r="AXP116" s="818"/>
      <c r="AXQ116" s="818"/>
      <c r="AXR116" s="818"/>
      <c r="AXS116" s="818"/>
      <c r="AXT116" s="818"/>
      <c r="AXU116" s="818"/>
      <c r="AXV116" s="818"/>
      <c r="AXW116" s="818"/>
      <c r="AXX116" s="818"/>
      <c r="AXY116" s="818"/>
      <c r="AXZ116" s="818"/>
      <c r="AYA116" s="818"/>
      <c r="AYB116" s="818"/>
      <c r="AYC116" s="818"/>
      <c r="AYD116" s="818"/>
      <c r="AYE116" s="818"/>
      <c r="AYF116" s="818"/>
      <c r="AYG116" s="818"/>
      <c r="AYH116" s="818"/>
      <c r="AYI116" s="818"/>
      <c r="AYJ116" s="818"/>
      <c r="AYK116" s="818"/>
      <c r="AYL116" s="818"/>
      <c r="AYM116" s="818"/>
      <c r="AYN116" s="818"/>
      <c r="AYO116" s="818"/>
      <c r="AYP116" s="818"/>
      <c r="AYQ116" s="818"/>
    </row>
    <row r="117" spans="1283:1343" x14ac:dyDescent="0.2">
      <c r="AWI117" s="818"/>
      <c r="AWJ117" s="818"/>
      <c r="AWK117" s="818"/>
      <c r="AWL117" s="818"/>
      <c r="AWM117" s="818"/>
      <c r="AWN117" s="818"/>
      <c r="AWO117" s="818"/>
      <c r="AWP117" s="818"/>
      <c r="AWQ117" s="818"/>
      <c r="AWR117" s="818"/>
      <c r="AWS117" s="818"/>
      <c r="AWT117" s="818"/>
      <c r="AWU117" s="818"/>
      <c r="AWV117" s="818"/>
      <c r="AWW117" s="818"/>
      <c r="AWX117" s="818"/>
      <c r="AWY117" s="818"/>
      <c r="AWZ117" s="818"/>
      <c r="AXA117" s="818"/>
      <c r="AXB117" s="818"/>
      <c r="AXC117" s="818"/>
      <c r="AXD117" s="818"/>
      <c r="AXE117" s="818"/>
      <c r="AXF117" s="818"/>
      <c r="AXG117" s="818"/>
      <c r="AXH117" s="818"/>
      <c r="AXI117" s="818"/>
      <c r="AXJ117" s="818"/>
      <c r="AXK117" s="818"/>
      <c r="AXL117" s="818"/>
      <c r="AXM117" s="818"/>
      <c r="AXN117" s="818"/>
      <c r="AXO117" s="818"/>
      <c r="AXP117" s="818"/>
      <c r="AXQ117" s="818"/>
      <c r="AXR117" s="818"/>
      <c r="AXS117" s="818"/>
      <c r="AXT117" s="818"/>
      <c r="AXU117" s="818"/>
      <c r="AXV117" s="818"/>
      <c r="AXW117" s="818"/>
      <c r="AXX117" s="818"/>
      <c r="AXY117" s="818"/>
      <c r="AXZ117" s="818"/>
      <c r="AYA117" s="818"/>
      <c r="AYB117" s="818"/>
      <c r="AYC117" s="818"/>
      <c r="AYD117" s="818"/>
      <c r="AYE117" s="818"/>
      <c r="AYF117" s="818"/>
      <c r="AYG117" s="818"/>
      <c r="AYH117" s="818"/>
      <c r="AYI117" s="818"/>
      <c r="AYJ117" s="818"/>
      <c r="AYK117" s="818"/>
      <c r="AYL117" s="818"/>
      <c r="AYM117" s="818"/>
      <c r="AYN117" s="818"/>
      <c r="AYO117" s="818"/>
      <c r="AYP117" s="818"/>
      <c r="AYQ117" s="818"/>
    </row>
    <row r="118" spans="1283:1343" x14ac:dyDescent="0.2">
      <c r="AWI118" s="818"/>
      <c r="AWJ118" s="818"/>
      <c r="AWK118" s="818"/>
      <c r="AWL118" s="818"/>
      <c r="AWM118" s="818"/>
      <c r="AWN118" s="818"/>
      <c r="AWO118" s="818"/>
      <c r="AWP118" s="818"/>
      <c r="AWQ118" s="818"/>
      <c r="AWR118" s="818"/>
      <c r="AWS118" s="818"/>
      <c r="AWT118" s="818"/>
      <c r="AWU118" s="818"/>
      <c r="AWV118" s="818"/>
      <c r="AWW118" s="818"/>
      <c r="AWX118" s="818"/>
      <c r="AWY118" s="818"/>
      <c r="AWZ118" s="818"/>
      <c r="AXA118" s="818"/>
      <c r="AXB118" s="818"/>
      <c r="AXC118" s="818"/>
      <c r="AXD118" s="818"/>
      <c r="AXE118" s="818"/>
      <c r="AXF118" s="818"/>
      <c r="AXG118" s="818"/>
      <c r="AXH118" s="818"/>
      <c r="AXI118" s="818"/>
      <c r="AXJ118" s="818"/>
      <c r="AXK118" s="818"/>
      <c r="AXL118" s="818"/>
      <c r="AXM118" s="818"/>
      <c r="AXN118" s="818"/>
      <c r="AXO118" s="818"/>
      <c r="AXP118" s="818"/>
      <c r="AXQ118" s="818"/>
      <c r="AXR118" s="818"/>
      <c r="AXS118" s="818"/>
      <c r="AXT118" s="818"/>
      <c r="AXU118" s="818"/>
      <c r="AXV118" s="818"/>
      <c r="AXW118" s="818"/>
      <c r="AXX118" s="818"/>
      <c r="AXY118" s="818"/>
      <c r="AXZ118" s="818"/>
      <c r="AYA118" s="818"/>
      <c r="AYB118" s="818"/>
      <c r="AYC118" s="818"/>
      <c r="AYD118" s="818"/>
      <c r="AYE118" s="818"/>
      <c r="AYF118" s="818"/>
      <c r="AYG118" s="818"/>
      <c r="AYH118" s="818"/>
      <c r="AYI118" s="818"/>
      <c r="AYJ118" s="818"/>
      <c r="AYK118" s="818"/>
      <c r="AYL118" s="818"/>
      <c r="AYM118" s="818"/>
      <c r="AYN118" s="818"/>
      <c r="AYO118" s="818"/>
      <c r="AYP118" s="818"/>
      <c r="AYQ118" s="818"/>
    </row>
    <row r="119" spans="1283:1343" x14ac:dyDescent="0.2">
      <c r="AWI119" s="818"/>
      <c r="AWJ119" s="818"/>
      <c r="AWK119" s="818"/>
      <c r="AWL119" s="818"/>
      <c r="AWM119" s="818"/>
      <c r="AWN119" s="818"/>
      <c r="AWO119" s="818"/>
      <c r="AWP119" s="818"/>
      <c r="AWQ119" s="818"/>
      <c r="AWR119" s="818"/>
      <c r="AWS119" s="818"/>
      <c r="AWT119" s="818"/>
      <c r="AWU119" s="818"/>
      <c r="AWV119" s="818"/>
      <c r="AWW119" s="818"/>
      <c r="AWX119" s="818"/>
      <c r="AWY119" s="818"/>
      <c r="AWZ119" s="818"/>
      <c r="AXA119" s="818"/>
      <c r="AXB119" s="818"/>
      <c r="AXC119" s="818"/>
      <c r="AXD119" s="818"/>
      <c r="AXE119" s="818"/>
      <c r="AXF119" s="818"/>
      <c r="AXG119" s="818"/>
      <c r="AXH119" s="818"/>
      <c r="AXI119" s="818"/>
      <c r="AXJ119" s="818"/>
      <c r="AXK119" s="818"/>
      <c r="AXL119" s="818"/>
      <c r="AXM119" s="818"/>
      <c r="AXN119" s="818"/>
      <c r="AXO119" s="818"/>
      <c r="AXP119" s="818"/>
      <c r="AXQ119" s="818"/>
      <c r="AXR119" s="818"/>
      <c r="AXS119" s="818"/>
      <c r="AXT119" s="818"/>
      <c r="AXU119" s="818"/>
      <c r="AXV119" s="818"/>
      <c r="AXW119" s="818"/>
      <c r="AXX119" s="818"/>
      <c r="AXY119" s="818"/>
      <c r="AXZ119" s="818"/>
      <c r="AYA119" s="818"/>
      <c r="AYB119" s="818"/>
      <c r="AYC119" s="818"/>
      <c r="AYD119" s="818"/>
      <c r="AYE119" s="818"/>
      <c r="AYF119" s="818"/>
      <c r="AYG119" s="818"/>
      <c r="AYH119" s="818"/>
      <c r="AYI119" s="818"/>
      <c r="AYJ119" s="818"/>
      <c r="AYK119" s="818"/>
      <c r="AYL119" s="818"/>
      <c r="AYM119" s="818"/>
      <c r="AYN119" s="818"/>
      <c r="AYO119" s="818"/>
      <c r="AYP119" s="818"/>
      <c r="AYQ119" s="818"/>
    </row>
    <row r="120" spans="1283:1343" x14ac:dyDescent="0.2">
      <c r="AWI120" s="818"/>
      <c r="AWJ120" s="818"/>
      <c r="AWK120" s="818"/>
      <c r="AWL120" s="818"/>
      <c r="AWM120" s="818"/>
      <c r="AWN120" s="818"/>
      <c r="AWO120" s="818"/>
      <c r="AWP120" s="818"/>
      <c r="AWQ120" s="818"/>
      <c r="AWR120" s="818"/>
      <c r="AWS120" s="818"/>
      <c r="AWT120" s="818"/>
      <c r="AWU120" s="818"/>
      <c r="AWV120" s="818"/>
      <c r="AWW120" s="818"/>
      <c r="AWX120" s="818"/>
      <c r="AWY120" s="818"/>
      <c r="AWZ120" s="818"/>
      <c r="AXA120" s="818"/>
      <c r="AXB120" s="818"/>
      <c r="AXC120" s="818"/>
      <c r="AXD120" s="818"/>
      <c r="AXE120" s="818"/>
      <c r="AXF120" s="818"/>
      <c r="AXG120" s="818"/>
      <c r="AXH120" s="818"/>
      <c r="AXI120" s="818"/>
      <c r="AXJ120" s="818"/>
      <c r="AXK120" s="818"/>
      <c r="AXL120" s="818"/>
      <c r="AXM120" s="818"/>
      <c r="AXN120" s="818"/>
      <c r="AXO120" s="818"/>
      <c r="AXP120" s="818"/>
      <c r="AXQ120" s="818"/>
      <c r="AXR120" s="818"/>
      <c r="AXS120" s="818"/>
      <c r="AXT120" s="818"/>
      <c r="AXU120" s="818"/>
      <c r="AXV120" s="818"/>
      <c r="AXW120" s="818"/>
      <c r="AXX120" s="818"/>
      <c r="AXY120" s="818"/>
      <c r="AXZ120" s="818"/>
      <c r="AYA120" s="818"/>
      <c r="AYB120" s="818"/>
      <c r="AYC120" s="818"/>
      <c r="AYD120" s="818"/>
      <c r="AYE120" s="818"/>
      <c r="AYF120" s="818"/>
      <c r="AYG120" s="818"/>
      <c r="AYH120" s="818"/>
      <c r="AYI120" s="818"/>
      <c r="AYJ120" s="818"/>
      <c r="AYK120" s="818"/>
      <c r="AYL120" s="818"/>
      <c r="AYM120" s="818"/>
      <c r="AYN120" s="818"/>
      <c r="AYO120" s="818"/>
      <c r="AYP120" s="818"/>
      <c r="AYQ120" s="818"/>
    </row>
    <row r="121" spans="1283:1343" x14ac:dyDescent="0.2">
      <c r="AWI121" s="818"/>
      <c r="AWJ121" s="818"/>
      <c r="AWK121" s="818"/>
      <c r="AWL121" s="818"/>
      <c r="AWM121" s="818"/>
      <c r="AWN121" s="818"/>
      <c r="AWO121" s="818"/>
      <c r="AWP121" s="818"/>
      <c r="AWQ121" s="818"/>
      <c r="AWR121" s="818"/>
      <c r="AWS121" s="818"/>
      <c r="AWT121" s="818"/>
      <c r="AWU121" s="818"/>
      <c r="AWV121" s="818"/>
      <c r="AWW121" s="818"/>
      <c r="AWX121" s="818"/>
      <c r="AWY121" s="818"/>
      <c r="AWZ121" s="818"/>
      <c r="AXA121" s="818"/>
      <c r="AXB121" s="818"/>
      <c r="AXC121" s="818"/>
      <c r="AXD121" s="818"/>
      <c r="AXE121" s="818"/>
      <c r="AXF121" s="818"/>
      <c r="AXG121" s="818"/>
      <c r="AXH121" s="818"/>
      <c r="AXI121" s="818"/>
      <c r="AXJ121" s="818"/>
      <c r="AXK121" s="818"/>
      <c r="AXL121" s="818"/>
      <c r="AXM121" s="818"/>
      <c r="AXN121" s="818"/>
      <c r="AXO121" s="818"/>
      <c r="AXP121" s="818"/>
      <c r="AXQ121" s="818"/>
      <c r="AXR121" s="818"/>
      <c r="AXS121" s="818"/>
      <c r="AXT121" s="818"/>
      <c r="AXU121" s="818"/>
      <c r="AXV121" s="818"/>
      <c r="AXW121" s="818"/>
      <c r="AXX121" s="818"/>
      <c r="AXY121" s="818"/>
      <c r="AXZ121" s="818"/>
      <c r="AYA121" s="818"/>
      <c r="AYB121" s="818"/>
      <c r="AYC121" s="818"/>
      <c r="AYD121" s="818"/>
      <c r="AYE121" s="818"/>
      <c r="AYF121" s="818"/>
      <c r="AYG121" s="818"/>
      <c r="AYH121" s="818"/>
      <c r="AYI121" s="818"/>
      <c r="AYJ121" s="818"/>
      <c r="AYK121" s="818"/>
      <c r="AYL121" s="818"/>
      <c r="AYM121" s="818"/>
      <c r="AYN121" s="818"/>
      <c r="AYO121" s="818"/>
      <c r="AYP121" s="818"/>
      <c r="AYQ121" s="818"/>
    </row>
    <row r="122" spans="1283:1343" x14ac:dyDescent="0.2">
      <c r="AWI122" s="818"/>
      <c r="AWJ122" s="818"/>
      <c r="AWK122" s="818"/>
      <c r="AWL122" s="818"/>
      <c r="AWM122" s="818"/>
      <c r="AWN122" s="818"/>
      <c r="AWO122" s="818"/>
      <c r="AWP122" s="818"/>
      <c r="AWQ122" s="818"/>
      <c r="AWR122" s="818"/>
      <c r="AWS122" s="818"/>
      <c r="AWT122" s="818"/>
      <c r="AWU122" s="818"/>
      <c r="AWV122" s="818"/>
      <c r="AWW122" s="818"/>
      <c r="AWX122" s="818"/>
      <c r="AWY122" s="818"/>
      <c r="AWZ122" s="818"/>
      <c r="AXA122" s="818"/>
      <c r="AXB122" s="818"/>
      <c r="AXC122" s="818"/>
      <c r="AXD122" s="818"/>
      <c r="AXE122" s="818"/>
      <c r="AXF122" s="818"/>
      <c r="AXG122" s="818"/>
      <c r="AXH122" s="818"/>
      <c r="AXI122" s="818"/>
      <c r="AXJ122" s="818"/>
      <c r="AXK122" s="818"/>
      <c r="AXL122" s="818"/>
      <c r="AXM122" s="818"/>
      <c r="AXN122" s="818"/>
      <c r="AXO122" s="818"/>
      <c r="AXP122" s="818"/>
      <c r="AXQ122" s="818"/>
      <c r="AXR122" s="818"/>
      <c r="AXS122" s="818"/>
      <c r="AXT122" s="818"/>
      <c r="AXU122" s="818"/>
      <c r="AXV122" s="818"/>
      <c r="AXW122" s="818"/>
      <c r="AXX122" s="818"/>
      <c r="AXY122" s="818"/>
      <c r="AXZ122" s="818"/>
      <c r="AYA122" s="818"/>
      <c r="AYB122" s="818"/>
      <c r="AYC122" s="818"/>
      <c r="AYD122" s="818"/>
      <c r="AYE122" s="818"/>
      <c r="AYF122" s="818"/>
      <c r="AYG122" s="818"/>
      <c r="AYH122" s="818"/>
      <c r="AYI122" s="818"/>
      <c r="AYJ122" s="818"/>
      <c r="AYK122" s="818"/>
      <c r="AYL122" s="818"/>
      <c r="AYM122" s="818"/>
      <c r="AYN122" s="818"/>
      <c r="AYO122" s="818"/>
      <c r="AYP122" s="818"/>
      <c r="AYQ122" s="818"/>
    </row>
    <row r="123" spans="1283:1343" x14ac:dyDescent="0.2">
      <c r="AWI123" s="818"/>
      <c r="AWJ123" s="818"/>
      <c r="AWK123" s="818"/>
      <c r="AWL123" s="818"/>
      <c r="AWM123" s="818"/>
      <c r="AWN123" s="818"/>
      <c r="AWO123" s="818"/>
      <c r="AWP123" s="818"/>
      <c r="AWQ123" s="818"/>
      <c r="AWR123" s="818"/>
      <c r="AWS123" s="818"/>
      <c r="AWT123" s="818"/>
      <c r="AWU123" s="818"/>
      <c r="AWV123" s="818"/>
      <c r="AWW123" s="818"/>
      <c r="AWX123" s="818"/>
      <c r="AWY123" s="818"/>
      <c r="AWZ123" s="818"/>
      <c r="AXA123" s="818"/>
      <c r="AXB123" s="818"/>
      <c r="AXC123" s="818"/>
      <c r="AXD123" s="818"/>
      <c r="AXE123" s="818"/>
      <c r="AXF123" s="818"/>
      <c r="AXG123" s="818"/>
      <c r="AXH123" s="818"/>
      <c r="AXI123" s="818"/>
      <c r="AXJ123" s="818"/>
      <c r="AXK123" s="818"/>
      <c r="AXL123" s="818"/>
      <c r="AXM123" s="818"/>
      <c r="AXN123" s="818"/>
      <c r="AXO123" s="818"/>
      <c r="AXP123" s="818"/>
      <c r="AXQ123" s="818"/>
      <c r="AXR123" s="818"/>
      <c r="AXS123" s="818"/>
      <c r="AXT123" s="818"/>
      <c r="AXU123" s="818"/>
      <c r="AXV123" s="818"/>
      <c r="AXW123" s="818"/>
      <c r="AXX123" s="818"/>
      <c r="AXY123" s="818"/>
      <c r="AXZ123" s="818"/>
      <c r="AYA123" s="818"/>
      <c r="AYB123" s="818"/>
      <c r="AYC123" s="818"/>
      <c r="AYD123" s="818"/>
      <c r="AYE123" s="818"/>
      <c r="AYF123" s="818"/>
      <c r="AYG123" s="818"/>
      <c r="AYH123" s="818"/>
      <c r="AYI123" s="818"/>
      <c r="AYJ123" s="818"/>
      <c r="AYK123" s="818"/>
      <c r="AYL123" s="818"/>
      <c r="AYM123" s="818"/>
      <c r="AYN123" s="818"/>
      <c r="AYO123" s="818"/>
      <c r="AYP123" s="818"/>
      <c r="AYQ123" s="818"/>
    </row>
    <row r="124" spans="1283:1343" x14ac:dyDescent="0.2">
      <c r="AWI124" s="818"/>
      <c r="AWJ124" s="818"/>
      <c r="AWK124" s="818"/>
      <c r="AWL124" s="818"/>
      <c r="AWM124" s="818"/>
      <c r="AWN124" s="818"/>
      <c r="AWO124" s="818"/>
      <c r="AWP124" s="818"/>
      <c r="AWQ124" s="818"/>
      <c r="AWR124" s="818"/>
      <c r="AWS124" s="818"/>
      <c r="AWT124" s="818"/>
      <c r="AWU124" s="818"/>
      <c r="AWV124" s="818"/>
      <c r="AWW124" s="818"/>
      <c r="AWX124" s="818"/>
      <c r="AWY124" s="818"/>
      <c r="AWZ124" s="818"/>
      <c r="AXA124" s="818"/>
      <c r="AXB124" s="818"/>
      <c r="AXC124" s="818"/>
      <c r="AXD124" s="818"/>
      <c r="AXE124" s="818"/>
      <c r="AXF124" s="818"/>
      <c r="AXG124" s="818"/>
      <c r="AXH124" s="818"/>
      <c r="AXI124" s="818"/>
      <c r="AXJ124" s="818"/>
      <c r="AXK124" s="818"/>
      <c r="AXL124" s="818"/>
      <c r="AXM124" s="818"/>
      <c r="AXN124" s="818"/>
      <c r="AXO124" s="818"/>
      <c r="AXP124" s="818"/>
      <c r="AXQ124" s="818"/>
      <c r="AXR124" s="818"/>
      <c r="AXS124" s="818"/>
      <c r="AXT124" s="818"/>
      <c r="AXU124" s="818"/>
      <c r="AXV124" s="818"/>
      <c r="AXW124" s="818"/>
      <c r="AXX124" s="818"/>
      <c r="AXY124" s="818"/>
      <c r="AXZ124" s="818"/>
      <c r="AYA124" s="818"/>
      <c r="AYB124" s="818"/>
      <c r="AYC124" s="818"/>
      <c r="AYD124" s="818"/>
      <c r="AYE124" s="818"/>
      <c r="AYF124" s="818"/>
      <c r="AYG124" s="818"/>
      <c r="AYH124" s="818"/>
      <c r="AYI124" s="818"/>
      <c r="AYJ124" s="818"/>
      <c r="AYK124" s="818"/>
      <c r="AYL124" s="818"/>
      <c r="AYM124" s="818"/>
      <c r="AYN124" s="818"/>
      <c r="AYO124" s="818"/>
      <c r="AYP124" s="818"/>
      <c r="AYQ124" s="818"/>
    </row>
    <row r="125" spans="1283:1343" x14ac:dyDescent="0.2">
      <c r="AWI125" s="818"/>
      <c r="AWJ125" s="818"/>
      <c r="AWK125" s="818"/>
      <c r="AWL125" s="818"/>
      <c r="AWM125" s="818"/>
      <c r="AWN125" s="818"/>
      <c r="AWO125" s="818"/>
      <c r="AWP125" s="818"/>
      <c r="AWQ125" s="818"/>
      <c r="AWR125" s="818"/>
      <c r="AWS125" s="818"/>
      <c r="AWT125" s="818"/>
      <c r="AWU125" s="818"/>
      <c r="AWV125" s="818"/>
      <c r="AWW125" s="818"/>
      <c r="AWX125" s="818"/>
      <c r="AWY125" s="818"/>
      <c r="AWZ125" s="818"/>
      <c r="AXA125" s="818"/>
      <c r="AXB125" s="818"/>
      <c r="AXC125" s="818"/>
      <c r="AXD125" s="818"/>
      <c r="AXE125" s="818"/>
      <c r="AXF125" s="818"/>
      <c r="AXG125" s="818"/>
      <c r="AXH125" s="818"/>
      <c r="AXI125" s="818"/>
      <c r="AXJ125" s="818"/>
      <c r="AXK125" s="818"/>
      <c r="AXL125" s="818"/>
      <c r="AXM125" s="818"/>
      <c r="AXN125" s="818"/>
      <c r="AXO125" s="818"/>
      <c r="AXP125" s="818"/>
      <c r="AXQ125" s="818"/>
      <c r="AXR125" s="818"/>
      <c r="AXS125" s="818"/>
      <c r="AXT125" s="818"/>
      <c r="AXU125" s="818"/>
      <c r="AXV125" s="818"/>
      <c r="AXW125" s="818"/>
      <c r="AXX125" s="818"/>
      <c r="AXY125" s="818"/>
      <c r="AXZ125" s="818"/>
      <c r="AYA125" s="818"/>
      <c r="AYB125" s="818"/>
      <c r="AYC125" s="818"/>
      <c r="AYD125" s="818"/>
      <c r="AYE125" s="818"/>
      <c r="AYF125" s="818"/>
      <c r="AYG125" s="818"/>
      <c r="AYH125" s="818"/>
      <c r="AYI125" s="818"/>
      <c r="AYJ125" s="818"/>
      <c r="AYK125" s="818"/>
      <c r="AYL125" s="818"/>
      <c r="AYM125" s="818"/>
      <c r="AYN125" s="818"/>
      <c r="AYO125" s="818"/>
      <c r="AYP125" s="818"/>
      <c r="AYQ125" s="818"/>
    </row>
    <row r="126" spans="1283:1343" x14ac:dyDescent="0.2">
      <c r="AWI126" s="818"/>
      <c r="AWJ126" s="818"/>
      <c r="AWK126" s="818"/>
      <c r="AWL126" s="818"/>
      <c r="AWM126" s="818"/>
      <c r="AWN126" s="818"/>
      <c r="AWO126" s="818"/>
      <c r="AWP126" s="818"/>
      <c r="AWQ126" s="818"/>
      <c r="AWR126" s="818"/>
      <c r="AWS126" s="818"/>
      <c r="AWT126" s="818"/>
      <c r="AWU126" s="818"/>
      <c r="AWV126" s="818"/>
      <c r="AWW126" s="818"/>
      <c r="AWX126" s="818"/>
      <c r="AWY126" s="818"/>
      <c r="AWZ126" s="818"/>
      <c r="AXA126" s="818"/>
      <c r="AXB126" s="818"/>
      <c r="AXC126" s="818"/>
      <c r="AXD126" s="818"/>
      <c r="AXE126" s="818"/>
      <c r="AXF126" s="818"/>
      <c r="AXG126" s="818"/>
      <c r="AXH126" s="818"/>
      <c r="AXI126" s="818"/>
      <c r="AXJ126" s="818"/>
      <c r="AXK126" s="818"/>
      <c r="AXL126" s="818"/>
      <c r="AXM126" s="818"/>
      <c r="AXN126" s="818"/>
      <c r="AXO126" s="818"/>
      <c r="AXP126" s="818"/>
      <c r="AXQ126" s="818"/>
      <c r="AXR126" s="818"/>
      <c r="AXS126" s="818"/>
      <c r="AXT126" s="818"/>
      <c r="AXU126" s="818"/>
      <c r="AXV126" s="818"/>
      <c r="AXW126" s="818"/>
      <c r="AXX126" s="818"/>
      <c r="AXY126" s="818"/>
      <c r="AXZ126" s="818"/>
      <c r="AYA126" s="818"/>
      <c r="AYB126" s="818"/>
      <c r="AYC126" s="818"/>
      <c r="AYD126" s="818"/>
      <c r="AYE126" s="818"/>
      <c r="AYF126" s="818"/>
      <c r="AYG126" s="818"/>
      <c r="AYH126" s="818"/>
      <c r="AYI126" s="818"/>
      <c r="AYJ126" s="818"/>
      <c r="AYK126" s="818"/>
      <c r="AYL126" s="818"/>
      <c r="AYM126" s="818"/>
      <c r="AYN126" s="818"/>
      <c r="AYO126" s="818"/>
      <c r="AYP126" s="818"/>
      <c r="AYQ126" s="818"/>
    </row>
    <row r="127" spans="1283:1343" x14ac:dyDescent="0.2">
      <c r="AWI127" s="818"/>
      <c r="AWJ127" s="818"/>
      <c r="AWK127" s="818"/>
      <c r="AWL127" s="818"/>
      <c r="AWM127" s="818"/>
      <c r="AWN127" s="818"/>
      <c r="AWO127" s="818"/>
      <c r="AWP127" s="818"/>
      <c r="AWQ127" s="818"/>
      <c r="AWR127" s="818"/>
      <c r="AWS127" s="818"/>
      <c r="AWT127" s="818"/>
      <c r="AWU127" s="818"/>
      <c r="AWV127" s="818"/>
      <c r="AWW127" s="818"/>
      <c r="AWX127" s="818"/>
      <c r="AWY127" s="818"/>
      <c r="AWZ127" s="818"/>
      <c r="AXA127" s="818"/>
      <c r="AXB127" s="818"/>
      <c r="AXC127" s="818"/>
      <c r="AXD127" s="818"/>
      <c r="AXE127" s="818"/>
      <c r="AXF127" s="818"/>
      <c r="AXG127" s="818"/>
      <c r="AXH127" s="818"/>
      <c r="AXI127" s="818"/>
      <c r="AXJ127" s="818"/>
      <c r="AXK127" s="818"/>
      <c r="AXL127" s="818"/>
      <c r="AXM127" s="818"/>
      <c r="AXN127" s="818"/>
      <c r="AXO127" s="818"/>
      <c r="AXP127" s="818"/>
      <c r="AXQ127" s="818"/>
      <c r="AXR127" s="818"/>
      <c r="AXS127" s="818"/>
      <c r="AXT127" s="818"/>
      <c r="AXU127" s="818"/>
      <c r="AXV127" s="818"/>
      <c r="AXW127" s="818"/>
      <c r="AXX127" s="818"/>
      <c r="AXY127" s="818"/>
      <c r="AXZ127" s="818"/>
      <c r="AYA127" s="818"/>
      <c r="AYB127" s="818"/>
      <c r="AYC127" s="818"/>
      <c r="AYD127" s="818"/>
      <c r="AYE127" s="818"/>
      <c r="AYF127" s="818"/>
      <c r="AYG127" s="818"/>
      <c r="AYH127" s="818"/>
      <c r="AYI127" s="818"/>
      <c r="AYJ127" s="818"/>
      <c r="AYK127" s="818"/>
      <c r="AYL127" s="818"/>
      <c r="AYM127" s="818"/>
      <c r="AYN127" s="818"/>
      <c r="AYO127" s="818"/>
      <c r="AYP127" s="818"/>
      <c r="AYQ127" s="818"/>
    </row>
    <row r="128" spans="1283:1343" x14ac:dyDescent="0.2">
      <c r="AWI128" s="818"/>
      <c r="AWJ128" s="818"/>
      <c r="AWK128" s="818"/>
      <c r="AWL128" s="818"/>
      <c r="AWM128" s="818"/>
      <c r="AWN128" s="818"/>
      <c r="AWO128" s="818"/>
      <c r="AWP128" s="818"/>
      <c r="AWQ128" s="818"/>
      <c r="AWR128" s="818"/>
      <c r="AWS128" s="818"/>
      <c r="AWT128" s="818"/>
      <c r="AWU128" s="818"/>
      <c r="AWV128" s="818"/>
      <c r="AWW128" s="818"/>
      <c r="AWX128" s="818"/>
      <c r="AWY128" s="818"/>
      <c r="AWZ128" s="818"/>
      <c r="AXA128" s="818"/>
      <c r="AXB128" s="818"/>
      <c r="AXC128" s="818"/>
      <c r="AXD128" s="818"/>
      <c r="AXE128" s="818"/>
      <c r="AXF128" s="818"/>
      <c r="AXG128" s="818"/>
      <c r="AXH128" s="818"/>
      <c r="AXI128" s="818"/>
      <c r="AXJ128" s="818"/>
      <c r="AXK128" s="818"/>
      <c r="AXL128" s="818"/>
      <c r="AXM128" s="818"/>
      <c r="AXN128" s="818"/>
      <c r="AXO128" s="818"/>
      <c r="AXP128" s="818"/>
      <c r="AXQ128" s="818"/>
      <c r="AXR128" s="818"/>
      <c r="AXS128" s="818"/>
      <c r="AXT128" s="818"/>
      <c r="AXU128" s="818"/>
      <c r="AXV128" s="818"/>
      <c r="AXW128" s="818"/>
      <c r="AXX128" s="818"/>
      <c r="AXY128" s="818"/>
      <c r="AXZ128" s="818"/>
      <c r="AYA128" s="818"/>
      <c r="AYB128" s="818"/>
      <c r="AYC128" s="818"/>
      <c r="AYD128" s="818"/>
      <c r="AYE128" s="818"/>
      <c r="AYF128" s="818"/>
      <c r="AYG128" s="818"/>
      <c r="AYH128" s="818"/>
      <c r="AYI128" s="818"/>
      <c r="AYJ128" s="818"/>
      <c r="AYK128" s="818"/>
      <c r="AYL128" s="818"/>
      <c r="AYM128" s="818"/>
      <c r="AYN128" s="818"/>
      <c r="AYO128" s="818"/>
      <c r="AYP128" s="818"/>
      <c r="AYQ128" s="818"/>
    </row>
    <row r="129" spans="1283:1343" x14ac:dyDescent="0.2">
      <c r="AWI129" s="818"/>
      <c r="AWJ129" s="818"/>
      <c r="AWK129" s="818"/>
      <c r="AWL129" s="818"/>
      <c r="AWM129" s="818"/>
      <c r="AWN129" s="818"/>
      <c r="AWO129" s="818"/>
      <c r="AWP129" s="818"/>
      <c r="AWQ129" s="818"/>
      <c r="AWR129" s="818"/>
      <c r="AWS129" s="818"/>
      <c r="AWT129" s="818"/>
      <c r="AWU129" s="818"/>
      <c r="AWV129" s="818"/>
      <c r="AWW129" s="818"/>
      <c r="AWX129" s="818"/>
      <c r="AWY129" s="818"/>
      <c r="AWZ129" s="818"/>
      <c r="AXA129" s="818"/>
      <c r="AXB129" s="818"/>
      <c r="AXC129" s="818"/>
      <c r="AXD129" s="818"/>
      <c r="AXE129" s="818"/>
      <c r="AXF129" s="818"/>
      <c r="AXG129" s="818"/>
      <c r="AXH129" s="818"/>
      <c r="AXI129" s="818"/>
      <c r="AXJ129" s="818"/>
      <c r="AXK129" s="818"/>
      <c r="AXL129" s="818"/>
      <c r="AXM129" s="818"/>
      <c r="AXN129" s="818"/>
      <c r="AXO129" s="818"/>
      <c r="AXP129" s="818"/>
      <c r="AXQ129" s="818"/>
      <c r="AXR129" s="818"/>
      <c r="AXS129" s="818"/>
      <c r="AXT129" s="818"/>
      <c r="AXU129" s="818"/>
      <c r="AXV129" s="818"/>
      <c r="AXW129" s="818"/>
      <c r="AXX129" s="818"/>
      <c r="AXY129" s="818"/>
      <c r="AXZ129" s="818"/>
      <c r="AYA129" s="818"/>
      <c r="AYB129" s="818"/>
      <c r="AYC129" s="818"/>
      <c r="AYD129" s="818"/>
      <c r="AYE129" s="818"/>
      <c r="AYF129" s="818"/>
      <c r="AYG129" s="818"/>
      <c r="AYH129" s="818"/>
      <c r="AYI129" s="818"/>
      <c r="AYJ129" s="818"/>
      <c r="AYK129" s="818"/>
      <c r="AYL129" s="818"/>
      <c r="AYM129" s="818"/>
      <c r="AYN129" s="818"/>
      <c r="AYO129" s="818"/>
      <c r="AYP129" s="818"/>
      <c r="AYQ129" s="818"/>
    </row>
    <row r="130" spans="1283:1343" x14ac:dyDescent="0.2">
      <c r="AWI130" s="818"/>
      <c r="AWJ130" s="818"/>
      <c r="AWK130" s="818"/>
      <c r="AWL130" s="818"/>
      <c r="AWM130" s="818"/>
      <c r="AWN130" s="818"/>
      <c r="AWO130" s="818"/>
      <c r="AWP130" s="818"/>
      <c r="AWQ130" s="818"/>
      <c r="AWR130" s="818"/>
      <c r="AWS130" s="818"/>
      <c r="AWT130" s="818"/>
      <c r="AWU130" s="818"/>
      <c r="AWV130" s="818"/>
      <c r="AWW130" s="818"/>
      <c r="AWX130" s="818"/>
      <c r="AWY130" s="818"/>
      <c r="AWZ130" s="818"/>
      <c r="AXA130" s="818"/>
      <c r="AXB130" s="818"/>
      <c r="AXC130" s="818"/>
      <c r="AXD130" s="818"/>
      <c r="AXE130" s="818"/>
      <c r="AXF130" s="818"/>
      <c r="AXG130" s="818"/>
      <c r="AXH130" s="818"/>
      <c r="AXI130" s="818"/>
      <c r="AXJ130" s="818"/>
      <c r="AXK130" s="818"/>
      <c r="AXL130" s="818"/>
      <c r="AXM130" s="818"/>
      <c r="AXN130" s="818"/>
      <c r="AXO130" s="818"/>
      <c r="AXP130" s="818"/>
      <c r="AXQ130" s="818"/>
      <c r="AXR130" s="818"/>
      <c r="AXS130" s="818"/>
      <c r="AXT130" s="818"/>
      <c r="AXU130" s="818"/>
      <c r="AXV130" s="818"/>
      <c r="AXW130" s="818"/>
      <c r="AXX130" s="818"/>
      <c r="AXY130" s="818"/>
      <c r="AXZ130" s="818"/>
      <c r="AYA130" s="818"/>
      <c r="AYB130" s="818"/>
      <c r="AYC130" s="818"/>
      <c r="AYD130" s="818"/>
      <c r="AYE130" s="818"/>
      <c r="AYF130" s="818"/>
      <c r="AYG130" s="818"/>
      <c r="AYH130" s="818"/>
      <c r="AYI130" s="818"/>
      <c r="AYJ130" s="818"/>
      <c r="AYK130" s="818"/>
      <c r="AYL130" s="818"/>
      <c r="AYM130" s="818"/>
      <c r="AYN130" s="818"/>
      <c r="AYO130" s="818"/>
      <c r="AYP130" s="818"/>
      <c r="AYQ130" s="818"/>
    </row>
    <row r="131" spans="1283:1343" x14ac:dyDescent="0.2">
      <c r="AWI131" s="818"/>
      <c r="AWJ131" s="818"/>
      <c r="AWK131" s="818"/>
      <c r="AWL131" s="818"/>
      <c r="AWM131" s="818"/>
      <c r="AWN131" s="818"/>
      <c r="AWO131" s="818"/>
      <c r="AWP131" s="818"/>
      <c r="AWQ131" s="818"/>
      <c r="AWR131" s="818"/>
      <c r="AWS131" s="818"/>
      <c r="AWT131" s="818"/>
      <c r="AWU131" s="818"/>
      <c r="AWV131" s="818"/>
      <c r="AWW131" s="818"/>
      <c r="AWX131" s="818"/>
      <c r="AWY131" s="818"/>
      <c r="AWZ131" s="818"/>
      <c r="AXA131" s="818"/>
      <c r="AXB131" s="818"/>
      <c r="AXC131" s="818"/>
      <c r="AXD131" s="818"/>
      <c r="AXE131" s="818"/>
      <c r="AXF131" s="818"/>
      <c r="AXG131" s="818"/>
      <c r="AXH131" s="818"/>
      <c r="AXI131" s="818"/>
      <c r="AXJ131" s="818"/>
      <c r="AXK131" s="818"/>
      <c r="AXL131" s="818"/>
      <c r="AXM131" s="818"/>
      <c r="AXN131" s="818"/>
      <c r="AXO131" s="818"/>
      <c r="AXP131" s="818"/>
      <c r="AXQ131" s="818"/>
      <c r="AXR131" s="818"/>
      <c r="AXS131" s="818"/>
      <c r="AXT131" s="818"/>
      <c r="AXU131" s="818"/>
      <c r="AXV131" s="818"/>
      <c r="AXW131" s="818"/>
      <c r="AXX131" s="818"/>
      <c r="AXY131" s="818"/>
      <c r="AXZ131" s="818"/>
      <c r="AYA131" s="818"/>
      <c r="AYB131" s="818"/>
      <c r="AYC131" s="818"/>
      <c r="AYD131" s="818"/>
      <c r="AYE131" s="818"/>
      <c r="AYF131" s="818"/>
      <c r="AYG131" s="818"/>
      <c r="AYH131" s="818"/>
      <c r="AYI131" s="818"/>
      <c r="AYJ131" s="818"/>
      <c r="AYK131" s="818"/>
      <c r="AYL131" s="818"/>
      <c r="AYM131" s="818"/>
      <c r="AYN131" s="818"/>
      <c r="AYO131" s="818"/>
      <c r="AYP131" s="818"/>
      <c r="AYQ131" s="818"/>
    </row>
    <row r="132" spans="1283:1343" x14ac:dyDescent="0.2">
      <c r="AWI132" s="818"/>
      <c r="AWJ132" s="818"/>
      <c r="AWK132" s="818"/>
      <c r="AWL132" s="818"/>
      <c r="AWM132" s="818"/>
      <c r="AWN132" s="818"/>
      <c r="AWO132" s="818"/>
      <c r="AWP132" s="818"/>
      <c r="AWQ132" s="818"/>
      <c r="AWR132" s="818"/>
      <c r="AWS132" s="818"/>
      <c r="AWT132" s="818"/>
      <c r="AWU132" s="818"/>
      <c r="AWV132" s="818"/>
      <c r="AWW132" s="818"/>
      <c r="AWX132" s="818"/>
      <c r="AWY132" s="818"/>
      <c r="AWZ132" s="818"/>
      <c r="AXA132" s="818"/>
      <c r="AXB132" s="818"/>
      <c r="AXC132" s="818"/>
      <c r="AXD132" s="818"/>
      <c r="AXE132" s="818"/>
      <c r="AXF132" s="818"/>
      <c r="AXG132" s="818"/>
      <c r="AXH132" s="818"/>
      <c r="AXI132" s="818"/>
      <c r="AXJ132" s="818"/>
      <c r="AXK132" s="818"/>
      <c r="AXL132" s="818"/>
      <c r="AXM132" s="818"/>
      <c r="AXN132" s="818"/>
      <c r="AXO132" s="818"/>
      <c r="AXP132" s="818"/>
      <c r="AXQ132" s="818"/>
      <c r="AXR132" s="818"/>
      <c r="AXS132" s="818"/>
      <c r="AXT132" s="818"/>
      <c r="AXU132" s="818"/>
      <c r="AXV132" s="818"/>
      <c r="AXW132" s="818"/>
      <c r="AXX132" s="818"/>
      <c r="AXY132" s="818"/>
      <c r="AXZ132" s="818"/>
      <c r="AYA132" s="818"/>
      <c r="AYB132" s="818"/>
      <c r="AYC132" s="818"/>
      <c r="AYD132" s="818"/>
      <c r="AYE132" s="818"/>
      <c r="AYF132" s="818"/>
      <c r="AYG132" s="818"/>
      <c r="AYH132" s="818"/>
      <c r="AYI132" s="818"/>
      <c r="AYJ132" s="818"/>
      <c r="AYK132" s="818"/>
      <c r="AYL132" s="818"/>
      <c r="AYM132" s="818"/>
      <c r="AYN132" s="818"/>
      <c r="AYO132" s="818"/>
      <c r="AYP132" s="818"/>
      <c r="AYQ132" s="818"/>
    </row>
    <row r="133" spans="1283:1343" x14ac:dyDescent="0.2">
      <c r="AWI133" s="818"/>
      <c r="AWJ133" s="818"/>
      <c r="AWK133" s="818"/>
      <c r="AWL133" s="818"/>
      <c r="AWM133" s="818"/>
      <c r="AWN133" s="818"/>
      <c r="AWO133" s="818"/>
      <c r="AWP133" s="818"/>
      <c r="AWQ133" s="818"/>
      <c r="AWR133" s="818"/>
      <c r="AWS133" s="818"/>
      <c r="AWT133" s="818"/>
      <c r="AWU133" s="818"/>
      <c r="AWV133" s="818"/>
      <c r="AWW133" s="818"/>
      <c r="AWX133" s="818"/>
      <c r="AWY133" s="818"/>
      <c r="AWZ133" s="818"/>
      <c r="AXA133" s="818"/>
      <c r="AXB133" s="818"/>
      <c r="AXC133" s="818"/>
      <c r="AXD133" s="818"/>
      <c r="AXE133" s="818"/>
      <c r="AXF133" s="818"/>
      <c r="AXG133" s="818"/>
      <c r="AXH133" s="818"/>
      <c r="AXI133" s="818"/>
      <c r="AXJ133" s="818"/>
      <c r="AXK133" s="818"/>
      <c r="AXL133" s="818"/>
      <c r="AXM133" s="818"/>
      <c r="AXN133" s="818"/>
      <c r="AXO133" s="818"/>
      <c r="AXP133" s="818"/>
      <c r="AXQ133" s="818"/>
      <c r="AXR133" s="818"/>
      <c r="AXS133" s="818"/>
      <c r="AXT133" s="818"/>
      <c r="AXU133" s="818"/>
      <c r="AXV133" s="818"/>
      <c r="AXW133" s="818"/>
      <c r="AXX133" s="818"/>
      <c r="AXY133" s="818"/>
      <c r="AXZ133" s="818"/>
      <c r="AYA133" s="818"/>
      <c r="AYB133" s="818"/>
      <c r="AYC133" s="818"/>
      <c r="AYD133" s="818"/>
      <c r="AYE133" s="818"/>
      <c r="AYF133" s="818"/>
      <c r="AYG133" s="818"/>
      <c r="AYH133" s="818"/>
      <c r="AYI133" s="818"/>
      <c r="AYJ133" s="818"/>
      <c r="AYK133" s="818"/>
      <c r="AYL133" s="818"/>
      <c r="AYM133" s="818"/>
      <c r="AYN133" s="818"/>
      <c r="AYO133" s="818"/>
      <c r="AYP133" s="818"/>
      <c r="AYQ133" s="818"/>
    </row>
    <row r="134" spans="1283:1343" x14ac:dyDescent="0.2">
      <c r="AWI134" s="818"/>
      <c r="AWJ134" s="818"/>
      <c r="AWK134" s="818"/>
      <c r="AWL134" s="818"/>
      <c r="AWM134" s="818"/>
      <c r="AWN134" s="818"/>
      <c r="AWO134" s="818"/>
      <c r="AWP134" s="818"/>
      <c r="AWQ134" s="818"/>
      <c r="AWR134" s="818"/>
      <c r="AWS134" s="818"/>
      <c r="AWT134" s="818"/>
      <c r="AWU134" s="818"/>
      <c r="AWV134" s="818"/>
      <c r="AWW134" s="818"/>
      <c r="AWX134" s="818"/>
      <c r="AWY134" s="818"/>
      <c r="AWZ134" s="818"/>
      <c r="AXA134" s="818"/>
      <c r="AXB134" s="818"/>
      <c r="AXC134" s="818"/>
      <c r="AXD134" s="818"/>
      <c r="AXE134" s="818"/>
      <c r="AXF134" s="818"/>
      <c r="AXG134" s="818"/>
      <c r="AXH134" s="818"/>
      <c r="AXI134" s="818"/>
      <c r="AXJ134" s="818"/>
      <c r="AXK134" s="818"/>
      <c r="AXL134" s="818"/>
      <c r="AXM134" s="818"/>
      <c r="AXN134" s="818"/>
      <c r="AXO134" s="818"/>
      <c r="AXP134" s="818"/>
      <c r="AXQ134" s="818"/>
      <c r="AXR134" s="818"/>
      <c r="AXS134" s="818"/>
      <c r="AXT134" s="818"/>
      <c r="AXU134" s="818"/>
      <c r="AXV134" s="818"/>
      <c r="AXW134" s="818"/>
      <c r="AXX134" s="818"/>
      <c r="AXY134" s="818"/>
      <c r="AXZ134" s="818"/>
      <c r="AYA134" s="818"/>
      <c r="AYB134" s="818"/>
      <c r="AYC134" s="818"/>
      <c r="AYD134" s="818"/>
      <c r="AYE134" s="818"/>
      <c r="AYF134" s="818"/>
      <c r="AYG134" s="818"/>
      <c r="AYH134" s="818"/>
      <c r="AYI134" s="818"/>
      <c r="AYJ134" s="818"/>
      <c r="AYK134" s="818"/>
      <c r="AYL134" s="818"/>
      <c r="AYM134" s="818"/>
      <c r="AYN134" s="818"/>
      <c r="AYO134" s="818"/>
      <c r="AYP134" s="818"/>
      <c r="AYQ134" s="818"/>
    </row>
    <row r="135" spans="1283:1343" x14ac:dyDescent="0.2">
      <c r="AWI135" s="818"/>
      <c r="AWJ135" s="818"/>
      <c r="AWK135" s="818"/>
      <c r="AWL135" s="818"/>
      <c r="AWM135" s="818"/>
      <c r="AWN135" s="818"/>
      <c r="AWO135" s="818"/>
      <c r="AWP135" s="818"/>
      <c r="AWQ135" s="818"/>
      <c r="AWR135" s="818"/>
      <c r="AWS135" s="818"/>
      <c r="AWT135" s="818"/>
      <c r="AWU135" s="818"/>
      <c r="AWV135" s="818"/>
      <c r="AWW135" s="818"/>
      <c r="AWX135" s="818"/>
      <c r="AWY135" s="818"/>
      <c r="AWZ135" s="818"/>
      <c r="AXA135" s="818"/>
      <c r="AXB135" s="818"/>
      <c r="AXC135" s="818"/>
      <c r="AXD135" s="818"/>
      <c r="AXE135" s="818"/>
      <c r="AXF135" s="818"/>
      <c r="AXG135" s="818"/>
      <c r="AXH135" s="818"/>
      <c r="AXI135" s="818"/>
      <c r="AXJ135" s="818"/>
      <c r="AXK135" s="818"/>
      <c r="AXL135" s="818"/>
      <c r="AXM135" s="818"/>
      <c r="AXN135" s="818"/>
      <c r="AXO135" s="818"/>
      <c r="AXP135" s="818"/>
      <c r="AXQ135" s="818"/>
      <c r="AXR135" s="818"/>
      <c r="AXS135" s="818"/>
      <c r="AXT135" s="818"/>
      <c r="AXU135" s="818"/>
      <c r="AXV135" s="818"/>
      <c r="AXW135" s="818"/>
      <c r="AXX135" s="818"/>
      <c r="AXY135" s="818"/>
      <c r="AXZ135" s="818"/>
      <c r="AYA135" s="818"/>
      <c r="AYB135" s="818"/>
      <c r="AYC135" s="818"/>
      <c r="AYD135" s="818"/>
      <c r="AYE135" s="818"/>
      <c r="AYF135" s="818"/>
      <c r="AYG135" s="818"/>
      <c r="AYH135" s="818"/>
      <c r="AYI135" s="818"/>
      <c r="AYJ135" s="818"/>
      <c r="AYK135" s="818"/>
      <c r="AYL135" s="818"/>
      <c r="AYM135" s="818"/>
      <c r="AYN135" s="818"/>
      <c r="AYO135" s="818"/>
      <c r="AYP135" s="818"/>
      <c r="AYQ135" s="818"/>
    </row>
    <row r="136" spans="1283:1343" x14ac:dyDescent="0.2">
      <c r="AWI136" s="818"/>
      <c r="AWJ136" s="818"/>
      <c r="AWK136" s="818"/>
      <c r="AWL136" s="818"/>
      <c r="AWM136" s="818"/>
      <c r="AWN136" s="818"/>
      <c r="AWO136" s="818"/>
      <c r="AWP136" s="818"/>
      <c r="AWQ136" s="818"/>
      <c r="AWR136" s="818"/>
      <c r="AWS136" s="818"/>
      <c r="AWT136" s="818"/>
      <c r="AWU136" s="818"/>
      <c r="AWV136" s="818"/>
      <c r="AWW136" s="818"/>
      <c r="AWX136" s="818"/>
      <c r="AWY136" s="818"/>
      <c r="AWZ136" s="818"/>
      <c r="AXA136" s="818"/>
      <c r="AXB136" s="818"/>
      <c r="AXC136" s="818"/>
      <c r="AXD136" s="818"/>
      <c r="AXE136" s="818"/>
      <c r="AXF136" s="818"/>
      <c r="AXG136" s="818"/>
      <c r="AXH136" s="818"/>
      <c r="AXI136" s="818"/>
      <c r="AXJ136" s="818"/>
      <c r="AXK136" s="818"/>
      <c r="AXL136" s="818"/>
      <c r="AXM136" s="818"/>
      <c r="AXN136" s="818"/>
      <c r="AXO136" s="818"/>
      <c r="AXP136" s="818"/>
      <c r="AXQ136" s="818"/>
      <c r="AXR136" s="818"/>
      <c r="AXS136" s="818"/>
      <c r="AXT136" s="818"/>
      <c r="AXU136" s="818"/>
      <c r="AXV136" s="818"/>
      <c r="AXW136" s="818"/>
      <c r="AXX136" s="818"/>
      <c r="AXY136" s="818"/>
      <c r="AXZ136" s="818"/>
      <c r="AYA136" s="818"/>
      <c r="AYB136" s="818"/>
      <c r="AYC136" s="818"/>
      <c r="AYD136" s="818"/>
      <c r="AYE136" s="818"/>
      <c r="AYF136" s="818"/>
      <c r="AYG136" s="818"/>
      <c r="AYH136" s="818"/>
      <c r="AYI136" s="818"/>
      <c r="AYJ136" s="818"/>
      <c r="AYK136" s="818"/>
      <c r="AYL136" s="818"/>
      <c r="AYM136" s="818"/>
      <c r="AYN136" s="818"/>
      <c r="AYO136" s="818"/>
      <c r="AYP136" s="818"/>
      <c r="AYQ136" s="818"/>
    </row>
    <row r="137" spans="1283:1343" x14ac:dyDescent="0.2">
      <c r="AWI137" s="818"/>
      <c r="AWJ137" s="818"/>
      <c r="AWK137" s="818"/>
      <c r="AWL137" s="818"/>
      <c r="AWM137" s="818"/>
      <c r="AWN137" s="818"/>
      <c r="AWO137" s="818"/>
      <c r="AWP137" s="818"/>
      <c r="AWQ137" s="818"/>
      <c r="AWR137" s="818"/>
      <c r="AWS137" s="818"/>
      <c r="AWT137" s="818"/>
      <c r="AWU137" s="818"/>
      <c r="AWV137" s="818"/>
      <c r="AWW137" s="818"/>
      <c r="AWX137" s="818"/>
      <c r="AWY137" s="818"/>
      <c r="AWZ137" s="818"/>
      <c r="AXA137" s="818"/>
      <c r="AXB137" s="818"/>
      <c r="AXC137" s="818"/>
      <c r="AXD137" s="818"/>
      <c r="AXE137" s="818"/>
      <c r="AXF137" s="818"/>
      <c r="AXG137" s="818"/>
      <c r="AXH137" s="818"/>
      <c r="AXI137" s="818"/>
      <c r="AXJ137" s="818"/>
      <c r="AXK137" s="818"/>
      <c r="AXL137" s="818"/>
      <c r="AXM137" s="818"/>
      <c r="AXN137" s="818"/>
      <c r="AXO137" s="818"/>
      <c r="AXP137" s="818"/>
      <c r="AXQ137" s="818"/>
      <c r="AXR137" s="818"/>
      <c r="AXS137" s="818"/>
      <c r="AXT137" s="818"/>
      <c r="AXU137" s="818"/>
      <c r="AXV137" s="818"/>
      <c r="AXW137" s="818"/>
      <c r="AXX137" s="818"/>
      <c r="AXY137" s="818"/>
      <c r="AXZ137" s="818"/>
      <c r="AYA137" s="818"/>
      <c r="AYB137" s="818"/>
      <c r="AYC137" s="818"/>
      <c r="AYD137" s="818"/>
      <c r="AYE137" s="818"/>
      <c r="AYF137" s="818"/>
      <c r="AYG137" s="818"/>
      <c r="AYH137" s="818"/>
      <c r="AYI137" s="818"/>
      <c r="AYJ137" s="818"/>
      <c r="AYK137" s="818"/>
      <c r="AYL137" s="818"/>
      <c r="AYM137" s="818"/>
      <c r="AYN137" s="818"/>
      <c r="AYO137" s="818"/>
      <c r="AYP137" s="818"/>
      <c r="AYQ137" s="818"/>
    </row>
    <row r="138" spans="1283:1343" x14ac:dyDescent="0.2">
      <c r="AWI138" s="818"/>
      <c r="AWJ138" s="818"/>
      <c r="AWK138" s="818"/>
      <c r="AWL138" s="818"/>
      <c r="AWM138" s="818"/>
      <c r="AWN138" s="818"/>
      <c r="AWO138" s="818"/>
      <c r="AWP138" s="818"/>
      <c r="AWQ138" s="818"/>
      <c r="AWR138" s="818"/>
      <c r="AWS138" s="818"/>
      <c r="AWT138" s="818"/>
      <c r="AWU138" s="818"/>
      <c r="AWV138" s="818"/>
      <c r="AWW138" s="818"/>
      <c r="AWX138" s="818"/>
      <c r="AWY138" s="818"/>
      <c r="AWZ138" s="818"/>
      <c r="AXA138" s="818"/>
      <c r="AXB138" s="818"/>
      <c r="AXC138" s="818"/>
      <c r="AXD138" s="818"/>
      <c r="AXE138" s="818"/>
      <c r="AXF138" s="818"/>
      <c r="AXG138" s="818"/>
      <c r="AXH138" s="818"/>
      <c r="AXI138" s="818"/>
      <c r="AXJ138" s="818"/>
      <c r="AXK138" s="818"/>
      <c r="AXL138" s="818"/>
      <c r="AXM138" s="818"/>
      <c r="AXN138" s="818"/>
      <c r="AXO138" s="818"/>
      <c r="AXP138" s="818"/>
      <c r="AXQ138" s="818"/>
      <c r="AXR138" s="818"/>
      <c r="AXS138" s="818"/>
      <c r="AXT138" s="818"/>
      <c r="AXU138" s="818"/>
      <c r="AXV138" s="818"/>
      <c r="AXW138" s="818"/>
      <c r="AXX138" s="818"/>
      <c r="AXY138" s="818"/>
      <c r="AXZ138" s="818"/>
      <c r="AYA138" s="818"/>
      <c r="AYB138" s="818"/>
      <c r="AYC138" s="818"/>
      <c r="AYD138" s="818"/>
      <c r="AYE138" s="818"/>
      <c r="AYF138" s="818"/>
      <c r="AYG138" s="818"/>
      <c r="AYH138" s="818"/>
      <c r="AYI138" s="818"/>
      <c r="AYJ138" s="818"/>
      <c r="AYK138" s="818"/>
      <c r="AYL138" s="818"/>
      <c r="AYM138" s="818"/>
      <c r="AYN138" s="818"/>
      <c r="AYO138" s="818"/>
      <c r="AYP138" s="818"/>
      <c r="AYQ138" s="818"/>
    </row>
    <row r="139" spans="1283:1343" x14ac:dyDescent="0.2">
      <c r="AWI139" s="818"/>
      <c r="AWJ139" s="818"/>
      <c r="AWK139" s="818"/>
      <c r="AWL139" s="818"/>
      <c r="AWM139" s="818"/>
      <c r="AWN139" s="818"/>
      <c r="AWO139" s="818"/>
      <c r="AWP139" s="818"/>
      <c r="AWQ139" s="818"/>
      <c r="AWR139" s="818"/>
      <c r="AWS139" s="818"/>
      <c r="AWT139" s="818"/>
      <c r="AWU139" s="818"/>
      <c r="AWV139" s="818"/>
      <c r="AWW139" s="818"/>
      <c r="AWX139" s="818"/>
      <c r="AWY139" s="818"/>
      <c r="AWZ139" s="818"/>
      <c r="AXA139" s="818"/>
      <c r="AXB139" s="818"/>
      <c r="AXC139" s="818"/>
      <c r="AXD139" s="818"/>
      <c r="AXE139" s="818"/>
      <c r="AXF139" s="818"/>
      <c r="AXG139" s="818"/>
      <c r="AXH139" s="818"/>
      <c r="AXI139" s="818"/>
      <c r="AXJ139" s="818"/>
      <c r="AXK139" s="818"/>
      <c r="AXL139" s="818"/>
      <c r="AXM139" s="818"/>
      <c r="AXN139" s="818"/>
      <c r="AXO139" s="818"/>
      <c r="AXP139" s="818"/>
      <c r="AXQ139" s="818"/>
      <c r="AXR139" s="818"/>
      <c r="AXS139" s="818"/>
      <c r="AXT139" s="818"/>
      <c r="AXU139" s="818"/>
      <c r="AXV139" s="818"/>
      <c r="AXW139" s="818"/>
      <c r="AXX139" s="818"/>
      <c r="AXY139" s="818"/>
      <c r="AXZ139" s="818"/>
      <c r="AYA139" s="818"/>
      <c r="AYB139" s="818"/>
      <c r="AYC139" s="818"/>
      <c r="AYD139" s="818"/>
      <c r="AYE139" s="818"/>
      <c r="AYF139" s="818"/>
      <c r="AYG139" s="818"/>
      <c r="AYH139" s="818"/>
      <c r="AYI139" s="818"/>
      <c r="AYJ139" s="818"/>
      <c r="AYK139" s="818"/>
      <c r="AYL139" s="818"/>
      <c r="AYM139" s="818"/>
      <c r="AYN139" s="818"/>
      <c r="AYO139" s="818"/>
      <c r="AYP139" s="818"/>
      <c r="AYQ139" s="818"/>
    </row>
    <row r="140" spans="1283:1343" x14ac:dyDescent="0.2">
      <c r="AWI140" s="818"/>
      <c r="AWJ140" s="818"/>
      <c r="AWK140" s="818"/>
      <c r="AWL140" s="818"/>
      <c r="AWM140" s="818"/>
      <c r="AWN140" s="818"/>
      <c r="AWO140" s="818"/>
      <c r="AWP140" s="818"/>
      <c r="AWQ140" s="818"/>
      <c r="AWR140" s="818"/>
      <c r="AWS140" s="818"/>
      <c r="AWT140" s="818"/>
      <c r="AWU140" s="818"/>
      <c r="AWV140" s="818"/>
      <c r="AWW140" s="818"/>
      <c r="AWX140" s="818"/>
      <c r="AWY140" s="818"/>
      <c r="AWZ140" s="818"/>
      <c r="AXA140" s="818"/>
      <c r="AXB140" s="818"/>
      <c r="AXC140" s="818"/>
      <c r="AXD140" s="818"/>
      <c r="AXE140" s="818"/>
      <c r="AXF140" s="818"/>
      <c r="AXG140" s="818"/>
      <c r="AXH140" s="818"/>
      <c r="AXI140" s="818"/>
      <c r="AXJ140" s="818"/>
      <c r="AXK140" s="818"/>
      <c r="AXL140" s="818"/>
      <c r="AXM140" s="818"/>
      <c r="AXN140" s="818"/>
      <c r="AXO140" s="818"/>
      <c r="AXP140" s="818"/>
      <c r="AXQ140" s="818"/>
      <c r="AXR140" s="818"/>
      <c r="AXS140" s="818"/>
      <c r="AXT140" s="818"/>
      <c r="AXU140" s="818"/>
      <c r="AXV140" s="818"/>
      <c r="AXW140" s="818"/>
      <c r="AXX140" s="818"/>
      <c r="AXY140" s="818"/>
      <c r="AXZ140" s="818"/>
      <c r="AYA140" s="818"/>
      <c r="AYB140" s="818"/>
      <c r="AYC140" s="818"/>
      <c r="AYD140" s="818"/>
      <c r="AYE140" s="818"/>
      <c r="AYF140" s="818"/>
      <c r="AYG140" s="818"/>
      <c r="AYH140" s="818"/>
      <c r="AYI140" s="818"/>
      <c r="AYJ140" s="818"/>
      <c r="AYK140" s="818"/>
      <c r="AYL140" s="818"/>
      <c r="AYM140" s="818"/>
      <c r="AYN140" s="818"/>
      <c r="AYO140" s="818"/>
      <c r="AYP140" s="818"/>
      <c r="AYQ140" s="818"/>
    </row>
    <row r="141" spans="1283:1343" x14ac:dyDescent="0.2">
      <c r="AWI141" s="818"/>
      <c r="AWJ141" s="818"/>
      <c r="AWK141" s="818"/>
      <c r="AWL141" s="818"/>
      <c r="AWM141" s="818"/>
      <c r="AWN141" s="818"/>
      <c r="AWO141" s="818"/>
      <c r="AWP141" s="818"/>
      <c r="AWQ141" s="818"/>
      <c r="AWR141" s="818"/>
      <c r="AWS141" s="818"/>
      <c r="AWT141" s="818"/>
      <c r="AWU141" s="818"/>
      <c r="AWV141" s="818"/>
      <c r="AWW141" s="818"/>
      <c r="AWX141" s="818"/>
      <c r="AWY141" s="818"/>
      <c r="AWZ141" s="818"/>
      <c r="AXA141" s="818"/>
      <c r="AXB141" s="818"/>
      <c r="AXC141" s="818"/>
      <c r="AXD141" s="818"/>
      <c r="AXE141" s="818"/>
      <c r="AXF141" s="818"/>
      <c r="AXG141" s="818"/>
      <c r="AXH141" s="818"/>
      <c r="AXI141" s="818"/>
      <c r="AXJ141" s="818"/>
      <c r="AXK141" s="818"/>
      <c r="AXL141" s="818"/>
      <c r="AXM141" s="818"/>
      <c r="AXN141" s="818"/>
      <c r="AXO141" s="818"/>
      <c r="AXP141" s="818"/>
      <c r="AXQ141" s="818"/>
      <c r="AXR141" s="818"/>
      <c r="AXS141" s="818"/>
      <c r="AXT141" s="818"/>
      <c r="AXU141" s="818"/>
      <c r="AXV141" s="818"/>
      <c r="AXW141" s="818"/>
      <c r="AXX141" s="818"/>
      <c r="AXY141" s="818"/>
      <c r="AXZ141" s="818"/>
      <c r="AYA141" s="818"/>
      <c r="AYB141" s="818"/>
      <c r="AYC141" s="818"/>
      <c r="AYD141" s="818"/>
      <c r="AYE141" s="818"/>
      <c r="AYF141" s="818"/>
      <c r="AYG141" s="818"/>
      <c r="AYH141" s="818"/>
      <c r="AYI141" s="818"/>
      <c r="AYJ141" s="818"/>
      <c r="AYK141" s="818"/>
      <c r="AYL141" s="818"/>
      <c r="AYM141" s="818"/>
      <c r="AYN141" s="818"/>
      <c r="AYO141" s="818"/>
      <c r="AYP141" s="818"/>
      <c r="AYQ141" s="818"/>
    </row>
    <row r="142" spans="1283:1343" x14ac:dyDescent="0.2">
      <c r="AWI142" s="818"/>
      <c r="AWJ142" s="818"/>
      <c r="AWK142" s="818"/>
      <c r="AWL142" s="818"/>
      <c r="AWM142" s="818"/>
      <c r="AWN142" s="818"/>
      <c r="AWO142" s="818"/>
      <c r="AWP142" s="818"/>
      <c r="AWQ142" s="818"/>
      <c r="AWR142" s="818"/>
      <c r="AWS142" s="818"/>
      <c r="AWT142" s="818"/>
      <c r="AWU142" s="818"/>
      <c r="AWV142" s="818"/>
      <c r="AWW142" s="818"/>
      <c r="AWX142" s="818"/>
      <c r="AWY142" s="818"/>
      <c r="AWZ142" s="818"/>
      <c r="AXA142" s="818"/>
      <c r="AXB142" s="818"/>
      <c r="AXC142" s="818"/>
      <c r="AXD142" s="818"/>
      <c r="AXE142" s="818"/>
      <c r="AXF142" s="818"/>
      <c r="AXG142" s="818"/>
      <c r="AXH142" s="818"/>
      <c r="AXI142" s="818"/>
      <c r="AXJ142" s="818"/>
      <c r="AXK142" s="818"/>
      <c r="AXL142" s="818"/>
      <c r="AXM142" s="818"/>
      <c r="AXN142" s="818"/>
      <c r="AXO142" s="818"/>
      <c r="AXP142" s="818"/>
      <c r="AXQ142" s="818"/>
      <c r="AXR142" s="818"/>
      <c r="AXS142" s="818"/>
      <c r="AXT142" s="818"/>
      <c r="AXU142" s="818"/>
      <c r="AXV142" s="818"/>
      <c r="AXW142" s="818"/>
      <c r="AXX142" s="818"/>
      <c r="AXY142" s="818"/>
      <c r="AXZ142" s="818"/>
      <c r="AYA142" s="818"/>
      <c r="AYB142" s="818"/>
      <c r="AYC142" s="818"/>
      <c r="AYD142" s="818"/>
      <c r="AYE142" s="818"/>
      <c r="AYF142" s="818"/>
      <c r="AYG142" s="818"/>
      <c r="AYH142" s="818"/>
      <c r="AYI142" s="818"/>
      <c r="AYJ142" s="818"/>
      <c r="AYK142" s="818"/>
      <c r="AYL142" s="818"/>
      <c r="AYM142" s="818"/>
      <c r="AYN142" s="818"/>
      <c r="AYO142" s="818"/>
      <c r="AYP142" s="818"/>
      <c r="AYQ142" s="818"/>
    </row>
    <row r="143" spans="1283:1343" x14ac:dyDescent="0.2">
      <c r="AWI143" s="818"/>
      <c r="AWJ143" s="818"/>
      <c r="AWK143" s="818"/>
      <c r="AWL143" s="818"/>
      <c r="AWM143" s="818"/>
      <c r="AWN143" s="818"/>
      <c r="AWO143" s="818"/>
      <c r="AWP143" s="818"/>
      <c r="AWQ143" s="818"/>
      <c r="AWR143" s="818"/>
      <c r="AWS143" s="818"/>
      <c r="AWT143" s="818"/>
      <c r="AWU143" s="818"/>
      <c r="AWV143" s="818"/>
      <c r="AWW143" s="818"/>
      <c r="AWX143" s="818"/>
      <c r="AWY143" s="818"/>
      <c r="AWZ143" s="818"/>
      <c r="AXA143" s="818"/>
      <c r="AXB143" s="818"/>
      <c r="AXC143" s="818"/>
      <c r="AXD143" s="818"/>
      <c r="AXE143" s="818"/>
      <c r="AXF143" s="818"/>
      <c r="AXG143" s="818"/>
      <c r="AXH143" s="818"/>
      <c r="AXI143" s="818"/>
      <c r="AXJ143" s="818"/>
      <c r="AXK143" s="818"/>
      <c r="AXL143" s="818"/>
      <c r="AXM143" s="818"/>
      <c r="AXN143" s="818"/>
      <c r="AXO143" s="818"/>
      <c r="AXP143" s="818"/>
      <c r="AXQ143" s="818"/>
      <c r="AXR143" s="818"/>
      <c r="AXS143" s="818"/>
      <c r="AXT143" s="818"/>
      <c r="AXU143" s="818"/>
      <c r="AXV143" s="818"/>
      <c r="AXW143" s="818"/>
      <c r="AXX143" s="818"/>
      <c r="AXY143" s="818"/>
      <c r="AXZ143" s="818"/>
      <c r="AYA143" s="818"/>
      <c r="AYB143" s="818"/>
      <c r="AYC143" s="818"/>
      <c r="AYD143" s="818"/>
      <c r="AYE143" s="818"/>
      <c r="AYF143" s="818"/>
      <c r="AYG143" s="818"/>
      <c r="AYH143" s="818"/>
      <c r="AYI143" s="818"/>
      <c r="AYJ143" s="818"/>
      <c r="AYK143" s="818"/>
      <c r="AYL143" s="818"/>
      <c r="AYM143" s="818"/>
      <c r="AYN143" s="818"/>
      <c r="AYO143" s="818"/>
      <c r="AYP143" s="818"/>
      <c r="AYQ143" s="818"/>
    </row>
    <row r="144" spans="1283:1343" x14ac:dyDescent="0.2">
      <c r="AWI144" s="818"/>
      <c r="AWJ144" s="818"/>
      <c r="AWK144" s="818"/>
      <c r="AWL144" s="818"/>
      <c r="AWM144" s="818"/>
      <c r="AWN144" s="818"/>
      <c r="AWO144" s="818"/>
      <c r="AWP144" s="818"/>
      <c r="AWQ144" s="818"/>
      <c r="AWR144" s="818"/>
      <c r="AWS144" s="818"/>
      <c r="AWT144" s="818"/>
      <c r="AWU144" s="818"/>
      <c r="AWV144" s="818"/>
      <c r="AWW144" s="818"/>
      <c r="AWX144" s="818"/>
      <c r="AWY144" s="818"/>
      <c r="AWZ144" s="818"/>
      <c r="AXA144" s="818"/>
      <c r="AXB144" s="818"/>
      <c r="AXC144" s="818"/>
      <c r="AXD144" s="818"/>
      <c r="AXE144" s="818"/>
      <c r="AXF144" s="818"/>
      <c r="AXG144" s="818"/>
      <c r="AXH144" s="818"/>
      <c r="AXI144" s="818"/>
      <c r="AXJ144" s="818"/>
      <c r="AXK144" s="818"/>
      <c r="AXL144" s="818"/>
      <c r="AXM144" s="818"/>
      <c r="AXN144" s="818"/>
      <c r="AXO144" s="818"/>
      <c r="AXP144" s="818"/>
      <c r="AXQ144" s="818"/>
      <c r="AXR144" s="818"/>
      <c r="AXS144" s="818"/>
      <c r="AXT144" s="818"/>
      <c r="AXU144" s="818"/>
      <c r="AXV144" s="818"/>
      <c r="AXW144" s="818"/>
      <c r="AXX144" s="818"/>
      <c r="AXY144" s="818"/>
      <c r="AXZ144" s="818"/>
      <c r="AYA144" s="818"/>
      <c r="AYB144" s="818"/>
      <c r="AYC144" s="818"/>
      <c r="AYD144" s="818"/>
      <c r="AYE144" s="818"/>
      <c r="AYF144" s="818"/>
      <c r="AYG144" s="818"/>
      <c r="AYH144" s="818"/>
      <c r="AYI144" s="818"/>
      <c r="AYJ144" s="818"/>
      <c r="AYK144" s="818"/>
      <c r="AYL144" s="818"/>
      <c r="AYM144" s="818"/>
      <c r="AYN144" s="818"/>
      <c r="AYO144" s="818"/>
      <c r="AYP144" s="818"/>
      <c r="AYQ144" s="818"/>
    </row>
    <row r="145" spans="1283:1343" x14ac:dyDescent="0.2">
      <c r="AWI145" s="818"/>
      <c r="AWJ145" s="818"/>
      <c r="AWK145" s="818"/>
      <c r="AWL145" s="818"/>
      <c r="AWM145" s="818"/>
      <c r="AWN145" s="818"/>
      <c r="AWO145" s="818"/>
      <c r="AWP145" s="818"/>
      <c r="AWQ145" s="818"/>
      <c r="AWR145" s="818"/>
      <c r="AWS145" s="818"/>
      <c r="AWT145" s="818"/>
      <c r="AWU145" s="818"/>
      <c r="AWV145" s="818"/>
      <c r="AWW145" s="818"/>
      <c r="AWX145" s="818"/>
      <c r="AWY145" s="818"/>
      <c r="AWZ145" s="818"/>
      <c r="AXA145" s="818"/>
      <c r="AXB145" s="818"/>
      <c r="AXC145" s="818"/>
      <c r="AXD145" s="818"/>
      <c r="AXE145" s="818"/>
      <c r="AXF145" s="818"/>
      <c r="AXG145" s="818"/>
      <c r="AXH145" s="818"/>
      <c r="AXI145" s="818"/>
      <c r="AXJ145" s="818"/>
      <c r="AXK145" s="818"/>
      <c r="AXL145" s="818"/>
      <c r="AXM145" s="818"/>
      <c r="AXN145" s="818"/>
      <c r="AXO145" s="818"/>
      <c r="AXP145" s="818"/>
      <c r="AXQ145" s="818"/>
      <c r="AXR145" s="818"/>
      <c r="AXS145" s="818"/>
      <c r="AXT145" s="818"/>
      <c r="AXU145" s="818"/>
      <c r="AXV145" s="818"/>
      <c r="AXW145" s="818"/>
      <c r="AXX145" s="818"/>
      <c r="AXY145" s="818"/>
      <c r="AXZ145" s="818"/>
      <c r="AYA145" s="818"/>
      <c r="AYB145" s="818"/>
      <c r="AYC145" s="818"/>
      <c r="AYD145" s="818"/>
      <c r="AYE145" s="818"/>
      <c r="AYF145" s="818"/>
      <c r="AYG145" s="818"/>
      <c r="AYH145" s="818"/>
      <c r="AYI145" s="818"/>
      <c r="AYJ145" s="818"/>
      <c r="AYK145" s="818"/>
      <c r="AYL145" s="818"/>
      <c r="AYM145" s="818"/>
      <c r="AYN145" s="818"/>
      <c r="AYO145" s="818"/>
      <c r="AYP145" s="818"/>
      <c r="AYQ145" s="818"/>
    </row>
    <row r="146" spans="1283:1343" x14ac:dyDescent="0.2">
      <c r="AWI146" s="818"/>
      <c r="AWJ146" s="818"/>
      <c r="AWK146" s="818"/>
      <c r="AWL146" s="818"/>
      <c r="AWM146" s="818"/>
      <c r="AWN146" s="818"/>
      <c r="AWO146" s="818"/>
      <c r="AWP146" s="818"/>
      <c r="AWQ146" s="818"/>
      <c r="AWR146" s="818"/>
      <c r="AWS146" s="818"/>
      <c r="AWT146" s="818"/>
      <c r="AWU146" s="818"/>
      <c r="AWV146" s="818"/>
      <c r="AWW146" s="818"/>
      <c r="AWX146" s="818"/>
      <c r="AWY146" s="818"/>
      <c r="AWZ146" s="818"/>
      <c r="AXA146" s="818"/>
      <c r="AXB146" s="818"/>
      <c r="AXC146" s="818"/>
      <c r="AXD146" s="818"/>
      <c r="AXE146" s="818"/>
      <c r="AXF146" s="818"/>
      <c r="AXG146" s="818"/>
      <c r="AXH146" s="818"/>
      <c r="AXI146" s="818"/>
      <c r="AXJ146" s="818"/>
      <c r="AXK146" s="818"/>
      <c r="AXL146" s="818"/>
      <c r="AXM146" s="818"/>
      <c r="AXN146" s="818"/>
      <c r="AXO146" s="818"/>
      <c r="AXP146" s="818"/>
      <c r="AXQ146" s="818"/>
      <c r="AXR146" s="818"/>
      <c r="AXS146" s="818"/>
      <c r="AXT146" s="818"/>
      <c r="AXU146" s="818"/>
      <c r="AXV146" s="818"/>
      <c r="AXW146" s="818"/>
      <c r="AXX146" s="818"/>
      <c r="AXY146" s="818"/>
      <c r="AXZ146" s="818"/>
      <c r="AYA146" s="818"/>
      <c r="AYB146" s="818"/>
      <c r="AYC146" s="818"/>
      <c r="AYD146" s="818"/>
      <c r="AYE146" s="818"/>
      <c r="AYF146" s="818"/>
      <c r="AYG146" s="818"/>
      <c r="AYH146" s="818"/>
      <c r="AYI146" s="818"/>
      <c r="AYJ146" s="818"/>
      <c r="AYK146" s="818"/>
      <c r="AYL146" s="818"/>
      <c r="AYM146" s="818"/>
      <c r="AYN146" s="818"/>
      <c r="AYO146" s="818"/>
      <c r="AYP146" s="818"/>
      <c r="AYQ146" s="818"/>
    </row>
    <row r="147" spans="1283:1343" x14ac:dyDescent="0.2">
      <c r="AWI147" s="818"/>
      <c r="AWJ147" s="818"/>
      <c r="AWK147" s="818"/>
      <c r="AWL147" s="818"/>
      <c r="AWM147" s="818"/>
      <c r="AWN147" s="818"/>
      <c r="AWO147" s="818"/>
      <c r="AWP147" s="818"/>
      <c r="AWQ147" s="818"/>
      <c r="AWR147" s="818"/>
      <c r="AWS147" s="818"/>
      <c r="AWT147" s="818"/>
      <c r="AWU147" s="818"/>
      <c r="AWV147" s="818"/>
      <c r="AWW147" s="818"/>
      <c r="AWX147" s="818"/>
      <c r="AWY147" s="818"/>
      <c r="AWZ147" s="818"/>
      <c r="AXA147" s="818"/>
      <c r="AXB147" s="818"/>
      <c r="AXC147" s="818"/>
      <c r="AXD147" s="818"/>
      <c r="AXE147" s="818"/>
      <c r="AXF147" s="818"/>
      <c r="AXG147" s="818"/>
      <c r="AXH147" s="818"/>
      <c r="AXI147" s="818"/>
      <c r="AXJ147" s="818"/>
      <c r="AXK147" s="818"/>
      <c r="AXL147" s="818"/>
      <c r="AXM147" s="818"/>
      <c r="AXN147" s="818"/>
      <c r="AXO147" s="818"/>
      <c r="AXP147" s="818"/>
      <c r="AXQ147" s="818"/>
      <c r="AXR147" s="818"/>
      <c r="AXS147" s="818"/>
      <c r="AXT147" s="818"/>
      <c r="AXU147" s="818"/>
      <c r="AXV147" s="818"/>
      <c r="AXW147" s="818"/>
      <c r="AXX147" s="818"/>
      <c r="AXY147" s="818"/>
      <c r="AXZ147" s="818"/>
      <c r="AYA147" s="818"/>
      <c r="AYB147" s="818"/>
      <c r="AYC147" s="818"/>
      <c r="AYD147" s="818"/>
      <c r="AYE147" s="818"/>
      <c r="AYF147" s="818"/>
      <c r="AYG147" s="818"/>
      <c r="AYH147" s="818"/>
      <c r="AYI147" s="818"/>
      <c r="AYJ147" s="818"/>
      <c r="AYK147" s="818"/>
      <c r="AYL147" s="818"/>
      <c r="AYM147" s="818"/>
      <c r="AYN147" s="818"/>
      <c r="AYO147" s="818"/>
      <c r="AYP147" s="818"/>
      <c r="AYQ147" s="818"/>
    </row>
    <row r="148" spans="1283:1343" x14ac:dyDescent="0.2">
      <c r="AWI148" s="818"/>
      <c r="AWJ148" s="818"/>
      <c r="AWK148" s="818"/>
      <c r="AWL148" s="818"/>
      <c r="AWM148" s="818"/>
      <c r="AWN148" s="818"/>
      <c r="AWO148" s="818"/>
      <c r="AWP148" s="818"/>
      <c r="AWQ148" s="818"/>
      <c r="AWR148" s="818"/>
      <c r="AWS148" s="818"/>
      <c r="AWT148" s="818"/>
      <c r="AWU148" s="818"/>
      <c r="AWV148" s="818"/>
      <c r="AWW148" s="818"/>
      <c r="AWX148" s="818"/>
      <c r="AWY148" s="818"/>
      <c r="AWZ148" s="818"/>
      <c r="AXA148" s="818"/>
      <c r="AXB148" s="818"/>
      <c r="AXC148" s="818"/>
      <c r="AXD148" s="818"/>
      <c r="AXE148" s="818"/>
      <c r="AXF148" s="818"/>
      <c r="AXG148" s="818"/>
      <c r="AXH148" s="818"/>
      <c r="AXI148" s="818"/>
      <c r="AXJ148" s="818"/>
      <c r="AXK148" s="818"/>
      <c r="AXL148" s="818"/>
      <c r="AXM148" s="818"/>
      <c r="AXN148" s="818"/>
      <c r="AXO148" s="818"/>
      <c r="AXP148" s="818"/>
      <c r="AXQ148" s="818"/>
      <c r="AXR148" s="818"/>
      <c r="AXS148" s="818"/>
      <c r="AXT148" s="818"/>
      <c r="AXU148" s="818"/>
      <c r="AXV148" s="818"/>
      <c r="AXW148" s="818"/>
      <c r="AXX148" s="818"/>
      <c r="AXY148" s="818"/>
      <c r="AXZ148" s="818"/>
      <c r="AYA148" s="818"/>
      <c r="AYB148" s="818"/>
      <c r="AYC148" s="818"/>
      <c r="AYD148" s="818"/>
      <c r="AYE148" s="818"/>
      <c r="AYF148" s="818"/>
      <c r="AYG148" s="818"/>
      <c r="AYH148" s="818"/>
      <c r="AYI148" s="818"/>
      <c r="AYJ148" s="818"/>
      <c r="AYK148" s="818"/>
      <c r="AYL148" s="818"/>
      <c r="AYM148" s="818"/>
      <c r="AYN148" s="818"/>
      <c r="AYO148" s="818"/>
      <c r="AYP148" s="818"/>
      <c r="AYQ148" s="818"/>
    </row>
    <row r="149" spans="1283:1343" x14ac:dyDescent="0.2">
      <c r="AWI149" s="818"/>
      <c r="AWJ149" s="818"/>
      <c r="AWK149" s="818"/>
      <c r="AWL149" s="818"/>
      <c r="AWM149" s="818"/>
      <c r="AWN149" s="818"/>
      <c r="AWO149" s="818"/>
      <c r="AWP149" s="818"/>
      <c r="AWQ149" s="818"/>
      <c r="AWR149" s="818"/>
      <c r="AWS149" s="818"/>
      <c r="AWT149" s="818"/>
      <c r="AWU149" s="818"/>
      <c r="AWV149" s="818"/>
      <c r="AWW149" s="818"/>
      <c r="AWX149" s="818"/>
      <c r="AWY149" s="818"/>
      <c r="AWZ149" s="818"/>
      <c r="AXA149" s="818"/>
      <c r="AXB149" s="818"/>
      <c r="AXC149" s="818"/>
      <c r="AXD149" s="818"/>
      <c r="AXE149" s="818"/>
      <c r="AXF149" s="818"/>
      <c r="AXG149" s="818"/>
      <c r="AXH149" s="818"/>
      <c r="AXI149" s="818"/>
      <c r="AXJ149" s="818"/>
      <c r="AXK149" s="818"/>
      <c r="AXL149" s="818"/>
      <c r="AXM149" s="818"/>
      <c r="AXN149" s="818"/>
      <c r="AXO149" s="818"/>
      <c r="AXP149" s="818"/>
      <c r="AXQ149" s="818"/>
      <c r="AXR149" s="818"/>
      <c r="AXS149" s="818"/>
      <c r="AXT149" s="818"/>
      <c r="AXU149" s="818"/>
      <c r="AXV149" s="818"/>
      <c r="AXW149" s="818"/>
      <c r="AXX149" s="818"/>
      <c r="AXY149" s="818"/>
      <c r="AXZ149" s="818"/>
      <c r="AYA149" s="818"/>
      <c r="AYB149" s="818"/>
      <c r="AYC149" s="818"/>
      <c r="AYD149" s="818"/>
      <c r="AYE149" s="818"/>
      <c r="AYF149" s="818"/>
      <c r="AYG149" s="818"/>
      <c r="AYH149" s="818"/>
      <c r="AYI149" s="818"/>
      <c r="AYJ149" s="818"/>
      <c r="AYK149" s="818"/>
      <c r="AYL149" s="818"/>
      <c r="AYM149" s="818"/>
      <c r="AYN149" s="818"/>
      <c r="AYO149" s="818"/>
      <c r="AYP149" s="818"/>
      <c r="AYQ149" s="818"/>
    </row>
    <row r="150" spans="1283:1343" x14ac:dyDescent="0.2">
      <c r="AWI150" s="818"/>
      <c r="AWJ150" s="818"/>
      <c r="AWK150" s="818"/>
      <c r="AWL150" s="818"/>
      <c r="AWM150" s="818"/>
      <c r="AWN150" s="818"/>
      <c r="AWO150" s="818"/>
      <c r="AWP150" s="818"/>
      <c r="AWQ150" s="818"/>
      <c r="AWR150" s="818"/>
      <c r="AWS150" s="818"/>
      <c r="AWT150" s="818"/>
      <c r="AWU150" s="818"/>
      <c r="AWV150" s="818"/>
      <c r="AWW150" s="818"/>
      <c r="AWX150" s="818"/>
      <c r="AWY150" s="818"/>
      <c r="AWZ150" s="818"/>
      <c r="AXA150" s="818"/>
      <c r="AXB150" s="818"/>
      <c r="AXC150" s="818"/>
      <c r="AXD150" s="818"/>
      <c r="AXE150" s="818"/>
      <c r="AXF150" s="818"/>
      <c r="AXG150" s="818"/>
      <c r="AXH150" s="818"/>
      <c r="AXI150" s="818"/>
      <c r="AXJ150" s="818"/>
      <c r="AXK150" s="818"/>
      <c r="AXL150" s="818"/>
      <c r="AXM150" s="818"/>
      <c r="AXN150" s="818"/>
      <c r="AXO150" s="818"/>
      <c r="AXP150" s="818"/>
      <c r="AXQ150" s="818"/>
      <c r="AXR150" s="818"/>
      <c r="AXS150" s="818"/>
      <c r="AXT150" s="818"/>
      <c r="AXU150" s="818"/>
      <c r="AXV150" s="818"/>
      <c r="AXW150" s="818"/>
      <c r="AXX150" s="818"/>
      <c r="AXY150" s="818"/>
      <c r="AXZ150" s="818"/>
      <c r="AYA150" s="818"/>
      <c r="AYB150" s="818"/>
      <c r="AYC150" s="818"/>
      <c r="AYD150" s="818"/>
      <c r="AYE150" s="818"/>
      <c r="AYF150" s="818"/>
      <c r="AYG150" s="818"/>
      <c r="AYH150" s="818"/>
      <c r="AYI150" s="818"/>
      <c r="AYJ150" s="818"/>
      <c r="AYK150" s="818"/>
      <c r="AYL150" s="818"/>
      <c r="AYM150" s="818"/>
      <c r="AYN150" s="818"/>
      <c r="AYO150" s="818"/>
      <c r="AYP150" s="818"/>
      <c r="AYQ150" s="818"/>
    </row>
    <row r="151" spans="1283:1343" x14ac:dyDescent="0.2">
      <c r="AWI151" s="818"/>
      <c r="AWJ151" s="818"/>
      <c r="AWK151" s="818"/>
      <c r="AWL151" s="818"/>
      <c r="AWM151" s="818"/>
      <c r="AWN151" s="818"/>
      <c r="AWO151" s="818"/>
      <c r="AWP151" s="818"/>
      <c r="AWQ151" s="818"/>
      <c r="AWR151" s="818"/>
      <c r="AWS151" s="818"/>
      <c r="AWT151" s="818"/>
      <c r="AWU151" s="818"/>
      <c r="AWV151" s="818"/>
      <c r="AWW151" s="818"/>
      <c r="AWX151" s="818"/>
      <c r="AWY151" s="818"/>
      <c r="AWZ151" s="818"/>
      <c r="AXA151" s="818"/>
      <c r="AXB151" s="818"/>
      <c r="AXC151" s="818"/>
      <c r="AXD151" s="818"/>
      <c r="AXE151" s="818"/>
      <c r="AXF151" s="818"/>
      <c r="AXG151" s="818"/>
      <c r="AXH151" s="818"/>
      <c r="AXI151" s="818"/>
      <c r="AXJ151" s="818"/>
      <c r="AXK151" s="818"/>
      <c r="AXL151" s="818"/>
      <c r="AXM151" s="818"/>
      <c r="AXN151" s="818"/>
      <c r="AXO151" s="818"/>
      <c r="AXP151" s="818"/>
      <c r="AXQ151" s="818"/>
      <c r="AXR151" s="818"/>
      <c r="AXS151" s="818"/>
      <c r="AXT151" s="818"/>
      <c r="AXU151" s="818"/>
      <c r="AXV151" s="818"/>
      <c r="AXW151" s="818"/>
      <c r="AXX151" s="818"/>
      <c r="AXY151" s="818"/>
      <c r="AXZ151" s="818"/>
      <c r="AYA151" s="818"/>
      <c r="AYB151" s="818"/>
      <c r="AYC151" s="818"/>
      <c r="AYD151" s="818"/>
      <c r="AYE151" s="818"/>
      <c r="AYF151" s="818"/>
      <c r="AYG151" s="818"/>
      <c r="AYH151" s="818"/>
      <c r="AYI151" s="818"/>
      <c r="AYJ151" s="818"/>
      <c r="AYK151" s="818"/>
      <c r="AYL151" s="818"/>
      <c r="AYM151" s="818"/>
      <c r="AYN151" s="818"/>
      <c r="AYO151" s="818"/>
      <c r="AYP151" s="818"/>
      <c r="AYQ151" s="818"/>
    </row>
    <row r="152" spans="1283:1343" x14ac:dyDescent="0.2">
      <c r="AWI152" s="818"/>
      <c r="AWJ152" s="818"/>
      <c r="AWK152" s="818"/>
      <c r="AWL152" s="818"/>
      <c r="AWM152" s="818"/>
      <c r="AWN152" s="818"/>
      <c r="AWO152" s="818"/>
      <c r="AWP152" s="818"/>
      <c r="AWQ152" s="818"/>
      <c r="AWR152" s="818"/>
      <c r="AWS152" s="818"/>
      <c r="AWT152" s="818"/>
      <c r="AWU152" s="818"/>
      <c r="AWV152" s="818"/>
      <c r="AWW152" s="818"/>
      <c r="AWX152" s="818"/>
      <c r="AWY152" s="818"/>
      <c r="AWZ152" s="818"/>
      <c r="AXA152" s="818"/>
      <c r="AXB152" s="818"/>
      <c r="AXC152" s="818"/>
      <c r="AXD152" s="818"/>
      <c r="AXE152" s="818"/>
      <c r="AXF152" s="818"/>
      <c r="AXG152" s="818"/>
      <c r="AXH152" s="818"/>
      <c r="AXI152" s="818"/>
      <c r="AXJ152" s="818"/>
      <c r="AXK152" s="818"/>
      <c r="AXL152" s="818"/>
      <c r="AXM152" s="818"/>
      <c r="AXN152" s="818"/>
      <c r="AXO152" s="818"/>
      <c r="AXP152" s="818"/>
      <c r="AXQ152" s="818"/>
      <c r="AXR152" s="818"/>
      <c r="AXS152" s="818"/>
      <c r="AXT152" s="818"/>
      <c r="AXU152" s="818"/>
      <c r="AXV152" s="818"/>
      <c r="AXW152" s="818"/>
      <c r="AXX152" s="818"/>
      <c r="AXY152" s="818"/>
      <c r="AXZ152" s="818"/>
      <c r="AYA152" s="818"/>
      <c r="AYB152" s="818"/>
      <c r="AYC152" s="818"/>
      <c r="AYD152" s="818"/>
      <c r="AYE152" s="818"/>
      <c r="AYF152" s="818"/>
      <c r="AYG152" s="818"/>
      <c r="AYH152" s="818"/>
      <c r="AYI152" s="818"/>
      <c r="AYJ152" s="818"/>
      <c r="AYK152" s="818"/>
      <c r="AYL152" s="818"/>
      <c r="AYM152" s="818"/>
      <c r="AYN152" s="818"/>
      <c r="AYO152" s="818"/>
      <c r="AYP152" s="818"/>
      <c r="AYQ152" s="818"/>
    </row>
    <row r="153" spans="1283:1343" x14ac:dyDescent="0.2">
      <c r="AWI153" s="818"/>
      <c r="AWJ153" s="818"/>
      <c r="AWK153" s="818"/>
      <c r="AWL153" s="818"/>
      <c r="AWM153" s="818"/>
      <c r="AWN153" s="818"/>
      <c r="AWO153" s="818"/>
      <c r="AWP153" s="818"/>
      <c r="AWQ153" s="818"/>
      <c r="AWR153" s="818"/>
      <c r="AWS153" s="818"/>
      <c r="AWT153" s="818"/>
      <c r="AWU153" s="818"/>
      <c r="AWV153" s="818"/>
      <c r="AWW153" s="818"/>
      <c r="AWX153" s="818"/>
      <c r="AWY153" s="818"/>
      <c r="AWZ153" s="818"/>
      <c r="AXA153" s="818"/>
      <c r="AXB153" s="818"/>
      <c r="AXC153" s="818"/>
      <c r="AXD153" s="818"/>
      <c r="AXE153" s="818"/>
      <c r="AXF153" s="818"/>
      <c r="AXG153" s="818"/>
      <c r="AXH153" s="818"/>
      <c r="AXI153" s="818"/>
      <c r="AXJ153" s="818"/>
      <c r="AXK153" s="818"/>
      <c r="AXL153" s="818"/>
      <c r="AXM153" s="818"/>
      <c r="AXN153" s="818"/>
      <c r="AXO153" s="818"/>
      <c r="AXP153" s="818"/>
      <c r="AXQ153" s="818"/>
      <c r="AXR153" s="818"/>
      <c r="AXS153" s="818"/>
      <c r="AXT153" s="818"/>
      <c r="AXU153" s="818"/>
      <c r="AXV153" s="818"/>
      <c r="AXW153" s="818"/>
      <c r="AXX153" s="818"/>
      <c r="AXY153" s="818"/>
      <c r="AXZ153" s="818"/>
      <c r="AYA153" s="818"/>
      <c r="AYB153" s="818"/>
      <c r="AYC153" s="818"/>
      <c r="AYD153" s="818"/>
      <c r="AYE153" s="818"/>
      <c r="AYF153" s="818"/>
      <c r="AYG153" s="818"/>
      <c r="AYH153" s="818"/>
      <c r="AYI153" s="818"/>
      <c r="AYJ153" s="818"/>
      <c r="AYK153" s="818"/>
      <c r="AYL153" s="818"/>
      <c r="AYM153" s="818"/>
      <c r="AYN153" s="818"/>
      <c r="AYO153" s="818"/>
      <c r="AYP153" s="818"/>
      <c r="AYQ153" s="818"/>
    </row>
    <row r="154" spans="1283:1343" x14ac:dyDescent="0.2">
      <c r="AWI154" s="818"/>
      <c r="AWJ154" s="818"/>
      <c r="AWK154" s="818"/>
      <c r="AWL154" s="818"/>
      <c r="AWM154" s="818"/>
      <c r="AWN154" s="818"/>
      <c r="AWO154" s="818"/>
      <c r="AWP154" s="818"/>
      <c r="AWQ154" s="818"/>
      <c r="AWR154" s="818"/>
      <c r="AWS154" s="818"/>
      <c r="AWT154" s="818"/>
      <c r="AWU154" s="818"/>
      <c r="AWV154" s="818"/>
      <c r="AWW154" s="818"/>
      <c r="AWX154" s="818"/>
      <c r="AWY154" s="818"/>
      <c r="AWZ154" s="818"/>
      <c r="AXA154" s="818"/>
      <c r="AXB154" s="818"/>
      <c r="AXC154" s="818"/>
      <c r="AXD154" s="818"/>
      <c r="AXE154" s="818"/>
      <c r="AXF154" s="818"/>
      <c r="AXG154" s="818"/>
      <c r="AXH154" s="818"/>
      <c r="AXI154" s="818"/>
      <c r="AXJ154" s="818"/>
      <c r="AXK154" s="818"/>
      <c r="AXL154" s="818"/>
      <c r="AXM154" s="818"/>
      <c r="AXN154" s="818"/>
      <c r="AXO154" s="818"/>
      <c r="AXP154" s="818"/>
      <c r="AXQ154" s="818"/>
      <c r="AXR154" s="818"/>
      <c r="AXS154" s="818"/>
      <c r="AXT154" s="818"/>
      <c r="AXU154" s="818"/>
      <c r="AXV154" s="818"/>
      <c r="AXW154" s="818"/>
      <c r="AXX154" s="818"/>
      <c r="AXY154" s="818"/>
      <c r="AXZ154" s="818"/>
      <c r="AYA154" s="818"/>
      <c r="AYB154" s="818"/>
      <c r="AYC154" s="818"/>
      <c r="AYD154" s="818"/>
      <c r="AYE154" s="818"/>
      <c r="AYF154" s="818"/>
      <c r="AYG154" s="818"/>
      <c r="AYH154" s="818"/>
      <c r="AYI154" s="818"/>
      <c r="AYJ154" s="818"/>
      <c r="AYK154" s="818"/>
      <c r="AYL154" s="818"/>
      <c r="AYM154" s="818"/>
      <c r="AYN154" s="818"/>
      <c r="AYO154" s="818"/>
      <c r="AYP154" s="818"/>
      <c r="AYQ154" s="818"/>
    </row>
    <row r="155" spans="1283:1343" x14ac:dyDescent="0.2">
      <c r="AWI155" s="818"/>
      <c r="AWJ155" s="818"/>
      <c r="AWK155" s="818"/>
      <c r="AWL155" s="818"/>
      <c r="AWM155" s="818"/>
      <c r="AWN155" s="818"/>
      <c r="AWO155" s="818"/>
      <c r="AWP155" s="818"/>
      <c r="AWQ155" s="818"/>
      <c r="AWR155" s="818"/>
      <c r="AWS155" s="818"/>
      <c r="AWT155" s="818"/>
      <c r="AWU155" s="818"/>
      <c r="AWV155" s="818"/>
      <c r="AWW155" s="818"/>
      <c r="AWX155" s="818"/>
      <c r="AWY155" s="818"/>
      <c r="AWZ155" s="818"/>
      <c r="AXA155" s="818"/>
      <c r="AXB155" s="818"/>
      <c r="AXC155" s="818"/>
      <c r="AXD155" s="818"/>
      <c r="AXE155" s="818"/>
      <c r="AXF155" s="818"/>
      <c r="AXG155" s="818"/>
      <c r="AXH155" s="818"/>
      <c r="AXI155" s="818"/>
      <c r="AXJ155" s="818"/>
      <c r="AXK155" s="818"/>
      <c r="AXL155" s="818"/>
      <c r="AXM155" s="818"/>
      <c r="AXN155" s="818"/>
      <c r="AXO155" s="818"/>
      <c r="AXP155" s="818"/>
      <c r="AXQ155" s="818"/>
      <c r="AXR155" s="818"/>
      <c r="AXS155" s="818"/>
      <c r="AXT155" s="818"/>
      <c r="AXU155" s="818"/>
      <c r="AXV155" s="818"/>
      <c r="AXW155" s="818"/>
      <c r="AXX155" s="818"/>
      <c r="AXY155" s="818"/>
      <c r="AXZ155" s="818"/>
      <c r="AYA155" s="818"/>
      <c r="AYB155" s="818"/>
      <c r="AYC155" s="818"/>
      <c r="AYD155" s="818"/>
      <c r="AYE155" s="818"/>
      <c r="AYF155" s="818"/>
      <c r="AYG155" s="818"/>
      <c r="AYH155" s="818"/>
      <c r="AYI155" s="818"/>
      <c r="AYJ155" s="818"/>
      <c r="AYK155" s="818"/>
      <c r="AYL155" s="818"/>
      <c r="AYM155" s="818"/>
      <c r="AYN155" s="818"/>
      <c r="AYO155" s="818"/>
      <c r="AYP155" s="818"/>
      <c r="AYQ155" s="818"/>
    </row>
    <row r="156" spans="1283:1343" x14ac:dyDescent="0.2">
      <c r="AWI156" s="818"/>
      <c r="AWJ156" s="818"/>
      <c r="AWK156" s="818"/>
      <c r="AWL156" s="818"/>
      <c r="AWM156" s="818"/>
      <c r="AWN156" s="818"/>
      <c r="AWO156" s="818"/>
      <c r="AWP156" s="818"/>
      <c r="AWQ156" s="818"/>
      <c r="AWR156" s="818"/>
      <c r="AWS156" s="818"/>
      <c r="AWT156" s="818"/>
      <c r="AWU156" s="818"/>
      <c r="AWV156" s="818"/>
      <c r="AWW156" s="818"/>
      <c r="AWX156" s="818"/>
      <c r="AWY156" s="818"/>
      <c r="AWZ156" s="818"/>
      <c r="AXA156" s="818"/>
      <c r="AXB156" s="818"/>
      <c r="AXC156" s="818"/>
      <c r="AXD156" s="818"/>
      <c r="AXE156" s="818"/>
      <c r="AXF156" s="818"/>
      <c r="AXG156" s="818"/>
      <c r="AXH156" s="818"/>
      <c r="AXI156" s="818"/>
      <c r="AXJ156" s="818"/>
      <c r="AXK156" s="818"/>
      <c r="AXL156" s="818"/>
      <c r="AXM156" s="818"/>
      <c r="AXN156" s="818"/>
      <c r="AXO156" s="818"/>
      <c r="AXP156" s="818"/>
      <c r="AXQ156" s="818"/>
      <c r="AXR156" s="818"/>
      <c r="AXS156" s="818"/>
      <c r="AXT156" s="818"/>
      <c r="AXU156" s="818"/>
      <c r="AXV156" s="818"/>
      <c r="AXW156" s="818"/>
      <c r="AXX156" s="818"/>
      <c r="AXY156" s="818"/>
      <c r="AXZ156" s="818"/>
      <c r="AYA156" s="818"/>
      <c r="AYB156" s="818"/>
      <c r="AYC156" s="818"/>
      <c r="AYD156" s="818"/>
      <c r="AYE156" s="818"/>
      <c r="AYF156" s="818"/>
      <c r="AYG156" s="818"/>
      <c r="AYH156" s="818"/>
      <c r="AYI156" s="818"/>
      <c r="AYJ156" s="818"/>
      <c r="AYK156" s="818"/>
      <c r="AYL156" s="818"/>
      <c r="AYM156" s="818"/>
      <c r="AYN156" s="818"/>
      <c r="AYO156" s="818"/>
      <c r="AYP156" s="818"/>
      <c r="AYQ156" s="818"/>
    </row>
    <row r="157" spans="1283:1343" x14ac:dyDescent="0.2">
      <c r="AWI157" s="818"/>
      <c r="AWJ157" s="818"/>
      <c r="AWK157" s="818"/>
      <c r="AWL157" s="818"/>
      <c r="AWM157" s="818"/>
      <c r="AWN157" s="818"/>
      <c r="AWO157" s="818"/>
      <c r="AWP157" s="818"/>
      <c r="AWQ157" s="818"/>
      <c r="AWR157" s="818"/>
      <c r="AWS157" s="818"/>
      <c r="AWT157" s="818"/>
      <c r="AWU157" s="818"/>
      <c r="AWV157" s="818"/>
      <c r="AWW157" s="818"/>
      <c r="AWX157" s="818"/>
      <c r="AWY157" s="818"/>
      <c r="AWZ157" s="818"/>
      <c r="AXA157" s="818"/>
      <c r="AXB157" s="818"/>
      <c r="AXC157" s="818"/>
      <c r="AXD157" s="818"/>
      <c r="AXE157" s="818"/>
      <c r="AXF157" s="818"/>
      <c r="AXG157" s="818"/>
      <c r="AXH157" s="818"/>
      <c r="AXI157" s="818"/>
      <c r="AXJ157" s="818"/>
      <c r="AXK157" s="818"/>
      <c r="AXL157" s="818"/>
      <c r="AXM157" s="818"/>
      <c r="AXN157" s="818"/>
      <c r="AXO157" s="818"/>
      <c r="AXP157" s="818"/>
      <c r="AXQ157" s="818"/>
      <c r="AXR157" s="818"/>
      <c r="AXS157" s="818"/>
      <c r="AXT157" s="818"/>
      <c r="AXU157" s="818"/>
      <c r="AXV157" s="818"/>
      <c r="AXW157" s="818"/>
      <c r="AXX157" s="818"/>
      <c r="AXY157" s="818"/>
      <c r="AXZ157" s="818"/>
      <c r="AYA157" s="818"/>
      <c r="AYB157" s="818"/>
      <c r="AYC157" s="818"/>
      <c r="AYD157" s="818"/>
      <c r="AYE157" s="818"/>
      <c r="AYF157" s="818"/>
      <c r="AYG157" s="818"/>
      <c r="AYH157" s="818"/>
      <c r="AYI157" s="818"/>
      <c r="AYJ157" s="818"/>
      <c r="AYK157" s="818"/>
      <c r="AYL157" s="818"/>
      <c r="AYM157" s="818"/>
      <c r="AYN157" s="818"/>
      <c r="AYO157" s="818"/>
      <c r="AYP157" s="818"/>
      <c r="AYQ157" s="818"/>
    </row>
    <row r="158" spans="1283:1343" x14ac:dyDescent="0.2">
      <c r="AWI158" s="818"/>
      <c r="AWJ158" s="818"/>
      <c r="AWK158" s="818"/>
      <c r="AWL158" s="818"/>
      <c r="AWM158" s="818"/>
      <c r="AWN158" s="818"/>
      <c r="AWO158" s="818"/>
      <c r="AWP158" s="818"/>
      <c r="AWQ158" s="818"/>
      <c r="AWR158" s="818"/>
      <c r="AWS158" s="818"/>
      <c r="AWT158" s="818"/>
      <c r="AWU158" s="818"/>
      <c r="AWV158" s="818"/>
      <c r="AWW158" s="818"/>
      <c r="AWX158" s="818"/>
      <c r="AWY158" s="818"/>
      <c r="AWZ158" s="818"/>
      <c r="AXA158" s="818"/>
      <c r="AXB158" s="818"/>
      <c r="AXC158" s="818"/>
      <c r="AXD158" s="818"/>
      <c r="AXE158" s="818"/>
      <c r="AXF158" s="818"/>
      <c r="AXG158" s="818"/>
      <c r="AXH158" s="818"/>
      <c r="AXI158" s="818"/>
      <c r="AXJ158" s="818"/>
      <c r="AXK158" s="818"/>
      <c r="AXL158" s="818"/>
      <c r="AXM158" s="818"/>
      <c r="AXN158" s="818"/>
      <c r="AXO158" s="818"/>
      <c r="AXP158" s="818"/>
      <c r="AXQ158" s="818"/>
      <c r="AXR158" s="818"/>
      <c r="AXS158" s="818"/>
      <c r="AXT158" s="818"/>
      <c r="AXU158" s="818"/>
      <c r="AXV158" s="818"/>
      <c r="AXW158" s="818"/>
      <c r="AXX158" s="818"/>
      <c r="AXY158" s="818"/>
      <c r="AXZ158" s="818"/>
      <c r="AYA158" s="818"/>
      <c r="AYB158" s="818"/>
      <c r="AYC158" s="818"/>
      <c r="AYD158" s="818"/>
      <c r="AYE158" s="818"/>
      <c r="AYF158" s="818"/>
      <c r="AYG158" s="818"/>
      <c r="AYH158" s="818"/>
      <c r="AYI158" s="818"/>
      <c r="AYJ158" s="818"/>
      <c r="AYK158" s="818"/>
      <c r="AYL158" s="818"/>
      <c r="AYM158" s="818"/>
      <c r="AYN158" s="818"/>
      <c r="AYO158" s="818"/>
      <c r="AYP158" s="818"/>
      <c r="AYQ158" s="818"/>
    </row>
    <row r="159" spans="1283:1343" x14ac:dyDescent="0.2">
      <c r="AWI159" s="818"/>
      <c r="AWJ159" s="818"/>
      <c r="AWK159" s="818"/>
      <c r="AWL159" s="818"/>
      <c r="AWM159" s="818"/>
      <c r="AWN159" s="818"/>
      <c r="AWO159" s="818"/>
      <c r="AWP159" s="818"/>
      <c r="AWQ159" s="818"/>
      <c r="AWR159" s="818"/>
      <c r="AWS159" s="818"/>
      <c r="AWT159" s="818"/>
      <c r="AWU159" s="818"/>
      <c r="AWV159" s="818"/>
      <c r="AWW159" s="818"/>
      <c r="AWX159" s="818"/>
      <c r="AWY159" s="818"/>
      <c r="AWZ159" s="818"/>
      <c r="AXA159" s="818"/>
      <c r="AXB159" s="818"/>
      <c r="AXC159" s="818"/>
      <c r="AXD159" s="818"/>
      <c r="AXE159" s="818"/>
      <c r="AXF159" s="818"/>
      <c r="AXG159" s="818"/>
      <c r="AXH159" s="818"/>
      <c r="AXI159" s="818"/>
      <c r="AXJ159" s="818"/>
      <c r="AXK159" s="818"/>
      <c r="AXL159" s="818"/>
      <c r="AXM159" s="818"/>
      <c r="AXN159" s="818"/>
      <c r="AXO159" s="818"/>
      <c r="AXP159" s="818"/>
      <c r="AXQ159" s="818"/>
      <c r="AXR159" s="818"/>
      <c r="AXS159" s="818"/>
      <c r="AXT159" s="818"/>
      <c r="AXU159" s="818"/>
      <c r="AXV159" s="818"/>
      <c r="AXW159" s="818"/>
      <c r="AXX159" s="818"/>
      <c r="AXY159" s="818"/>
      <c r="AXZ159" s="818"/>
      <c r="AYA159" s="818"/>
      <c r="AYB159" s="818"/>
      <c r="AYC159" s="818"/>
      <c r="AYD159" s="818"/>
      <c r="AYE159" s="818"/>
      <c r="AYF159" s="818"/>
      <c r="AYG159" s="818"/>
      <c r="AYH159" s="818"/>
      <c r="AYI159" s="818"/>
      <c r="AYJ159" s="818"/>
      <c r="AYK159" s="818"/>
      <c r="AYL159" s="818"/>
      <c r="AYM159" s="818"/>
      <c r="AYN159" s="818"/>
      <c r="AYO159" s="818"/>
      <c r="AYP159" s="818"/>
      <c r="AYQ159" s="818"/>
    </row>
    <row r="160" spans="1283:1343" x14ac:dyDescent="0.2">
      <c r="AWI160" s="818"/>
      <c r="AWJ160" s="818"/>
      <c r="AWK160" s="818"/>
      <c r="AWL160" s="818"/>
      <c r="AWM160" s="818"/>
      <c r="AWN160" s="818"/>
      <c r="AWO160" s="818"/>
      <c r="AWP160" s="818"/>
      <c r="AWQ160" s="818"/>
      <c r="AWR160" s="818"/>
      <c r="AWS160" s="818"/>
      <c r="AWT160" s="818"/>
      <c r="AWU160" s="818"/>
      <c r="AWV160" s="818"/>
      <c r="AWW160" s="818"/>
      <c r="AWX160" s="818"/>
      <c r="AWY160" s="818"/>
      <c r="AWZ160" s="818"/>
      <c r="AXA160" s="818"/>
      <c r="AXB160" s="818"/>
      <c r="AXC160" s="818"/>
      <c r="AXD160" s="818"/>
      <c r="AXE160" s="818"/>
      <c r="AXF160" s="818"/>
      <c r="AXG160" s="818"/>
      <c r="AXH160" s="818"/>
      <c r="AXI160" s="818"/>
      <c r="AXJ160" s="818"/>
      <c r="AXK160" s="818"/>
      <c r="AXL160" s="818"/>
      <c r="AXM160" s="818"/>
      <c r="AXN160" s="818"/>
      <c r="AXO160" s="818"/>
      <c r="AXP160" s="818"/>
      <c r="AXQ160" s="818"/>
      <c r="AXR160" s="818"/>
      <c r="AXS160" s="818"/>
      <c r="AXT160" s="818"/>
      <c r="AXU160" s="818"/>
      <c r="AXV160" s="818"/>
      <c r="AXW160" s="818"/>
      <c r="AXX160" s="818"/>
      <c r="AXY160" s="818"/>
      <c r="AXZ160" s="818"/>
      <c r="AYA160" s="818"/>
      <c r="AYB160" s="818"/>
      <c r="AYC160" s="818"/>
      <c r="AYD160" s="818"/>
      <c r="AYE160" s="818"/>
      <c r="AYF160" s="818"/>
      <c r="AYG160" s="818"/>
      <c r="AYH160" s="818"/>
      <c r="AYI160" s="818"/>
      <c r="AYJ160" s="818"/>
      <c r="AYK160" s="818"/>
      <c r="AYL160" s="818"/>
      <c r="AYM160" s="818"/>
      <c r="AYN160" s="818"/>
      <c r="AYO160" s="818"/>
      <c r="AYP160" s="818"/>
      <c r="AYQ160" s="818"/>
    </row>
    <row r="161" spans="1283:1343" x14ac:dyDescent="0.2">
      <c r="AWI161" s="818"/>
      <c r="AWJ161" s="818"/>
      <c r="AWK161" s="818"/>
      <c r="AWL161" s="818"/>
      <c r="AWM161" s="818"/>
      <c r="AWN161" s="818"/>
      <c r="AWO161" s="818"/>
      <c r="AWP161" s="818"/>
      <c r="AWQ161" s="818"/>
      <c r="AWR161" s="818"/>
      <c r="AWS161" s="818"/>
      <c r="AWT161" s="818"/>
      <c r="AWU161" s="818"/>
      <c r="AWV161" s="818"/>
      <c r="AWW161" s="818"/>
      <c r="AWX161" s="818"/>
      <c r="AWY161" s="818"/>
      <c r="AWZ161" s="818"/>
      <c r="AXA161" s="818"/>
      <c r="AXB161" s="818"/>
      <c r="AXC161" s="818"/>
      <c r="AXD161" s="818"/>
      <c r="AXE161" s="818"/>
      <c r="AXF161" s="818"/>
      <c r="AXG161" s="818"/>
      <c r="AXH161" s="818"/>
      <c r="AXI161" s="818"/>
      <c r="AXJ161" s="818"/>
      <c r="AXK161" s="818"/>
      <c r="AXL161" s="818"/>
      <c r="AXM161" s="818"/>
      <c r="AXN161" s="818"/>
      <c r="AXO161" s="818"/>
      <c r="AXP161" s="818"/>
      <c r="AXQ161" s="818"/>
      <c r="AXR161" s="818"/>
      <c r="AXS161" s="818"/>
      <c r="AXT161" s="818"/>
      <c r="AXU161" s="818"/>
      <c r="AXV161" s="818"/>
      <c r="AXW161" s="818"/>
      <c r="AXX161" s="818"/>
      <c r="AXY161" s="818"/>
      <c r="AXZ161" s="818"/>
      <c r="AYA161" s="818"/>
      <c r="AYB161" s="818"/>
      <c r="AYC161" s="818"/>
      <c r="AYD161" s="818"/>
      <c r="AYE161" s="818"/>
      <c r="AYF161" s="818"/>
      <c r="AYG161" s="818"/>
      <c r="AYH161" s="818"/>
      <c r="AYI161" s="818"/>
      <c r="AYJ161" s="818"/>
      <c r="AYK161" s="818"/>
      <c r="AYL161" s="818"/>
      <c r="AYM161" s="818"/>
      <c r="AYN161" s="818"/>
      <c r="AYO161" s="818"/>
      <c r="AYP161" s="818"/>
      <c r="AYQ161" s="818"/>
    </row>
    <row r="162" spans="1283:1343" x14ac:dyDescent="0.2">
      <c r="AWI162" s="818"/>
      <c r="AWJ162" s="818"/>
      <c r="AWK162" s="818"/>
      <c r="AWL162" s="818"/>
      <c r="AWM162" s="818"/>
      <c r="AWN162" s="818"/>
      <c r="AWO162" s="818"/>
      <c r="AWP162" s="818"/>
      <c r="AWQ162" s="818"/>
      <c r="AWR162" s="818"/>
      <c r="AWS162" s="818"/>
      <c r="AWT162" s="818"/>
      <c r="AWU162" s="818"/>
      <c r="AWV162" s="818"/>
      <c r="AWW162" s="818"/>
      <c r="AWX162" s="818"/>
      <c r="AWY162" s="818"/>
      <c r="AWZ162" s="818"/>
      <c r="AXA162" s="818"/>
      <c r="AXB162" s="818"/>
      <c r="AXC162" s="818"/>
      <c r="AXD162" s="818"/>
      <c r="AXE162" s="818"/>
      <c r="AXF162" s="818"/>
      <c r="AXG162" s="818"/>
      <c r="AXH162" s="818"/>
      <c r="AXI162" s="818"/>
      <c r="AXJ162" s="818"/>
      <c r="AXK162" s="818"/>
      <c r="AXL162" s="818"/>
      <c r="AXM162" s="818"/>
      <c r="AXN162" s="818"/>
      <c r="AXO162" s="818"/>
      <c r="AXP162" s="818"/>
      <c r="AXQ162" s="818"/>
      <c r="AXR162" s="818"/>
      <c r="AXS162" s="818"/>
      <c r="AXT162" s="818"/>
      <c r="AXU162" s="818"/>
      <c r="AXV162" s="818"/>
      <c r="AXW162" s="818"/>
      <c r="AXX162" s="818"/>
      <c r="AXY162" s="818"/>
      <c r="AXZ162" s="818"/>
      <c r="AYA162" s="818"/>
      <c r="AYB162" s="818"/>
      <c r="AYC162" s="818"/>
      <c r="AYD162" s="818"/>
      <c r="AYE162" s="818"/>
      <c r="AYF162" s="818"/>
      <c r="AYG162" s="818"/>
      <c r="AYH162" s="818"/>
      <c r="AYI162" s="818"/>
      <c r="AYJ162" s="818"/>
      <c r="AYK162" s="818"/>
      <c r="AYL162" s="818"/>
      <c r="AYM162" s="818"/>
      <c r="AYN162" s="818"/>
      <c r="AYO162" s="818"/>
      <c r="AYP162" s="818"/>
      <c r="AYQ162" s="818"/>
    </row>
    <row r="163" spans="1283:1343" x14ac:dyDescent="0.2">
      <c r="AWI163" s="818"/>
      <c r="AWJ163" s="818"/>
      <c r="AWK163" s="818"/>
      <c r="AWL163" s="818"/>
      <c r="AWM163" s="818"/>
      <c r="AWN163" s="818"/>
      <c r="AWO163" s="818"/>
      <c r="AWP163" s="818"/>
      <c r="AWQ163" s="818"/>
      <c r="AWR163" s="818"/>
      <c r="AWS163" s="818"/>
      <c r="AWT163" s="818"/>
      <c r="AWU163" s="818"/>
      <c r="AWV163" s="818"/>
      <c r="AWW163" s="818"/>
      <c r="AWX163" s="818"/>
      <c r="AWY163" s="818"/>
      <c r="AWZ163" s="818"/>
      <c r="AXA163" s="818"/>
      <c r="AXB163" s="818"/>
      <c r="AXC163" s="818"/>
      <c r="AXD163" s="818"/>
      <c r="AXE163" s="818"/>
      <c r="AXF163" s="818"/>
      <c r="AXG163" s="818"/>
      <c r="AXH163" s="818"/>
      <c r="AXI163" s="818"/>
      <c r="AXJ163" s="818"/>
      <c r="AXK163" s="818"/>
      <c r="AXL163" s="818"/>
      <c r="AXM163" s="818"/>
      <c r="AXN163" s="818"/>
      <c r="AXO163" s="818"/>
      <c r="AXP163" s="818"/>
      <c r="AXQ163" s="818"/>
      <c r="AXR163" s="818"/>
      <c r="AXS163" s="818"/>
      <c r="AXT163" s="818"/>
      <c r="AXU163" s="818"/>
      <c r="AXV163" s="818"/>
      <c r="AXW163" s="818"/>
      <c r="AXX163" s="818"/>
      <c r="AXY163" s="818"/>
      <c r="AXZ163" s="818"/>
      <c r="AYA163" s="818"/>
      <c r="AYB163" s="818"/>
      <c r="AYC163" s="818"/>
      <c r="AYD163" s="818"/>
      <c r="AYE163" s="818"/>
      <c r="AYF163" s="818"/>
      <c r="AYG163" s="818"/>
      <c r="AYH163" s="818"/>
      <c r="AYI163" s="818"/>
      <c r="AYJ163" s="818"/>
      <c r="AYK163" s="818"/>
      <c r="AYL163" s="818"/>
      <c r="AYM163" s="818"/>
      <c r="AYN163" s="818"/>
      <c r="AYO163" s="818"/>
      <c r="AYP163" s="818"/>
      <c r="AYQ163" s="818"/>
    </row>
    <row r="164" spans="1283:1343" x14ac:dyDescent="0.2">
      <c r="AWI164" s="818"/>
      <c r="AWJ164" s="818"/>
      <c r="AWK164" s="818"/>
      <c r="AWL164" s="818"/>
      <c r="AWM164" s="818"/>
      <c r="AWN164" s="818"/>
      <c r="AWO164" s="818"/>
      <c r="AWP164" s="818"/>
      <c r="AWQ164" s="818"/>
      <c r="AWR164" s="818"/>
      <c r="AWS164" s="818"/>
      <c r="AWT164" s="818"/>
      <c r="AWU164" s="818"/>
      <c r="AWV164" s="818"/>
      <c r="AWW164" s="818"/>
      <c r="AWX164" s="818"/>
      <c r="AWY164" s="818"/>
      <c r="AWZ164" s="818"/>
      <c r="AXA164" s="818"/>
      <c r="AXB164" s="818"/>
      <c r="AXC164" s="818"/>
      <c r="AXD164" s="818"/>
      <c r="AXE164" s="818"/>
      <c r="AXF164" s="818"/>
      <c r="AXG164" s="818"/>
      <c r="AXH164" s="818"/>
      <c r="AXI164" s="818"/>
      <c r="AXJ164" s="818"/>
      <c r="AXK164" s="818"/>
      <c r="AXL164" s="818"/>
      <c r="AXM164" s="818"/>
      <c r="AXN164" s="818"/>
      <c r="AXO164" s="818"/>
      <c r="AXP164" s="818"/>
      <c r="AXQ164" s="818"/>
      <c r="AXR164" s="818"/>
      <c r="AXS164" s="818"/>
      <c r="AXT164" s="818"/>
      <c r="AXU164" s="818"/>
      <c r="AXV164" s="818"/>
      <c r="AXW164" s="818"/>
      <c r="AXX164" s="818"/>
      <c r="AXY164" s="818"/>
      <c r="AXZ164" s="818"/>
      <c r="AYA164" s="818"/>
      <c r="AYB164" s="818"/>
      <c r="AYC164" s="818"/>
      <c r="AYD164" s="818"/>
      <c r="AYE164" s="818"/>
      <c r="AYF164" s="818"/>
      <c r="AYG164" s="818"/>
      <c r="AYH164" s="818"/>
      <c r="AYI164" s="818"/>
      <c r="AYJ164" s="818"/>
      <c r="AYK164" s="818"/>
      <c r="AYL164" s="818"/>
      <c r="AYM164" s="818"/>
      <c r="AYN164" s="818"/>
      <c r="AYO164" s="818"/>
      <c r="AYP164" s="818"/>
      <c r="AYQ164" s="818"/>
    </row>
    <row r="165" spans="1283:1343" x14ac:dyDescent="0.2">
      <c r="AWI165" s="818"/>
      <c r="AWJ165" s="818"/>
      <c r="AWK165" s="818"/>
      <c r="AWL165" s="818"/>
      <c r="AWM165" s="818"/>
      <c r="AWN165" s="818"/>
      <c r="AWO165" s="818"/>
      <c r="AWP165" s="818"/>
      <c r="AWQ165" s="818"/>
      <c r="AWR165" s="818"/>
      <c r="AWS165" s="818"/>
      <c r="AWT165" s="818"/>
      <c r="AWU165" s="818"/>
      <c r="AWV165" s="818"/>
      <c r="AWW165" s="818"/>
      <c r="AWX165" s="818"/>
      <c r="AWY165" s="818"/>
      <c r="AWZ165" s="818"/>
      <c r="AXA165" s="818"/>
      <c r="AXB165" s="818"/>
      <c r="AXC165" s="818"/>
      <c r="AXD165" s="818"/>
      <c r="AXE165" s="818"/>
      <c r="AXF165" s="818"/>
      <c r="AXG165" s="818"/>
      <c r="AXH165" s="818"/>
      <c r="AXI165" s="818"/>
      <c r="AXJ165" s="818"/>
      <c r="AXK165" s="818"/>
      <c r="AXL165" s="818"/>
      <c r="AXM165" s="818"/>
      <c r="AXN165" s="818"/>
      <c r="AXO165" s="818"/>
      <c r="AXP165" s="818"/>
      <c r="AXQ165" s="818"/>
      <c r="AXR165" s="818"/>
      <c r="AXS165" s="818"/>
      <c r="AXT165" s="818"/>
      <c r="AXU165" s="818"/>
      <c r="AXV165" s="818"/>
      <c r="AXW165" s="818"/>
      <c r="AXX165" s="818"/>
      <c r="AXY165" s="818"/>
      <c r="AXZ165" s="818"/>
      <c r="AYA165" s="818"/>
      <c r="AYB165" s="818"/>
      <c r="AYC165" s="818"/>
      <c r="AYD165" s="818"/>
      <c r="AYE165" s="818"/>
      <c r="AYF165" s="818"/>
      <c r="AYG165" s="818"/>
      <c r="AYH165" s="818"/>
      <c r="AYI165" s="818"/>
      <c r="AYJ165" s="818"/>
      <c r="AYK165" s="818"/>
      <c r="AYL165" s="818"/>
      <c r="AYM165" s="818"/>
      <c r="AYN165" s="818"/>
      <c r="AYO165" s="818"/>
      <c r="AYP165" s="818"/>
      <c r="AYQ165" s="818"/>
    </row>
    <row r="166" spans="1283:1343" x14ac:dyDescent="0.2">
      <c r="AWI166" s="818"/>
      <c r="AWJ166" s="818"/>
      <c r="AWK166" s="818"/>
      <c r="AWL166" s="818"/>
      <c r="AWM166" s="818"/>
      <c r="AWN166" s="818"/>
      <c r="AWO166" s="818"/>
      <c r="AWP166" s="818"/>
      <c r="AWQ166" s="818"/>
      <c r="AWR166" s="818"/>
      <c r="AWS166" s="818"/>
      <c r="AWT166" s="818"/>
      <c r="AWU166" s="818"/>
      <c r="AWV166" s="818"/>
      <c r="AWW166" s="818"/>
      <c r="AWX166" s="818"/>
      <c r="AWY166" s="818"/>
      <c r="AWZ166" s="818"/>
      <c r="AXA166" s="818"/>
      <c r="AXB166" s="818"/>
      <c r="AXC166" s="818"/>
      <c r="AXD166" s="818"/>
      <c r="AXE166" s="818"/>
      <c r="AXF166" s="818"/>
      <c r="AXG166" s="818"/>
      <c r="AXH166" s="818"/>
      <c r="AXI166" s="818"/>
      <c r="AXJ166" s="818"/>
      <c r="AXK166" s="818"/>
      <c r="AXL166" s="818"/>
      <c r="AXM166" s="818"/>
      <c r="AXN166" s="818"/>
      <c r="AXO166" s="818"/>
      <c r="AXP166" s="818"/>
      <c r="AXQ166" s="818"/>
      <c r="AXR166" s="818"/>
      <c r="AXS166" s="818"/>
      <c r="AXT166" s="818"/>
      <c r="AXU166" s="818"/>
      <c r="AXV166" s="818"/>
      <c r="AXW166" s="818"/>
      <c r="AXX166" s="818"/>
      <c r="AXY166" s="818"/>
      <c r="AXZ166" s="818"/>
      <c r="AYA166" s="818"/>
      <c r="AYB166" s="818"/>
      <c r="AYC166" s="818"/>
      <c r="AYD166" s="818"/>
      <c r="AYE166" s="818"/>
      <c r="AYF166" s="818"/>
      <c r="AYG166" s="818"/>
      <c r="AYH166" s="818"/>
      <c r="AYI166" s="818"/>
      <c r="AYJ166" s="818"/>
      <c r="AYK166" s="818"/>
      <c r="AYL166" s="818"/>
      <c r="AYM166" s="818"/>
      <c r="AYN166" s="818"/>
      <c r="AYO166" s="818"/>
      <c r="AYP166" s="818"/>
      <c r="AYQ166" s="818"/>
    </row>
    <row r="167" spans="1283:1343" x14ac:dyDescent="0.2">
      <c r="AWI167" s="818"/>
      <c r="AWJ167" s="818"/>
      <c r="AWK167" s="818"/>
      <c r="AWL167" s="818"/>
      <c r="AWM167" s="818"/>
      <c r="AWN167" s="818"/>
      <c r="AWO167" s="818"/>
      <c r="AWP167" s="818"/>
      <c r="AWQ167" s="818"/>
      <c r="AWR167" s="818"/>
      <c r="AWS167" s="818"/>
      <c r="AWT167" s="818"/>
      <c r="AWU167" s="818"/>
      <c r="AWV167" s="818"/>
      <c r="AWW167" s="818"/>
      <c r="AWX167" s="818"/>
      <c r="AWY167" s="818"/>
      <c r="AWZ167" s="818"/>
      <c r="AXA167" s="818"/>
      <c r="AXB167" s="818"/>
      <c r="AXC167" s="818"/>
      <c r="AXD167" s="818"/>
      <c r="AXE167" s="818"/>
      <c r="AXF167" s="818"/>
      <c r="AXG167" s="818"/>
      <c r="AXH167" s="818"/>
      <c r="AXI167" s="818"/>
      <c r="AXJ167" s="818"/>
      <c r="AXK167" s="818"/>
      <c r="AXL167" s="818"/>
      <c r="AXM167" s="818"/>
      <c r="AXN167" s="818"/>
      <c r="AXO167" s="818"/>
      <c r="AXP167" s="818"/>
      <c r="AXQ167" s="818"/>
      <c r="AXR167" s="818"/>
      <c r="AXS167" s="818"/>
      <c r="AXT167" s="818"/>
      <c r="AXU167" s="818"/>
      <c r="AXV167" s="818"/>
      <c r="AXW167" s="818"/>
      <c r="AXX167" s="818"/>
      <c r="AXY167" s="818"/>
      <c r="AXZ167" s="818"/>
      <c r="AYA167" s="818"/>
      <c r="AYB167" s="818"/>
      <c r="AYC167" s="818"/>
      <c r="AYD167" s="818"/>
      <c r="AYE167" s="818"/>
      <c r="AYF167" s="818"/>
      <c r="AYG167" s="818"/>
      <c r="AYH167" s="818"/>
      <c r="AYI167" s="818"/>
      <c r="AYJ167" s="818"/>
      <c r="AYK167" s="818"/>
      <c r="AYL167" s="818"/>
      <c r="AYM167" s="818"/>
      <c r="AYN167" s="818"/>
      <c r="AYO167" s="818"/>
      <c r="AYP167" s="818"/>
      <c r="AYQ167" s="818"/>
    </row>
    <row r="168" spans="1283:1343" x14ac:dyDescent="0.2">
      <c r="AWI168" s="818"/>
      <c r="AWJ168" s="818"/>
      <c r="AWK168" s="818"/>
      <c r="AWL168" s="818"/>
      <c r="AWM168" s="818"/>
      <c r="AWN168" s="818"/>
      <c r="AWO168" s="818"/>
      <c r="AWP168" s="818"/>
      <c r="AWQ168" s="818"/>
      <c r="AWR168" s="818"/>
      <c r="AWS168" s="818"/>
      <c r="AWT168" s="818"/>
      <c r="AWU168" s="818"/>
      <c r="AWV168" s="818"/>
      <c r="AWW168" s="818"/>
      <c r="AWX168" s="818"/>
      <c r="AWY168" s="818"/>
      <c r="AWZ168" s="818"/>
      <c r="AXA168" s="818"/>
      <c r="AXB168" s="818"/>
      <c r="AXC168" s="818"/>
      <c r="AXD168" s="818"/>
      <c r="AXE168" s="818"/>
      <c r="AXF168" s="818"/>
      <c r="AXG168" s="818"/>
      <c r="AXH168" s="818"/>
      <c r="AXI168" s="818"/>
      <c r="AXJ168" s="818"/>
      <c r="AXK168" s="818"/>
      <c r="AXL168" s="818"/>
      <c r="AXM168" s="818"/>
      <c r="AXN168" s="818"/>
      <c r="AXO168" s="818"/>
      <c r="AXP168" s="818"/>
      <c r="AXQ168" s="818"/>
      <c r="AXR168" s="818"/>
      <c r="AXS168" s="818"/>
      <c r="AXT168" s="818"/>
      <c r="AXU168" s="818"/>
      <c r="AXV168" s="818"/>
      <c r="AXW168" s="818"/>
      <c r="AXX168" s="818"/>
      <c r="AXY168" s="818"/>
      <c r="AXZ168" s="818"/>
      <c r="AYA168" s="818"/>
      <c r="AYB168" s="818"/>
      <c r="AYC168" s="818"/>
      <c r="AYD168" s="818"/>
      <c r="AYE168" s="818"/>
      <c r="AYF168" s="818"/>
      <c r="AYG168" s="818"/>
      <c r="AYH168" s="818"/>
      <c r="AYI168" s="818"/>
      <c r="AYJ168" s="818"/>
      <c r="AYK168" s="818"/>
      <c r="AYL168" s="818"/>
      <c r="AYM168" s="818"/>
      <c r="AYN168" s="818"/>
      <c r="AYO168" s="818"/>
      <c r="AYP168" s="818"/>
      <c r="AYQ168" s="818"/>
    </row>
    <row r="169" spans="1283:1343" x14ac:dyDescent="0.2">
      <c r="AWI169" s="818"/>
      <c r="AWJ169" s="818"/>
      <c r="AWK169" s="818"/>
      <c r="AWL169" s="818"/>
      <c r="AWM169" s="818"/>
      <c r="AWN169" s="818"/>
      <c r="AWO169" s="818"/>
      <c r="AWP169" s="818"/>
      <c r="AWQ169" s="818"/>
      <c r="AWR169" s="818"/>
      <c r="AWS169" s="818"/>
      <c r="AWT169" s="818"/>
      <c r="AWU169" s="818"/>
      <c r="AWV169" s="818"/>
      <c r="AWW169" s="818"/>
      <c r="AWX169" s="818"/>
      <c r="AWY169" s="818"/>
      <c r="AWZ169" s="818"/>
      <c r="AXA169" s="818"/>
      <c r="AXB169" s="818"/>
      <c r="AXC169" s="818"/>
      <c r="AXD169" s="818"/>
      <c r="AXE169" s="818"/>
      <c r="AXF169" s="818"/>
      <c r="AXG169" s="818"/>
      <c r="AXH169" s="818"/>
      <c r="AXI169" s="818"/>
      <c r="AXJ169" s="818"/>
      <c r="AXK169" s="818"/>
      <c r="AXL169" s="818"/>
      <c r="AXM169" s="818"/>
      <c r="AXN169" s="818"/>
      <c r="AXO169" s="818"/>
      <c r="AXP169" s="818"/>
      <c r="AXQ169" s="818"/>
      <c r="AXR169" s="818"/>
      <c r="AXS169" s="818"/>
      <c r="AXT169" s="818"/>
      <c r="AXU169" s="818"/>
      <c r="AXV169" s="818"/>
      <c r="AXW169" s="818"/>
      <c r="AXX169" s="818"/>
      <c r="AXY169" s="818"/>
      <c r="AXZ169" s="818"/>
      <c r="AYA169" s="818"/>
      <c r="AYB169" s="818"/>
      <c r="AYC169" s="818"/>
      <c r="AYD169" s="818"/>
      <c r="AYE169" s="818"/>
      <c r="AYF169" s="818"/>
      <c r="AYG169" s="818"/>
      <c r="AYH169" s="818"/>
      <c r="AYI169" s="818"/>
      <c r="AYJ169" s="818"/>
      <c r="AYK169" s="818"/>
      <c r="AYL169" s="818"/>
      <c r="AYM169" s="818"/>
      <c r="AYN169" s="818"/>
      <c r="AYO169" s="818"/>
      <c r="AYP169" s="818"/>
      <c r="AYQ169" s="818"/>
    </row>
    <row r="170" spans="1283:1343" x14ac:dyDescent="0.2">
      <c r="AWI170" s="818"/>
      <c r="AWJ170" s="818"/>
      <c r="AWK170" s="818"/>
      <c r="AWL170" s="818"/>
      <c r="AWM170" s="818"/>
      <c r="AWN170" s="818"/>
      <c r="AWO170" s="818"/>
      <c r="AWP170" s="818"/>
      <c r="AWQ170" s="818"/>
      <c r="AWR170" s="818"/>
      <c r="AWS170" s="818"/>
      <c r="AWT170" s="818"/>
      <c r="AWU170" s="818"/>
      <c r="AWV170" s="818"/>
      <c r="AWW170" s="818"/>
      <c r="AWX170" s="818"/>
      <c r="AWY170" s="818"/>
      <c r="AWZ170" s="818"/>
      <c r="AXA170" s="818"/>
      <c r="AXB170" s="818"/>
      <c r="AXC170" s="818"/>
      <c r="AXD170" s="818"/>
      <c r="AXE170" s="818"/>
      <c r="AXF170" s="818"/>
      <c r="AXG170" s="818"/>
      <c r="AXH170" s="818"/>
      <c r="AXI170" s="818"/>
      <c r="AXJ170" s="818"/>
      <c r="AXK170" s="818"/>
      <c r="AXL170" s="818"/>
      <c r="AXM170" s="818"/>
      <c r="AXN170" s="818"/>
      <c r="AXO170" s="818"/>
      <c r="AXP170" s="818"/>
      <c r="AXQ170" s="818"/>
      <c r="AXR170" s="818"/>
      <c r="AXS170" s="818"/>
      <c r="AXT170" s="818"/>
      <c r="AXU170" s="818"/>
      <c r="AXV170" s="818"/>
      <c r="AXW170" s="818"/>
      <c r="AXX170" s="818"/>
      <c r="AXY170" s="818"/>
      <c r="AXZ170" s="818"/>
      <c r="AYA170" s="818"/>
      <c r="AYB170" s="818"/>
      <c r="AYC170" s="818"/>
      <c r="AYD170" s="818"/>
      <c r="AYE170" s="818"/>
      <c r="AYF170" s="818"/>
      <c r="AYG170" s="818"/>
      <c r="AYH170" s="818"/>
      <c r="AYI170" s="818"/>
      <c r="AYJ170" s="818"/>
      <c r="AYK170" s="818"/>
      <c r="AYL170" s="818"/>
      <c r="AYM170" s="818"/>
      <c r="AYN170" s="818"/>
      <c r="AYO170" s="818"/>
      <c r="AYP170" s="818"/>
      <c r="AYQ170" s="818"/>
    </row>
    <row r="171" spans="1283:1343" x14ac:dyDescent="0.2">
      <c r="AWI171" s="818"/>
      <c r="AWJ171" s="818"/>
      <c r="AWK171" s="818"/>
      <c r="AWL171" s="818"/>
      <c r="AWM171" s="818"/>
      <c r="AWN171" s="818"/>
      <c r="AWO171" s="818"/>
      <c r="AWP171" s="818"/>
      <c r="AWQ171" s="818"/>
      <c r="AWR171" s="818"/>
      <c r="AWS171" s="818"/>
      <c r="AWT171" s="818"/>
      <c r="AWU171" s="818"/>
      <c r="AWV171" s="818"/>
      <c r="AWW171" s="818"/>
      <c r="AWX171" s="818"/>
      <c r="AWY171" s="818"/>
      <c r="AWZ171" s="818"/>
      <c r="AXA171" s="818"/>
      <c r="AXB171" s="818"/>
      <c r="AXC171" s="818"/>
      <c r="AXD171" s="818"/>
      <c r="AXE171" s="818"/>
      <c r="AXF171" s="818"/>
      <c r="AXG171" s="818"/>
      <c r="AXH171" s="818"/>
      <c r="AXI171" s="818"/>
      <c r="AXJ171" s="818"/>
      <c r="AXK171" s="818"/>
      <c r="AXL171" s="818"/>
      <c r="AXM171" s="818"/>
      <c r="AXN171" s="818"/>
      <c r="AXO171" s="818"/>
      <c r="AXP171" s="818"/>
      <c r="AXQ171" s="818"/>
      <c r="AXR171" s="818"/>
      <c r="AXS171" s="818"/>
      <c r="AXT171" s="818"/>
      <c r="AXU171" s="818"/>
      <c r="AXV171" s="818"/>
      <c r="AXW171" s="818"/>
      <c r="AXX171" s="818"/>
      <c r="AXY171" s="818"/>
      <c r="AXZ171" s="818"/>
      <c r="AYA171" s="818"/>
      <c r="AYB171" s="818"/>
      <c r="AYC171" s="818"/>
      <c r="AYD171" s="818"/>
      <c r="AYE171" s="818"/>
      <c r="AYF171" s="818"/>
      <c r="AYG171" s="818"/>
      <c r="AYH171" s="818"/>
      <c r="AYI171" s="818"/>
      <c r="AYJ171" s="818"/>
      <c r="AYK171" s="818"/>
      <c r="AYL171" s="818"/>
      <c r="AYM171" s="818"/>
      <c r="AYN171" s="818"/>
      <c r="AYO171" s="818"/>
      <c r="AYP171" s="818"/>
      <c r="AYQ171" s="818"/>
    </row>
    <row r="172" spans="1283:1343" x14ac:dyDescent="0.2">
      <c r="AWI172" s="818"/>
      <c r="AWJ172" s="818"/>
      <c r="AWK172" s="818"/>
      <c r="AWL172" s="818"/>
      <c r="AWM172" s="818"/>
      <c r="AWN172" s="818"/>
      <c r="AWO172" s="818"/>
      <c r="AWP172" s="818"/>
      <c r="AWQ172" s="818"/>
      <c r="AWR172" s="818"/>
      <c r="AWS172" s="818"/>
      <c r="AWT172" s="818"/>
      <c r="AWU172" s="818"/>
      <c r="AWV172" s="818"/>
      <c r="AWW172" s="818"/>
      <c r="AWX172" s="818"/>
      <c r="AWY172" s="818"/>
      <c r="AWZ172" s="818"/>
      <c r="AXA172" s="818"/>
      <c r="AXB172" s="818"/>
      <c r="AXC172" s="818"/>
      <c r="AXD172" s="818"/>
      <c r="AXE172" s="818"/>
      <c r="AXF172" s="818"/>
      <c r="AXG172" s="818"/>
      <c r="AXH172" s="818"/>
      <c r="AXI172" s="818"/>
      <c r="AXJ172" s="818"/>
      <c r="AXK172" s="818"/>
      <c r="AXL172" s="818"/>
      <c r="AXM172" s="818"/>
      <c r="AXN172" s="818"/>
      <c r="AXO172" s="818"/>
      <c r="AXP172" s="818"/>
      <c r="AXQ172" s="818"/>
      <c r="AXR172" s="818"/>
      <c r="AXS172" s="818"/>
      <c r="AXT172" s="818"/>
      <c r="AXU172" s="818"/>
      <c r="AXV172" s="818"/>
      <c r="AXW172" s="818"/>
      <c r="AXX172" s="818"/>
      <c r="AXY172" s="818"/>
      <c r="AXZ172" s="818"/>
      <c r="AYA172" s="818"/>
      <c r="AYB172" s="818"/>
      <c r="AYC172" s="818"/>
      <c r="AYD172" s="818"/>
      <c r="AYE172" s="818"/>
      <c r="AYF172" s="818"/>
      <c r="AYG172" s="818"/>
      <c r="AYH172" s="818"/>
      <c r="AYI172" s="818"/>
      <c r="AYJ172" s="818"/>
      <c r="AYK172" s="818"/>
      <c r="AYL172" s="818"/>
      <c r="AYM172" s="818"/>
      <c r="AYN172" s="818"/>
      <c r="AYO172" s="818"/>
      <c r="AYP172" s="818"/>
      <c r="AYQ172" s="818"/>
    </row>
    <row r="173" spans="1283:1343" x14ac:dyDescent="0.2">
      <c r="AWI173" s="818"/>
      <c r="AWJ173" s="818"/>
      <c r="AWK173" s="818"/>
      <c r="AWL173" s="818"/>
      <c r="AWM173" s="818"/>
      <c r="AWN173" s="818"/>
      <c r="AWO173" s="818"/>
      <c r="AWP173" s="818"/>
      <c r="AWQ173" s="818"/>
      <c r="AWR173" s="818"/>
      <c r="AWS173" s="818"/>
      <c r="AWT173" s="818"/>
      <c r="AWU173" s="818"/>
      <c r="AWV173" s="818"/>
      <c r="AWW173" s="818"/>
      <c r="AWX173" s="818"/>
      <c r="AWY173" s="818"/>
      <c r="AWZ173" s="818"/>
      <c r="AXA173" s="818"/>
      <c r="AXB173" s="818"/>
      <c r="AXC173" s="818"/>
      <c r="AXD173" s="818"/>
      <c r="AXE173" s="818"/>
      <c r="AXF173" s="818"/>
      <c r="AXG173" s="818"/>
      <c r="AXH173" s="818"/>
      <c r="AXI173" s="818"/>
      <c r="AXJ173" s="818"/>
      <c r="AXK173" s="818"/>
      <c r="AXL173" s="818"/>
      <c r="AXM173" s="818"/>
      <c r="AXN173" s="818"/>
      <c r="AXO173" s="818"/>
      <c r="AXP173" s="818"/>
      <c r="AXQ173" s="818"/>
      <c r="AXR173" s="818"/>
      <c r="AXS173" s="818"/>
      <c r="AXT173" s="818"/>
      <c r="AXU173" s="818"/>
      <c r="AXV173" s="818"/>
      <c r="AXW173" s="818"/>
      <c r="AXX173" s="818"/>
      <c r="AXY173" s="818"/>
      <c r="AXZ173" s="818"/>
      <c r="AYA173" s="818"/>
      <c r="AYB173" s="818"/>
      <c r="AYC173" s="818"/>
      <c r="AYD173" s="818"/>
      <c r="AYE173" s="818"/>
      <c r="AYF173" s="818"/>
      <c r="AYG173" s="818"/>
      <c r="AYH173" s="818"/>
      <c r="AYI173" s="818"/>
      <c r="AYJ173" s="818"/>
      <c r="AYK173" s="818"/>
      <c r="AYL173" s="818"/>
      <c r="AYM173" s="818"/>
      <c r="AYN173" s="818"/>
      <c r="AYO173" s="818"/>
      <c r="AYP173" s="818"/>
      <c r="AYQ173" s="818"/>
    </row>
    <row r="174" spans="1283:1343" x14ac:dyDescent="0.2">
      <c r="AWI174" s="818"/>
      <c r="AWJ174" s="818"/>
      <c r="AWK174" s="818"/>
      <c r="AWL174" s="818"/>
      <c r="AWM174" s="818"/>
      <c r="AWN174" s="818"/>
      <c r="AWO174" s="818"/>
      <c r="AWP174" s="818"/>
      <c r="AWQ174" s="818"/>
      <c r="AWR174" s="818"/>
      <c r="AWS174" s="818"/>
      <c r="AWT174" s="818"/>
      <c r="AWU174" s="818"/>
      <c r="AWV174" s="818"/>
      <c r="AWW174" s="818"/>
      <c r="AWX174" s="818"/>
      <c r="AWY174" s="818"/>
      <c r="AWZ174" s="818"/>
      <c r="AXA174" s="818"/>
      <c r="AXB174" s="818"/>
      <c r="AXC174" s="818"/>
      <c r="AXD174" s="818"/>
      <c r="AXE174" s="818"/>
      <c r="AXF174" s="818"/>
      <c r="AXG174" s="818"/>
      <c r="AXH174" s="818"/>
      <c r="AXI174" s="818"/>
      <c r="AXJ174" s="818"/>
      <c r="AXK174" s="818"/>
      <c r="AXL174" s="818"/>
      <c r="AXM174" s="818"/>
      <c r="AXN174" s="818"/>
      <c r="AXO174" s="818"/>
      <c r="AXP174" s="818"/>
      <c r="AXQ174" s="818"/>
      <c r="AXR174" s="818"/>
      <c r="AXS174" s="818"/>
      <c r="AXT174" s="818"/>
      <c r="AXU174" s="818"/>
      <c r="AXV174" s="818"/>
      <c r="AXW174" s="818"/>
      <c r="AXX174" s="818"/>
      <c r="AXY174" s="818"/>
      <c r="AXZ174" s="818"/>
      <c r="AYA174" s="818"/>
      <c r="AYB174" s="818"/>
      <c r="AYC174" s="818"/>
      <c r="AYD174" s="818"/>
      <c r="AYE174" s="818"/>
      <c r="AYF174" s="818"/>
      <c r="AYG174" s="818"/>
      <c r="AYH174" s="818"/>
      <c r="AYI174" s="818"/>
      <c r="AYJ174" s="818"/>
      <c r="AYK174" s="818"/>
      <c r="AYL174" s="818"/>
      <c r="AYM174" s="818"/>
      <c r="AYN174" s="818"/>
      <c r="AYO174" s="818"/>
      <c r="AYP174" s="818"/>
      <c r="AYQ174" s="818"/>
    </row>
    <row r="175" spans="1283:1343" x14ac:dyDescent="0.2">
      <c r="AWI175" s="818"/>
      <c r="AWJ175" s="818"/>
      <c r="AWK175" s="818"/>
      <c r="AWL175" s="818"/>
      <c r="AWM175" s="818"/>
      <c r="AWN175" s="818"/>
      <c r="AWO175" s="818"/>
      <c r="AWP175" s="818"/>
      <c r="AWQ175" s="818"/>
      <c r="AWR175" s="818"/>
      <c r="AWS175" s="818"/>
      <c r="AWT175" s="818"/>
      <c r="AWU175" s="818"/>
      <c r="AWV175" s="818"/>
      <c r="AWW175" s="818"/>
      <c r="AWX175" s="818"/>
      <c r="AWY175" s="818"/>
      <c r="AWZ175" s="818"/>
      <c r="AXA175" s="818"/>
      <c r="AXB175" s="818"/>
      <c r="AXC175" s="818"/>
      <c r="AXD175" s="818"/>
      <c r="AXE175" s="818"/>
      <c r="AXF175" s="818"/>
      <c r="AXG175" s="818"/>
      <c r="AXH175" s="818"/>
      <c r="AXI175" s="818"/>
      <c r="AXJ175" s="818"/>
      <c r="AXK175" s="818"/>
      <c r="AXL175" s="818"/>
      <c r="AXM175" s="818"/>
      <c r="AXN175" s="818"/>
      <c r="AXO175" s="818"/>
      <c r="AXP175" s="818"/>
      <c r="AXQ175" s="818"/>
      <c r="AXR175" s="818"/>
      <c r="AXS175" s="818"/>
      <c r="AXT175" s="818"/>
      <c r="AXU175" s="818"/>
      <c r="AXV175" s="818"/>
      <c r="AXW175" s="818"/>
      <c r="AXX175" s="818"/>
      <c r="AXY175" s="818"/>
      <c r="AXZ175" s="818"/>
      <c r="AYA175" s="818"/>
      <c r="AYB175" s="818"/>
      <c r="AYC175" s="818"/>
      <c r="AYD175" s="818"/>
      <c r="AYE175" s="818"/>
      <c r="AYF175" s="818"/>
      <c r="AYG175" s="818"/>
      <c r="AYH175" s="818"/>
      <c r="AYI175" s="818"/>
      <c r="AYJ175" s="818"/>
      <c r="AYK175" s="818"/>
      <c r="AYL175" s="818"/>
      <c r="AYM175" s="818"/>
      <c r="AYN175" s="818"/>
      <c r="AYO175" s="818"/>
      <c r="AYP175" s="818"/>
      <c r="AYQ175" s="818"/>
    </row>
    <row r="176" spans="1283:1343" x14ac:dyDescent="0.2">
      <c r="AWI176" s="818"/>
      <c r="AWJ176" s="818"/>
      <c r="AWK176" s="818"/>
      <c r="AWL176" s="818"/>
      <c r="AWM176" s="818"/>
      <c r="AWN176" s="818"/>
      <c r="AWO176" s="818"/>
      <c r="AWP176" s="818"/>
      <c r="AWQ176" s="818"/>
      <c r="AWR176" s="818"/>
      <c r="AWS176" s="818"/>
      <c r="AWT176" s="818"/>
      <c r="AWU176" s="818"/>
      <c r="AWV176" s="818"/>
      <c r="AWW176" s="818"/>
      <c r="AWX176" s="818"/>
      <c r="AWY176" s="818"/>
      <c r="AWZ176" s="818"/>
      <c r="AXA176" s="818"/>
      <c r="AXB176" s="818"/>
      <c r="AXC176" s="818"/>
      <c r="AXD176" s="818"/>
      <c r="AXE176" s="818"/>
      <c r="AXF176" s="818"/>
      <c r="AXG176" s="818"/>
      <c r="AXH176" s="818"/>
      <c r="AXI176" s="818"/>
      <c r="AXJ176" s="818"/>
      <c r="AXK176" s="818"/>
      <c r="AXL176" s="818"/>
      <c r="AXM176" s="818"/>
      <c r="AXN176" s="818"/>
      <c r="AXO176" s="818"/>
      <c r="AXP176" s="818"/>
      <c r="AXQ176" s="818"/>
      <c r="AXR176" s="818"/>
      <c r="AXS176" s="818"/>
      <c r="AXT176" s="818"/>
      <c r="AXU176" s="818"/>
      <c r="AXV176" s="818"/>
      <c r="AXW176" s="818"/>
      <c r="AXX176" s="818"/>
      <c r="AXY176" s="818"/>
      <c r="AXZ176" s="818"/>
      <c r="AYA176" s="818"/>
      <c r="AYB176" s="818"/>
      <c r="AYC176" s="818"/>
      <c r="AYD176" s="818"/>
      <c r="AYE176" s="818"/>
      <c r="AYF176" s="818"/>
      <c r="AYG176" s="818"/>
      <c r="AYH176" s="818"/>
      <c r="AYI176" s="818"/>
      <c r="AYJ176" s="818"/>
      <c r="AYK176" s="818"/>
      <c r="AYL176" s="818"/>
      <c r="AYM176" s="818"/>
      <c r="AYN176" s="818"/>
      <c r="AYO176" s="818"/>
      <c r="AYP176" s="818"/>
      <c r="AYQ176" s="818"/>
    </row>
    <row r="177" spans="1283:1343" x14ac:dyDescent="0.2">
      <c r="AWI177" s="818"/>
      <c r="AWJ177" s="818"/>
      <c r="AWK177" s="818"/>
      <c r="AWL177" s="818"/>
      <c r="AWM177" s="818"/>
      <c r="AWN177" s="818"/>
      <c r="AWO177" s="818"/>
      <c r="AWP177" s="818"/>
      <c r="AWQ177" s="818"/>
      <c r="AWR177" s="818"/>
      <c r="AWS177" s="818"/>
      <c r="AWT177" s="818"/>
      <c r="AWU177" s="818"/>
      <c r="AWV177" s="818"/>
      <c r="AWW177" s="818"/>
      <c r="AWX177" s="818"/>
      <c r="AWY177" s="818"/>
      <c r="AWZ177" s="818"/>
      <c r="AXA177" s="818"/>
      <c r="AXB177" s="818"/>
      <c r="AXC177" s="818"/>
      <c r="AXD177" s="818"/>
      <c r="AXE177" s="818"/>
      <c r="AXF177" s="818"/>
      <c r="AXG177" s="818"/>
      <c r="AXH177" s="818"/>
      <c r="AXI177" s="818"/>
      <c r="AXJ177" s="818"/>
      <c r="AXK177" s="818"/>
      <c r="AXL177" s="818"/>
      <c r="AXM177" s="818"/>
      <c r="AXN177" s="818"/>
      <c r="AXO177" s="818"/>
      <c r="AXP177" s="818"/>
      <c r="AXQ177" s="818"/>
      <c r="AXR177" s="818"/>
      <c r="AXS177" s="818"/>
      <c r="AXT177" s="818"/>
      <c r="AXU177" s="818"/>
      <c r="AXV177" s="818"/>
      <c r="AXW177" s="818"/>
      <c r="AXX177" s="818"/>
      <c r="AXY177" s="818"/>
      <c r="AXZ177" s="818"/>
      <c r="AYA177" s="818"/>
      <c r="AYB177" s="818"/>
      <c r="AYC177" s="818"/>
      <c r="AYD177" s="818"/>
      <c r="AYE177" s="818"/>
      <c r="AYF177" s="818"/>
      <c r="AYG177" s="818"/>
      <c r="AYH177" s="818"/>
      <c r="AYI177" s="818"/>
      <c r="AYJ177" s="818"/>
      <c r="AYK177" s="818"/>
      <c r="AYL177" s="818"/>
      <c r="AYM177" s="818"/>
      <c r="AYN177" s="818"/>
      <c r="AYO177" s="818"/>
      <c r="AYP177" s="818"/>
      <c r="AYQ177" s="818"/>
    </row>
    <row r="178" spans="1283:1343" x14ac:dyDescent="0.2">
      <c r="AWI178" s="818"/>
      <c r="AWJ178" s="818"/>
      <c r="AWK178" s="818"/>
      <c r="AWL178" s="818"/>
      <c r="AWM178" s="818"/>
      <c r="AWN178" s="818"/>
      <c r="AWO178" s="818"/>
      <c r="AWP178" s="818"/>
      <c r="AWQ178" s="818"/>
      <c r="AWR178" s="818"/>
      <c r="AWS178" s="818"/>
      <c r="AWT178" s="818"/>
      <c r="AWU178" s="818"/>
      <c r="AWV178" s="818"/>
      <c r="AWW178" s="818"/>
      <c r="AWX178" s="818"/>
      <c r="AWY178" s="818"/>
      <c r="AWZ178" s="818"/>
      <c r="AXA178" s="818"/>
      <c r="AXB178" s="818"/>
      <c r="AXC178" s="818"/>
      <c r="AXD178" s="818"/>
      <c r="AXE178" s="818"/>
      <c r="AXF178" s="818"/>
      <c r="AXG178" s="818"/>
      <c r="AXH178" s="818"/>
      <c r="AXI178" s="818"/>
      <c r="AXJ178" s="818"/>
      <c r="AXK178" s="818"/>
      <c r="AXL178" s="818"/>
      <c r="AXM178" s="818"/>
      <c r="AXN178" s="818"/>
      <c r="AXO178" s="818"/>
      <c r="AXP178" s="818"/>
      <c r="AXQ178" s="818"/>
      <c r="AXR178" s="818"/>
      <c r="AXS178" s="818"/>
      <c r="AXT178" s="818"/>
      <c r="AXU178" s="818"/>
      <c r="AXV178" s="818"/>
      <c r="AXW178" s="818"/>
      <c r="AXX178" s="818"/>
      <c r="AXY178" s="818"/>
      <c r="AXZ178" s="818"/>
      <c r="AYA178" s="818"/>
      <c r="AYB178" s="818"/>
      <c r="AYC178" s="818"/>
      <c r="AYD178" s="818"/>
      <c r="AYE178" s="818"/>
      <c r="AYF178" s="818"/>
      <c r="AYG178" s="818"/>
      <c r="AYH178" s="818"/>
      <c r="AYI178" s="818"/>
      <c r="AYJ178" s="818"/>
      <c r="AYK178" s="818"/>
      <c r="AYL178" s="818"/>
      <c r="AYM178" s="818"/>
      <c r="AYN178" s="818"/>
      <c r="AYO178" s="818"/>
      <c r="AYP178" s="818"/>
      <c r="AYQ178" s="818"/>
    </row>
    <row r="179" spans="1283:1343" x14ac:dyDescent="0.2">
      <c r="AWI179" s="818"/>
      <c r="AWJ179" s="818"/>
      <c r="AWK179" s="818"/>
      <c r="AWL179" s="818"/>
      <c r="AWM179" s="818"/>
      <c r="AWN179" s="818"/>
      <c r="AWO179" s="818"/>
      <c r="AWP179" s="818"/>
      <c r="AWQ179" s="818"/>
      <c r="AWR179" s="818"/>
      <c r="AWS179" s="818"/>
      <c r="AWT179" s="818"/>
      <c r="AWU179" s="818"/>
      <c r="AWV179" s="818"/>
      <c r="AWW179" s="818"/>
      <c r="AWX179" s="818"/>
      <c r="AWY179" s="818"/>
      <c r="AWZ179" s="818"/>
      <c r="AXA179" s="818"/>
      <c r="AXB179" s="818"/>
      <c r="AXC179" s="818"/>
      <c r="AXD179" s="818"/>
      <c r="AXE179" s="818"/>
      <c r="AXF179" s="818"/>
      <c r="AXG179" s="818"/>
      <c r="AXH179" s="818"/>
      <c r="AXI179" s="818"/>
      <c r="AXJ179" s="818"/>
      <c r="AXK179" s="818"/>
      <c r="AXL179" s="818"/>
      <c r="AXM179" s="818"/>
      <c r="AXN179" s="818"/>
      <c r="AXO179" s="818"/>
      <c r="AXP179" s="818"/>
      <c r="AXQ179" s="818"/>
      <c r="AXR179" s="818"/>
      <c r="AXS179" s="818"/>
      <c r="AXT179" s="818"/>
      <c r="AXU179" s="818"/>
      <c r="AXV179" s="818"/>
      <c r="AXW179" s="818"/>
      <c r="AXX179" s="818"/>
      <c r="AXY179" s="818"/>
      <c r="AXZ179" s="818"/>
      <c r="AYA179" s="818"/>
      <c r="AYB179" s="818"/>
      <c r="AYC179" s="818"/>
      <c r="AYD179" s="818"/>
      <c r="AYE179" s="818"/>
      <c r="AYF179" s="818"/>
      <c r="AYG179" s="818"/>
      <c r="AYH179" s="818"/>
      <c r="AYI179" s="818"/>
      <c r="AYJ179" s="818"/>
      <c r="AYK179" s="818"/>
      <c r="AYL179" s="818"/>
      <c r="AYM179" s="818"/>
      <c r="AYN179" s="818"/>
      <c r="AYO179" s="818"/>
      <c r="AYP179" s="818"/>
      <c r="AYQ179" s="818"/>
    </row>
    <row r="180" spans="1283:1343" x14ac:dyDescent="0.2">
      <c r="AWI180" s="818"/>
      <c r="AWJ180" s="818"/>
      <c r="AWK180" s="818"/>
      <c r="AWL180" s="818"/>
      <c r="AWM180" s="818"/>
      <c r="AWN180" s="818"/>
      <c r="AWO180" s="818"/>
      <c r="AWP180" s="818"/>
      <c r="AWQ180" s="818"/>
      <c r="AWR180" s="818"/>
      <c r="AWS180" s="818"/>
      <c r="AWT180" s="818"/>
      <c r="AWU180" s="818"/>
      <c r="AWV180" s="818"/>
      <c r="AWW180" s="818"/>
      <c r="AWX180" s="818"/>
      <c r="AWY180" s="818"/>
      <c r="AWZ180" s="818"/>
      <c r="AXA180" s="818"/>
      <c r="AXB180" s="818"/>
      <c r="AXC180" s="818"/>
      <c r="AXD180" s="818"/>
      <c r="AXE180" s="818"/>
      <c r="AXF180" s="818"/>
      <c r="AXG180" s="818"/>
      <c r="AXH180" s="818"/>
      <c r="AXI180" s="818"/>
      <c r="AXJ180" s="818"/>
      <c r="AXK180" s="818"/>
      <c r="AXL180" s="818"/>
      <c r="AXM180" s="818"/>
      <c r="AXN180" s="818"/>
      <c r="AXO180" s="818"/>
      <c r="AXP180" s="818"/>
      <c r="AXQ180" s="818"/>
      <c r="AXR180" s="818"/>
      <c r="AXS180" s="818"/>
      <c r="AXT180" s="818"/>
      <c r="AXU180" s="818"/>
      <c r="AXV180" s="818"/>
      <c r="AXW180" s="818"/>
      <c r="AXX180" s="818"/>
      <c r="AXY180" s="818"/>
      <c r="AXZ180" s="818"/>
      <c r="AYA180" s="818"/>
      <c r="AYB180" s="818"/>
      <c r="AYC180" s="818"/>
      <c r="AYD180" s="818"/>
      <c r="AYE180" s="818"/>
      <c r="AYF180" s="818"/>
      <c r="AYG180" s="818"/>
      <c r="AYH180" s="818"/>
      <c r="AYI180" s="818"/>
      <c r="AYJ180" s="818"/>
      <c r="AYK180" s="818"/>
      <c r="AYL180" s="818"/>
      <c r="AYM180" s="818"/>
      <c r="AYN180" s="818"/>
      <c r="AYO180" s="818"/>
      <c r="AYP180" s="818"/>
      <c r="AYQ180" s="818"/>
    </row>
    <row r="181" spans="1283:1343" x14ac:dyDescent="0.2">
      <c r="AWI181" s="818"/>
      <c r="AWJ181" s="818"/>
      <c r="AWK181" s="818"/>
      <c r="AWL181" s="818"/>
      <c r="AWM181" s="818"/>
      <c r="AWN181" s="818"/>
      <c r="AWO181" s="818"/>
      <c r="AWP181" s="818"/>
      <c r="AWQ181" s="818"/>
      <c r="AWR181" s="818"/>
      <c r="AWS181" s="818"/>
      <c r="AWT181" s="818"/>
      <c r="AWU181" s="818"/>
      <c r="AWV181" s="818"/>
      <c r="AWW181" s="818"/>
      <c r="AWX181" s="818"/>
      <c r="AWY181" s="818"/>
      <c r="AWZ181" s="818"/>
      <c r="AXA181" s="818"/>
      <c r="AXB181" s="818"/>
      <c r="AXC181" s="818"/>
      <c r="AXD181" s="818"/>
      <c r="AXE181" s="818"/>
      <c r="AXF181" s="818"/>
      <c r="AXG181" s="818"/>
      <c r="AXH181" s="818"/>
      <c r="AXI181" s="818"/>
      <c r="AXJ181" s="818"/>
      <c r="AXK181" s="818"/>
      <c r="AXL181" s="818"/>
      <c r="AXM181" s="818"/>
      <c r="AXN181" s="818"/>
      <c r="AXO181" s="818"/>
      <c r="AXP181" s="818"/>
      <c r="AXQ181" s="818"/>
      <c r="AXR181" s="818"/>
      <c r="AXS181" s="818"/>
      <c r="AXT181" s="818"/>
      <c r="AXU181" s="818"/>
      <c r="AXV181" s="818"/>
      <c r="AXW181" s="818"/>
      <c r="AXX181" s="818"/>
      <c r="AXY181" s="818"/>
      <c r="AXZ181" s="818"/>
      <c r="AYA181" s="818"/>
      <c r="AYB181" s="818"/>
      <c r="AYC181" s="818"/>
      <c r="AYD181" s="818"/>
      <c r="AYE181" s="818"/>
      <c r="AYF181" s="818"/>
      <c r="AYG181" s="818"/>
      <c r="AYH181" s="818"/>
      <c r="AYI181" s="818"/>
      <c r="AYJ181" s="818"/>
      <c r="AYK181" s="818"/>
      <c r="AYL181" s="818"/>
      <c r="AYM181" s="818"/>
      <c r="AYN181" s="818"/>
      <c r="AYO181" s="818"/>
      <c r="AYP181" s="818"/>
      <c r="AYQ181" s="818"/>
    </row>
    <row r="182" spans="1283:1343" x14ac:dyDescent="0.2">
      <c r="AWI182" s="818"/>
      <c r="AWJ182" s="818"/>
      <c r="AWK182" s="818"/>
      <c r="AWL182" s="818"/>
      <c r="AWM182" s="818"/>
      <c r="AWN182" s="818"/>
      <c r="AWO182" s="818"/>
      <c r="AWP182" s="818"/>
      <c r="AWQ182" s="818"/>
      <c r="AWR182" s="818"/>
      <c r="AWS182" s="818"/>
      <c r="AWT182" s="818"/>
      <c r="AWU182" s="818"/>
      <c r="AWV182" s="818"/>
      <c r="AWW182" s="818"/>
      <c r="AWX182" s="818"/>
      <c r="AWY182" s="818"/>
      <c r="AWZ182" s="818"/>
      <c r="AXA182" s="818"/>
      <c r="AXB182" s="818"/>
      <c r="AXC182" s="818"/>
      <c r="AXD182" s="818"/>
      <c r="AXE182" s="818"/>
      <c r="AXF182" s="818"/>
      <c r="AXG182" s="818"/>
      <c r="AXH182" s="818"/>
      <c r="AXI182" s="818"/>
      <c r="AXJ182" s="818"/>
      <c r="AXK182" s="818"/>
      <c r="AXL182" s="818"/>
      <c r="AXM182" s="818"/>
      <c r="AXN182" s="818"/>
      <c r="AXO182" s="818"/>
      <c r="AXP182" s="818"/>
      <c r="AXQ182" s="818"/>
      <c r="AXR182" s="818"/>
      <c r="AXS182" s="818"/>
      <c r="AXT182" s="818"/>
      <c r="AXU182" s="818"/>
      <c r="AXV182" s="818"/>
      <c r="AXW182" s="818"/>
      <c r="AXX182" s="818"/>
      <c r="AXY182" s="818"/>
      <c r="AXZ182" s="818"/>
      <c r="AYA182" s="818"/>
      <c r="AYB182" s="818"/>
      <c r="AYC182" s="818"/>
      <c r="AYD182" s="818"/>
      <c r="AYE182" s="818"/>
      <c r="AYF182" s="818"/>
      <c r="AYG182" s="818"/>
      <c r="AYH182" s="818"/>
      <c r="AYI182" s="818"/>
      <c r="AYJ182" s="818"/>
      <c r="AYK182" s="818"/>
      <c r="AYL182" s="818"/>
      <c r="AYM182" s="818"/>
      <c r="AYN182" s="818"/>
      <c r="AYO182" s="818"/>
      <c r="AYP182" s="818"/>
      <c r="AYQ182" s="818"/>
    </row>
    <row r="183" spans="1283:1343" x14ac:dyDescent="0.2">
      <c r="AWI183" s="818"/>
      <c r="AWJ183" s="818"/>
      <c r="AWK183" s="818"/>
      <c r="AWL183" s="818"/>
      <c r="AWM183" s="818"/>
      <c r="AWN183" s="818"/>
      <c r="AWO183" s="818"/>
      <c r="AWP183" s="818"/>
      <c r="AWQ183" s="818"/>
      <c r="AWR183" s="818"/>
      <c r="AWS183" s="818"/>
      <c r="AWT183" s="818"/>
      <c r="AWU183" s="818"/>
      <c r="AWV183" s="818"/>
      <c r="AWW183" s="818"/>
      <c r="AWX183" s="818"/>
      <c r="AWY183" s="818"/>
      <c r="AWZ183" s="818"/>
      <c r="AXA183" s="818"/>
      <c r="AXB183" s="818"/>
      <c r="AXC183" s="818"/>
      <c r="AXD183" s="818"/>
      <c r="AXE183" s="818"/>
      <c r="AXF183" s="818"/>
      <c r="AXG183" s="818"/>
      <c r="AXH183" s="818"/>
      <c r="AXI183" s="818"/>
      <c r="AXJ183" s="818"/>
      <c r="AXK183" s="818"/>
      <c r="AXL183" s="818"/>
      <c r="AXM183" s="818"/>
      <c r="AXN183" s="818"/>
      <c r="AXO183" s="818"/>
      <c r="AXP183" s="818"/>
      <c r="AXQ183" s="818"/>
      <c r="AXR183" s="818"/>
      <c r="AXS183" s="818"/>
      <c r="AXT183" s="818"/>
      <c r="AXU183" s="818"/>
      <c r="AXV183" s="818"/>
      <c r="AXW183" s="818"/>
      <c r="AXX183" s="818"/>
      <c r="AXY183" s="818"/>
      <c r="AXZ183" s="818"/>
      <c r="AYA183" s="818"/>
      <c r="AYB183" s="818"/>
      <c r="AYC183" s="818"/>
      <c r="AYD183" s="818"/>
      <c r="AYE183" s="818"/>
      <c r="AYF183" s="818"/>
      <c r="AYG183" s="818"/>
      <c r="AYH183" s="818"/>
      <c r="AYI183" s="818"/>
      <c r="AYJ183" s="818"/>
      <c r="AYK183" s="818"/>
      <c r="AYL183" s="818"/>
      <c r="AYM183" s="818"/>
      <c r="AYN183" s="818"/>
      <c r="AYO183" s="818"/>
      <c r="AYP183" s="818"/>
      <c r="AYQ183" s="818"/>
    </row>
    <row r="184" spans="1283:1343" x14ac:dyDescent="0.2">
      <c r="AWI184" s="818"/>
      <c r="AWJ184" s="818"/>
      <c r="AWK184" s="818"/>
      <c r="AWL184" s="818"/>
      <c r="AWM184" s="818"/>
      <c r="AWN184" s="818"/>
      <c r="AWO184" s="818"/>
      <c r="AWP184" s="818"/>
      <c r="AWQ184" s="818"/>
      <c r="AWR184" s="818"/>
      <c r="AWS184" s="818"/>
      <c r="AWT184" s="818"/>
      <c r="AWU184" s="818"/>
      <c r="AWV184" s="818"/>
      <c r="AWW184" s="818"/>
      <c r="AWX184" s="818"/>
      <c r="AWY184" s="818"/>
      <c r="AWZ184" s="818"/>
      <c r="AXA184" s="818"/>
      <c r="AXB184" s="818"/>
      <c r="AXC184" s="818"/>
      <c r="AXD184" s="818"/>
      <c r="AXE184" s="818"/>
      <c r="AXF184" s="818"/>
      <c r="AXG184" s="818"/>
      <c r="AXH184" s="818"/>
      <c r="AXI184" s="818"/>
      <c r="AXJ184" s="818"/>
      <c r="AXK184" s="818"/>
      <c r="AXL184" s="818"/>
      <c r="AXM184" s="818"/>
      <c r="AXN184" s="818"/>
      <c r="AXO184" s="818"/>
      <c r="AXP184" s="818"/>
      <c r="AXQ184" s="818"/>
      <c r="AXR184" s="818"/>
      <c r="AXS184" s="818"/>
      <c r="AXT184" s="818"/>
      <c r="AXU184" s="818"/>
      <c r="AXV184" s="818"/>
      <c r="AXW184" s="818"/>
      <c r="AXX184" s="818"/>
      <c r="AXY184" s="818"/>
      <c r="AXZ184" s="818"/>
      <c r="AYA184" s="818"/>
      <c r="AYB184" s="818"/>
      <c r="AYC184" s="818"/>
      <c r="AYD184" s="818"/>
      <c r="AYE184" s="818"/>
      <c r="AYF184" s="818"/>
      <c r="AYG184" s="818"/>
      <c r="AYH184" s="818"/>
      <c r="AYI184" s="818"/>
      <c r="AYJ184" s="818"/>
      <c r="AYK184" s="818"/>
      <c r="AYL184" s="818"/>
      <c r="AYM184" s="818"/>
      <c r="AYN184" s="818"/>
      <c r="AYO184" s="818"/>
      <c r="AYP184" s="818"/>
      <c r="AYQ184" s="818"/>
    </row>
    <row r="185" spans="1283:1343" x14ac:dyDescent="0.2">
      <c r="AWI185" s="818"/>
      <c r="AWJ185" s="818"/>
      <c r="AWK185" s="818"/>
      <c r="AWL185" s="818"/>
      <c r="AWM185" s="818"/>
      <c r="AWN185" s="818"/>
      <c r="AWO185" s="818"/>
      <c r="AWP185" s="818"/>
      <c r="AWQ185" s="818"/>
      <c r="AWR185" s="818"/>
      <c r="AWS185" s="818"/>
      <c r="AWT185" s="818"/>
      <c r="AWU185" s="818"/>
      <c r="AWV185" s="818"/>
      <c r="AWW185" s="818"/>
      <c r="AWX185" s="818"/>
      <c r="AWY185" s="818"/>
      <c r="AWZ185" s="818"/>
      <c r="AXA185" s="818"/>
      <c r="AXB185" s="818"/>
      <c r="AXC185" s="818"/>
      <c r="AXD185" s="818"/>
      <c r="AXE185" s="818"/>
      <c r="AXF185" s="818"/>
      <c r="AXG185" s="818"/>
      <c r="AXH185" s="818"/>
      <c r="AXI185" s="818"/>
      <c r="AXJ185" s="818"/>
      <c r="AXK185" s="818"/>
      <c r="AXL185" s="818"/>
      <c r="AXM185" s="818"/>
      <c r="AXN185" s="818"/>
      <c r="AXO185" s="818"/>
      <c r="AXP185" s="818"/>
      <c r="AXQ185" s="818"/>
      <c r="AXR185" s="818"/>
      <c r="AXS185" s="818"/>
      <c r="AXT185" s="818"/>
      <c r="AXU185" s="818"/>
      <c r="AXV185" s="818"/>
      <c r="AXW185" s="818"/>
      <c r="AXX185" s="818"/>
      <c r="AXY185" s="818"/>
      <c r="AXZ185" s="818"/>
      <c r="AYA185" s="818"/>
      <c r="AYB185" s="818"/>
      <c r="AYC185" s="818"/>
      <c r="AYD185" s="818"/>
      <c r="AYE185" s="818"/>
      <c r="AYF185" s="818"/>
      <c r="AYG185" s="818"/>
      <c r="AYH185" s="818"/>
      <c r="AYI185" s="818"/>
      <c r="AYJ185" s="818"/>
      <c r="AYK185" s="818"/>
      <c r="AYL185" s="818"/>
      <c r="AYM185" s="818"/>
      <c r="AYN185" s="818"/>
      <c r="AYO185" s="818"/>
      <c r="AYP185" s="818"/>
      <c r="AYQ185" s="818"/>
    </row>
    <row r="186" spans="1283:1343" x14ac:dyDescent="0.2">
      <c r="AWI186" s="818"/>
      <c r="AWJ186" s="818"/>
      <c r="AWK186" s="818"/>
      <c r="AWL186" s="818"/>
      <c r="AWM186" s="818"/>
      <c r="AWN186" s="818"/>
      <c r="AWO186" s="818"/>
      <c r="AWP186" s="818"/>
      <c r="AWQ186" s="818"/>
      <c r="AWR186" s="818"/>
      <c r="AWS186" s="818"/>
      <c r="AWT186" s="818"/>
      <c r="AWU186" s="818"/>
      <c r="AWV186" s="818"/>
      <c r="AWW186" s="818"/>
      <c r="AWX186" s="818"/>
      <c r="AWY186" s="818"/>
      <c r="AWZ186" s="818"/>
      <c r="AXA186" s="818"/>
      <c r="AXB186" s="818"/>
      <c r="AXC186" s="818"/>
      <c r="AXD186" s="818"/>
      <c r="AXE186" s="818"/>
      <c r="AXF186" s="818"/>
      <c r="AXG186" s="818"/>
      <c r="AXH186" s="818"/>
      <c r="AXI186" s="818"/>
      <c r="AXJ186" s="818"/>
      <c r="AXK186" s="818"/>
      <c r="AXL186" s="818"/>
      <c r="AXM186" s="818"/>
      <c r="AXN186" s="818"/>
      <c r="AXO186" s="818"/>
      <c r="AXP186" s="818"/>
      <c r="AXQ186" s="818"/>
      <c r="AXR186" s="818"/>
      <c r="AXS186" s="818"/>
      <c r="AXT186" s="818"/>
      <c r="AXU186" s="818"/>
      <c r="AXV186" s="818"/>
      <c r="AXW186" s="818"/>
      <c r="AXX186" s="818"/>
      <c r="AXY186" s="818"/>
      <c r="AXZ186" s="818"/>
      <c r="AYA186" s="818"/>
      <c r="AYB186" s="818"/>
      <c r="AYC186" s="818"/>
      <c r="AYD186" s="818"/>
      <c r="AYE186" s="818"/>
      <c r="AYF186" s="818"/>
      <c r="AYG186" s="818"/>
      <c r="AYH186" s="818"/>
      <c r="AYI186" s="818"/>
      <c r="AYJ186" s="818"/>
      <c r="AYK186" s="818"/>
      <c r="AYL186" s="818"/>
      <c r="AYM186" s="818"/>
      <c r="AYN186" s="818"/>
      <c r="AYO186" s="818"/>
      <c r="AYP186" s="818"/>
      <c r="AYQ186" s="818"/>
    </row>
    <row r="187" spans="1283:1343" x14ac:dyDescent="0.2">
      <c r="AWI187" s="818"/>
      <c r="AWJ187" s="818"/>
      <c r="AWK187" s="818"/>
      <c r="AWL187" s="818"/>
      <c r="AWM187" s="818"/>
      <c r="AWN187" s="818"/>
      <c r="AWO187" s="818"/>
      <c r="AWP187" s="818"/>
      <c r="AWQ187" s="818"/>
      <c r="AWR187" s="818"/>
      <c r="AWS187" s="818"/>
      <c r="AWT187" s="818"/>
      <c r="AWU187" s="818"/>
      <c r="AWV187" s="818"/>
      <c r="AWW187" s="818"/>
      <c r="AWX187" s="818"/>
      <c r="AWY187" s="818"/>
      <c r="AWZ187" s="818"/>
      <c r="AXA187" s="818"/>
      <c r="AXB187" s="818"/>
      <c r="AXC187" s="818"/>
      <c r="AXD187" s="818"/>
      <c r="AXE187" s="818"/>
      <c r="AXF187" s="818"/>
      <c r="AXG187" s="818"/>
      <c r="AXH187" s="818"/>
      <c r="AXI187" s="818"/>
      <c r="AXJ187" s="818"/>
      <c r="AXK187" s="818"/>
      <c r="AXL187" s="818"/>
      <c r="AXM187" s="818"/>
      <c r="AXN187" s="818"/>
      <c r="AXO187" s="818"/>
      <c r="AXP187" s="818"/>
      <c r="AXQ187" s="818"/>
      <c r="AXR187" s="818"/>
      <c r="AXS187" s="818"/>
      <c r="AXT187" s="818"/>
      <c r="AXU187" s="818"/>
      <c r="AXV187" s="818"/>
      <c r="AXW187" s="818"/>
      <c r="AXX187" s="818"/>
      <c r="AXY187" s="818"/>
      <c r="AXZ187" s="818"/>
      <c r="AYA187" s="818"/>
      <c r="AYB187" s="818"/>
      <c r="AYC187" s="818"/>
      <c r="AYD187" s="818"/>
      <c r="AYE187" s="818"/>
      <c r="AYF187" s="818"/>
      <c r="AYG187" s="818"/>
      <c r="AYH187" s="818"/>
      <c r="AYI187" s="818"/>
      <c r="AYJ187" s="818"/>
      <c r="AYK187" s="818"/>
      <c r="AYL187" s="818"/>
      <c r="AYM187" s="818"/>
      <c r="AYN187" s="818"/>
      <c r="AYO187" s="818"/>
      <c r="AYP187" s="818"/>
      <c r="AYQ187" s="818"/>
    </row>
    <row r="188" spans="1283:1343" x14ac:dyDescent="0.2">
      <c r="AWI188" s="818"/>
      <c r="AWJ188" s="818"/>
      <c r="AWK188" s="818"/>
      <c r="AWL188" s="818"/>
      <c r="AWM188" s="818"/>
      <c r="AWN188" s="818"/>
      <c r="AWO188" s="818"/>
      <c r="AWP188" s="818"/>
      <c r="AWQ188" s="818"/>
      <c r="AWR188" s="818"/>
      <c r="AWS188" s="818"/>
      <c r="AWT188" s="818"/>
      <c r="AWU188" s="818"/>
      <c r="AWV188" s="818"/>
      <c r="AWW188" s="818"/>
      <c r="AWX188" s="818"/>
      <c r="AWY188" s="818"/>
      <c r="AWZ188" s="818"/>
      <c r="AXA188" s="818"/>
      <c r="AXB188" s="818"/>
      <c r="AXC188" s="818"/>
      <c r="AXD188" s="818"/>
      <c r="AXE188" s="818"/>
      <c r="AXF188" s="818"/>
      <c r="AXG188" s="818"/>
      <c r="AXH188" s="818"/>
      <c r="AXI188" s="818"/>
      <c r="AXJ188" s="818"/>
      <c r="AXK188" s="818"/>
      <c r="AXL188" s="818"/>
      <c r="AXM188" s="818"/>
      <c r="AXN188" s="818"/>
      <c r="AXO188" s="818"/>
      <c r="AXP188" s="818"/>
      <c r="AXQ188" s="818"/>
      <c r="AXR188" s="818"/>
      <c r="AXS188" s="818"/>
      <c r="AXT188" s="818"/>
      <c r="AXU188" s="818"/>
      <c r="AXV188" s="818"/>
      <c r="AXW188" s="818"/>
      <c r="AXX188" s="818"/>
      <c r="AXY188" s="818"/>
      <c r="AXZ188" s="818"/>
      <c r="AYA188" s="818"/>
      <c r="AYB188" s="818"/>
      <c r="AYC188" s="818"/>
      <c r="AYD188" s="818"/>
      <c r="AYE188" s="818"/>
      <c r="AYF188" s="818"/>
      <c r="AYG188" s="818"/>
      <c r="AYH188" s="818"/>
      <c r="AYI188" s="818"/>
      <c r="AYJ188" s="818"/>
      <c r="AYK188" s="818"/>
      <c r="AYL188" s="818"/>
      <c r="AYM188" s="818"/>
      <c r="AYN188" s="818"/>
      <c r="AYO188" s="818"/>
      <c r="AYP188" s="818"/>
      <c r="AYQ188" s="818"/>
    </row>
    <row r="189" spans="1283:1343" x14ac:dyDescent="0.2">
      <c r="AWI189" s="818"/>
      <c r="AWJ189" s="818"/>
      <c r="AWK189" s="818"/>
      <c r="AWL189" s="818"/>
      <c r="AWM189" s="818"/>
      <c r="AWN189" s="818"/>
      <c r="AWO189" s="818"/>
      <c r="AWP189" s="818"/>
      <c r="AWQ189" s="818"/>
      <c r="AWR189" s="818"/>
      <c r="AWS189" s="818"/>
      <c r="AWT189" s="818"/>
      <c r="AWU189" s="818"/>
      <c r="AWV189" s="818"/>
      <c r="AWW189" s="818"/>
      <c r="AWX189" s="818"/>
      <c r="AWY189" s="818"/>
      <c r="AWZ189" s="818"/>
      <c r="AXA189" s="818"/>
      <c r="AXB189" s="818"/>
      <c r="AXC189" s="818"/>
      <c r="AXD189" s="818"/>
      <c r="AXE189" s="818"/>
      <c r="AXF189" s="818"/>
      <c r="AXG189" s="818"/>
      <c r="AXH189" s="818"/>
      <c r="AXI189" s="818"/>
      <c r="AXJ189" s="818"/>
      <c r="AXK189" s="818"/>
      <c r="AXL189" s="818"/>
      <c r="AXM189" s="818"/>
      <c r="AXN189" s="818"/>
      <c r="AXO189" s="818"/>
      <c r="AXP189" s="818"/>
      <c r="AXQ189" s="818"/>
      <c r="AXR189" s="818"/>
      <c r="AXS189" s="818"/>
      <c r="AXT189" s="818"/>
      <c r="AXU189" s="818"/>
      <c r="AXV189" s="818"/>
      <c r="AXW189" s="818"/>
      <c r="AXX189" s="818"/>
      <c r="AXY189" s="818"/>
      <c r="AXZ189" s="818"/>
      <c r="AYA189" s="818"/>
      <c r="AYB189" s="818"/>
      <c r="AYC189" s="818"/>
      <c r="AYD189" s="818"/>
      <c r="AYE189" s="818"/>
      <c r="AYF189" s="818"/>
      <c r="AYG189" s="818"/>
      <c r="AYH189" s="818"/>
      <c r="AYI189" s="818"/>
      <c r="AYJ189" s="818"/>
      <c r="AYK189" s="818"/>
      <c r="AYL189" s="818"/>
      <c r="AYM189" s="818"/>
      <c r="AYN189" s="818"/>
      <c r="AYO189" s="818"/>
      <c r="AYP189" s="818"/>
      <c r="AYQ189" s="818"/>
    </row>
    <row r="190" spans="1283:1343" x14ac:dyDescent="0.2">
      <c r="AWI190" s="818"/>
      <c r="AWJ190" s="818"/>
      <c r="AWK190" s="818"/>
      <c r="AWL190" s="818"/>
      <c r="AWM190" s="818"/>
      <c r="AWN190" s="818"/>
      <c r="AWO190" s="818"/>
      <c r="AWP190" s="818"/>
      <c r="AWQ190" s="818"/>
      <c r="AWR190" s="818"/>
      <c r="AWS190" s="818"/>
      <c r="AWT190" s="818"/>
      <c r="AWU190" s="818"/>
      <c r="AWV190" s="818"/>
      <c r="AWW190" s="818"/>
      <c r="AWX190" s="818"/>
      <c r="AWY190" s="818"/>
      <c r="AWZ190" s="818"/>
      <c r="AXA190" s="818"/>
      <c r="AXB190" s="818"/>
      <c r="AXC190" s="818"/>
      <c r="AXD190" s="818"/>
      <c r="AXE190" s="818"/>
      <c r="AXF190" s="818"/>
      <c r="AXG190" s="818"/>
      <c r="AXH190" s="818"/>
      <c r="AXI190" s="818"/>
      <c r="AXJ190" s="818"/>
      <c r="AXK190" s="818"/>
      <c r="AXL190" s="818"/>
      <c r="AXM190" s="818"/>
      <c r="AXN190" s="818"/>
      <c r="AXO190" s="818"/>
      <c r="AXP190" s="818"/>
      <c r="AXQ190" s="818"/>
      <c r="AXR190" s="818"/>
      <c r="AXS190" s="818"/>
      <c r="AXT190" s="818"/>
      <c r="AXU190" s="818"/>
      <c r="AXV190" s="818"/>
      <c r="AXW190" s="818"/>
      <c r="AXX190" s="818"/>
      <c r="AXY190" s="818"/>
      <c r="AXZ190" s="818"/>
      <c r="AYA190" s="818"/>
      <c r="AYB190" s="818"/>
      <c r="AYC190" s="818"/>
      <c r="AYD190" s="818"/>
      <c r="AYE190" s="818"/>
      <c r="AYF190" s="818"/>
      <c r="AYG190" s="818"/>
      <c r="AYH190" s="818"/>
      <c r="AYI190" s="818"/>
      <c r="AYJ190" s="818"/>
      <c r="AYK190" s="818"/>
      <c r="AYL190" s="818"/>
      <c r="AYM190" s="818"/>
      <c r="AYN190" s="818"/>
      <c r="AYO190" s="818"/>
      <c r="AYP190" s="818"/>
      <c r="AYQ190" s="818"/>
    </row>
    <row r="191" spans="1283:1343" x14ac:dyDescent="0.2">
      <c r="AWI191" s="818"/>
      <c r="AWJ191" s="818"/>
      <c r="AWK191" s="818"/>
      <c r="AWL191" s="818"/>
      <c r="AWM191" s="818"/>
      <c r="AWN191" s="818"/>
      <c r="AWO191" s="818"/>
      <c r="AWP191" s="818"/>
      <c r="AWQ191" s="818"/>
      <c r="AWR191" s="818"/>
      <c r="AWS191" s="818"/>
      <c r="AWT191" s="818"/>
      <c r="AWU191" s="818"/>
      <c r="AWV191" s="818"/>
      <c r="AWW191" s="818"/>
      <c r="AWX191" s="818"/>
      <c r="AWY191" s="818"/>
      <c r="AWZ191" s="818"/>
      <c r="AXA191" s="818"/>
      <c r="AXB191" s="818"/>
      <c r="AXC191" s="818"/>
      <c r="AXD191" s="818"/>
      <c r="AXE191" s="818"/>
      <c r="AXF191" s="818"/>
      <c r="AXG191" s="818"/>
      <c r="AXH191" s="818"/>
      <c r="AXI191" s="818"/>
      <c r="AXJ191" s="818"/>
      <c r="AXK191" s="818"/>
      <c r="AXL191" s="818"/>
      <c r="AXM191" s="818"/>
      <c r="AXN191" s="818"/>
      <c r="AXO191" s="818"/>
      <c r="AXP191" s="818"/>
      <c r="AXQ191" s="818"/>
      <c r="AXR191" s="818"/>
      <c r="AXS191" s="818"/>
      <c r="AXT191" s="818"/>
      <c r="AXU191" s="818"/>
      <c r="AXV191" s="818"/>
      <c r="AXW191" s="818"/>
      <c r="AXX191" s="818"/>
      <c r="AXY191" s="818"/>
      <c r="AXZ191" s="818"/>
      <c r="AYA191" s="818"/>
      <c r="AYB191" s="818"/>
      <c r="AYC191" s="818"/>
      <c r="AYD191" s="818"/>
      <c r="AYE191" s="818"/>
      <c r="AYF191" s="818"/>
      <c r="AYG191" s="818"/>
      <c r="AYH191" s="818"/>
      <c r="AYI191" s="818"/>
      <c r="AYJ191" s="818"/>
      <c r="AYK191" s="818"/>
      <c r="AYL191" s="818"/>
      <c r="AYM191" s="818"/>
      <c r="AYN191" s="818"/>
      <c r="AYO191" s="818"/>
      <c r="AYP191" s="818"/>
      <c r="AYQ191" s="818"/>
    </row>
  </sheetData>
  <mergeCells count="136">
    <mergeCell ref="ALG4:ALK4"/>
    <mergeCell ref="AMA4:AMD4"/>
    <mergeCell ref="YZ1:ZC1"/>
    <mergeCell ref="AEY4:AFC4"/>
    <mergeCell ref="ADM4:ADZ4"/>
    <mergeCell ref="AEA4:AEC4"/>
    <mergeCell ref="BDB4:BDP4"/>
    <mergeCell ref="AIR4:AIS4"/>
    <mergeCell ref="YD4:ZC4"/>
    <mergeCell ref="ACD4:ADL4"/>
    <mergeCell ref="AHN1:AHO1"/>
    <mergeCell ref="AGP4:AGS4"/>
    <mergeCell ref="AGH4:AGO4"/>
    <mergeCell ref="AIK4:AIL4"/>
    <mergeCell ref="AHC4:AIE4"/>
    <mergeCell ref="AIH4:AIJ4"/>
    <mergeCell ref="ANJ4:ANP4"/>
    <mergeCell ref="AMH4:ANI4"/>
    <mergeCell ref="AJD4:AJE4"/>
    <mergeCell ref="AJZ4:AKD4"/>
    <mergeCell ref="AME4:AMG4"/>
    <mergeCell ref="ALL4:ALM4"/>
    <mergeCell ref="AKE4:ALF4"/>
    <mergeCell ref="AJJ4:AJM4"/>
    <mergeCell ref="H2:N2"/>
    <mergeCell ref="WD4:XG4"/>
    <mergeCell ref="XH4:XT4"/>
    <mergeCell ref="AFS4:AFY4"/>
    <mergeCell ref="YZ2:ZC3"/>
    <mergeCell ref="UL4:UT4"/>
    <mergeCell ref="AIT4:AIW4"/>
    <mergeCell ref="GU4:HI4"/>
    <mergeCell ref="QI4:QR4"/>
    <mergeCell ref="RA4:TQ4"/>
    <mergeCell ref="LP4:MA4"/>
    <mergeCell ref="AT15:AV15"/>
    <mergeCell ref="TR4:TV4"/>
    <mergeCell ref="UG4:UK4"/>
    <mergeCell ref="HZ4:JE4"/>
    <mergeCell ref="EZ4:FD4"/>
    <mergeCell ref="KI4:KO4"/>
    <mergeCell ref="PY4:QG4"/>
    <mergeCell ref="QS4:QZ4"/>
    <mergeCell ref="NP4:OI4"/>
    <mergeCell ref="KR4:KS4"/>
    <mergeCell ref="OJ4:OO4"/>
    <mergeCell ref="OP4:OU4"/>
    <mergeCell ref="TW4:UF4"/>
    <mergeCell ref="PO4:PX4"/>
    <mergeCell ref="OV4:PN4"/>
    <mergeCell ref="MB4:MI4"/>
    <mergeCell ref="MJ4:NO4"/>
    <mergeCell ref="EZ5:GD5"/>
    <mergeCell ref="FE4:GD4"/>
    <mergeCell ref="JN5:KA5"/>
    <mergeCell ref="GE5:GT5"/>
    <mergeCell ref="GU5:HA5"/>
    <mergeCell ref="GE4:GK4"/>
    <mergeCell ref="GL4:GT4"/>
    <mergeCell ref="ALN4:ALZ4"/>
    <mergeCell ref="AIX4:AJC4"/>
    <mergeCell ref="UZ4:WC4"/>
    <mergeCell ref="ZJ4:ZK4"/>
    <mergeCell ref="ZR4:AAC4"/>
    <mergeCell ref="ZM4:ZQ4"/>
    <mergeCell ref="UU4:UY4"/>
    <mergeCell ref="ZF4:ZI4"/>
    <mergeCell ref="AIM4:AIQ4"/>
    <mergeCell ref="AFZ4:AGF4"/>
    <mergeCell ref="AAD4:AAV4"/>
    <mergeCell ref="AFD4:AFK4"/>
    <mergeCell ref="AFN4:AFR4"/>
    <mergeCell ref="AAW4:ABD4"/>
    <mergeCell ref="AEU4:AEX4"/>
    <mergeCell ref="AEJ4:AEO4"/>
    <mergeCell ref="AED4:AEI4"/>
    <mergeCell ref="ABT4:ACC4"/>
    <mergeCell ref="ABL4:ABS4"/>
    <mergeCell ref="AEP4:AET4"/>
    <mergeCell ref="ABE4:ABK4"/>
    <mergeCell ref="XU4:YB4"/>
    <mergeCell ref="AJN4:AJY4"/>
    <mergeCell ref="AJF4:AJH4"/>
    <mergeCell ref="HB5:HH5"/>
    <mergeCell ref="HI5:JM5"/>
    <mergeCell ref="JF4:JK4"/>
    <mergeCell ref="JL4:KH4"/>
    <mergeCell ref="HJ4:HY4"/>
    <mergeCell ref="KB5:KV5"/>
    <mergeCell ref="KP4:KQ4"/>
    <mergeCell ref="KT4:KU4"/>
    <mergeCell ref="LD4:LO4"/>
    <mergeCell ref="KY4:LC4"/>
    <mergeCell ref="KV4:KX4"/>
    <mergeCell ref="ANU4:AOY4"/>
    <mergeCell ref="APG4:APO4"/>
    <mergeCell ref="ANQ4:ANT4"/>
    <mergeCell ref="ARL4:ARZ4"/>
    <mergeCell ref="AQW4:ARA4"/>
    <mergeCell ref="AQL4:AQP4"/>
    <mergeCell ref="AQJ4:AQK4"/>
    <mergeCell ref="AQH4:AQI4"/>
    <mergeCell ref="AQD4:AQE4"/>
    <mergeCell ref="APX4:AQA4"/>
    <mergeCell ref="AQB4:AQC4"/>
    <mergeCell ref="APP4:APW4"/>
    <mergeCell ref="ARB4:ARK4"/>
    <mergeCell ref="APA4:APE4"/>
    <mergeCell ref="AQQ4:AQR4"/>
    <mergeCell ref="ASL4:AWH4"/>
    <mergeCell ref="ASA4:ASK4"/>
    <mergeCell ref="BCU4:BDA4"/>
    <mergeCell ref="BCR4:BCT4"/>
    <mergeCell ref="BCK4:BCQ4"/>
    <mergeCell ref="BCE4:BCJ4"/>
    <mergeCell ref="BBI4:BCD4"/>
    <mergeCell ref="BAS4:BAX4"/>
    <mergeCell ref="BAK4:BAR4"/>
    <mergeCell ref="AXO4:AYL4"/>
    <mergeCell ref="AYM4:AYQ4"/>
    <mergeCell ref="AYR4:AZA4"/>
    <mergeCell ref="AZN4:AZW4"/>
    <mergeCell ref="AZB4:AZM4"/>
    <mergeCell ref="AWI4:AWM4"/>
    <mergeCell ref="AWN4:AWQ4"/>
    <mergeCell ref="AWR4:AWV4"/>
    <mergeCell ref="AWI1:AYY3"/>
    <mergeCell ref="BFC4:BGL4"/>
    <mergeCell ref="BES4:BFB4"/>
    <mergeCell ref="BEI4:BER4"/>
    <mergeCell ref="BDZ4:BEH4"/>
    <mergeCell ref="AZX4:BAJ4"/>
    <mergeCell ref="BBA4:BBH4"/>
    <mergeCell ref="BAY4:BAZ4"/>
    <mergeCell ref="BDQ4:BDY4"/>
    <mergeCell ref="AWW4:AXM4"/>
  </mergeCells>
  <phoneticPr fontId="12"/>
  <pageMargins left="0.25" right="0.25" top="0.75" bottom="0.75" header="0.3" footer="0.3"/>
  <pageSetup paperSize="8" orientation="landscape" r:id="rId1"/>
  <ignoredErrors>
    <ignoredError sqref="AFT13 AFR13 AGC15 AGO13 AIY13 AIU13 AJL15 AJR13 AKH15 AKZ15 ALM15 ALY15 AMD15 AMZ15 ANJ13 BDM15 BDT16 BEL16 BEM13 BEN15:BEN16 BGC13 BGE13" formula="1"/>
  </ignoredErrors>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RowHeight="15" x14ac:dyDescent="0.2"/>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
  <sheetViews>
    <sheetView workbookViewId="0"/>
  </sheetViews>
  <sheetFormatPr defaultRowHeight="15" x14ac:dyDescent="0.2"/>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C6:K20"/>
  <sheetViews>
    <sheetView workbookViewId="0">
      <selection activeCell="G18" sqref="G18"/>
    </sheetView>
  </sheetViews>
  <sheetFormatPr defaultRowHeight="15" x14ac:dyDescent="0.2"/>
  <cols>
    <col min="5" max="5" width="21.1171875" customWidth="1"/>
    <col min="7" max="7" width="13.71875" customWidth="1"/>
    <col min="9" max="9" width="24.078125" customWidth="1"/>
  </cols>
  <sheetData>
    <row r="6" spans="3:9" x14ac:dyDescent="0.2">
      <c r="C6" s="1159" t="s">
        <v>4</v>
      </c>
      <c r="D6" s="1159"/>
      <c r="E6" s="1159"/>
    </row>
    <row r="7" spans="3:9" x14ac:dyDescent="0.2">
      <c r="C7" s="15" t="s">
        <v>5</v>
      </c>
      <c r="D7" s="15" t="s">
        <v>1</v>
      </c>
      <c r="E7" s="15" t="s">
        <v>3</v>
      </c>
    </row>
    <row r="8" spans="3:9" x14ac:dyDescent="0.2">
      <c r="C8" s="1311">
        <v>42317</v>
      </c>
      <c r="D8" s="16">
        <v>0.4861111111111111</v>
      </c>
      <c r="E8" s="17">
        <v>68.2</v>
      </c>
    </row>
    <row r="9" spans="3:9" x14ac:dyDescent="0.2">
      <c r="C9" s="1159"/>
      <c r="D9" s="16">
        <v>0.49305555555555558</v>
      </c>
      <c r="E9" s="17">
        <v>66.7</v>
      </c>
    </row>
    <row r="10" spans="3:9" x14ac:dyDescent="0.2">
      <c r="C10" s="1159"/>
      <c r="D10" s="16">
        <v>0.5</v>
      </c>
      <c r="E10" s="15">
        <v>54.8</v>
      </c>
    </row>
    <row r="11" spans="3:9" x14ac:dyDescent="0.2">
      <c r="C11" s="1159"/>
      <c r="D11" s="16">
        <v>0.54166666666666663</v>
      </c>
      <c r="E11" s="18">
        <v>61</v>
      </c>
      <c r="G11" s="22" t="s">
        <v>5</v>
      </c>
      <c r="H11" s="22" t="s">
        <v>6</v>
      </c>
      <c r="I11" s="22" t="s">
        <v>7</v>
      </c>
    </row>
    <row r="12" spans="3:9" x14ac:dyDescent="0.2">
      <c r="C12" s="1159"/>
      <c r="D12" s="16">
        <v>0.54861111111111105</v>
      </c>
      <c r="E12" s="15">
        <v>46</v>
      </c>
      <c r="G12" s="21">
        <v>42316</v>
      </c>
      <c r="H12" s="15">
        <v>121</v>
      </c>
      <c r="I12" s="15">
        <v>983</v>
      </c>
    </row>
    <row r="13" spans="3:9" x14ac:dyDescent="0.2">
      <c r="C13" s="1159"/>
      <c r="D13" s="16">
        <v>0.55555555555555558</v>
      </c>
      <c r="E13" s="15">
        <v>40</v>
      </c>
      <c r="G13" s="21">
        <v>42317</v>
      </c>
      <c r="H13" s="15">
        <v>117</v>
      </c>
      <c r="I13" s="15">
        <v>1363</v>
      </c>
    </row>
    <row r="14" spans="3:9" x14ac:dyDescent="0.2">
      <c r="C14" s="1159"/>
      <c r="D14" s="16">
        <v>0.59722222222222221</v>
      </c>
      <c r="E14" s="18">
        <v>60</v>
      </c>
      <c r="G14" s="21">
        <v>42318</v>
      </c>
      <c r="H14" s="15">
        <v>132</v>
      </c>
      <c r="I14" s="15">
        <v>1438</v>
      </c>
    </row>
    <row r="15" spans="3:9" x14ac:dyDescent="0.2">
      <c r="C15" s="1159"/>
      <c r="D15" s="16">
        <v>0.60416666666666663</v>
      </c>
      <c r="E15" s="15">
        <v>58</v>
      </c>
      <c r="G15" s="21">
        <v>42319</v>
      </c>
      <c r="H15" s="15">
        <v>162</v>
      </c>
      <c r="I15" s="15">
        <v>1735</v>
      </c>
    </row>
    <row r="16" spans="3:9" x14ac:dyDescent="0.2">
      <c r="C16" s="1159"/>
      <c r="D16" s="16">
        <v>0.61111111111111105</v>
      </c>
      <c r="E16" s="15">
        <v>58</v>
      </c>
      <c r="G16" s="19" t="s">
        <v>47</v>
      </c>
      <c r="H16" s="18">
        <f>SUM(H12:H15)</f>
        <v>532</v>
      </c>
      <c r="I16" s="18">
        <f>SUM(I12:I15)</f>
        <v>5519</v>
      </c>
    </row>
    <row r="17" spans="3:11" x14ac:dyDescent="0.2">
      <c r="C17" s="1159"/>
      <c r="D17" s="19" t="s">
        <v>2</v>
      </c>
      <c r="E17" s="20">
        <f>AVERAGE(E8:E16)</f>
        <v>56.966666666666669</v>
      </c>
    </row>
    <row r="19" spans="3:11" x14ac:dyDescent="0.2">
      <c r="J19" s="14"/>
      <c r="K19" s="14"/>
    </row>
    <row r="20" spans="3:11" x14ac:dyDescent="0.2">
      <c r="I20" s="14"/>
    </row>
  </sheetData>
  <mergeCells count="2">
    <mergeCell ref="C6:E6"/>
    <mergeCell ref="C8:C17"/>
  </mergeCells>
  <phoneticPr fontId="12"/>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G2:V34"/>
  <sheetViews>
    <sheetView workbookViewId="0">
      <selection activeCell="H5" sqref="H5:H34"/>
    </sheetView>
  </sheetViews>
  <sheetFormatPr defaultRowHeight="15" x14ac:dyDescent="0.2"/>
  <cols>
    <col min="8" max="8" width="10.625" bestFit="1" customWidth="1"/>
  </cols>
  <sheetData>
    <row r="2" spans="7:22" x14ac:dyDescent="0.2">
      <c r="H2" s="23">
        <f>'PIT PAD Report -Density 0.8395 '!KG13</f>
        <v>25805.201399999714</v>
      </c>
      <c r="I2" s="23">
        <f>'PIT PAD Report -Density 0.8395 '!KH13</f>
        <v>25052.710599999715</v>
      </c>
      <c r="J2" s="23">
        <f>'PIT PAD Report -Density 0.8395 '!KI13</f>
        <v>25171.917299999714</v>
      </c>
      <c r="K2" s="23">
        <f>'PIT PAD Report -Density 0.8395 '!KJ13</f>
        <v>24807.516499999714</v>
      </c>
      <c r="L2" s="23">
        <f>'PIT PAD Report -Density 0.8395 '!KK13</f>
        <v>23345.740699999711</v>
      </c>
      <c r="M2" s="23">
        <f>'PIT PAD Report -Density 0.8395 '!KL13</f>
        <v>21102.702399999711</v>
      </c>
      <c r="N2" s="23">
        <f>'PIT PAD Report -Density 0.8395 '!KM13</f>
        <v>19764.47159999971</v>
      </c>
      <c r="O2" s="23">
        <f>'PIT PAD Report -Density 0.8395 '!KN13</f>
        <v>18701.448299999709</v>
      </c>
      <c r="P2" s="23">
        <f>'PIT PAD Report -Density 0.8395 '!KO13</f>
        <v>16911.412499999708</v>
      </c>
      <c r="Q2" s="23">
        <f>'PIT PAD Report -Density 0.8395 '!KP13</f>
        <v>15152.036699999708</v>
      </c>
      <c r="R2" s="23">
        <f>'PIT PAD Report -Density 0.8395 '!KQ13</f>
        <v>14661.380899999707</v>
      </c>
      <c r="S2" s="23">
        <f>'PIT PAD Report -Density 0.8395 '!KR13</f>
        <v>11034.365099999706</v>
      </c>
      <c r="T2" s="23">
        <f>'PIT PAD Report -Density 0.8395 '!KS13</f>
        <v>9276.2792999997055</v>
      </c>
      <c r="U2" s="23">
        <f>'PIT PAD Report -Density 0.8395 '!KT13</f>
        <v>7024.095999999704</v>
      </c>
      <c r="V2" s="23">
        <f>'PIT PAD Report -Density 0.8395 '!KU13</f>
        <v>4887.9026999997031</v>
      </c>
    </row>
    <row r="3" spans="7:22" x14ac:dyDescent="0.2">
      <c r="H3">
        <v>25259.387600000009</v>
      </c>
      <c r="I3">
        <v>24499.942600000009</v>
      </c>
      <c r="J3">
        <v>24612.195100000012</v>
      </c>
      <c r="K3">
        <v>24240.840100000009</v>
      </c>
      <c r="L3">
        <v>22772.110100000005</v>
      </c>
      <c r="M3">
        <v>20522.117600000005</v>
      </c>
      <c r="N3">
        <v>19176.932600000007</v>
      </c>
      <c r="O3">
        <v>18106.955100000006</v>
      </c>
      <c r="P3">
        <v>16309.965100000007</v>
      </c>
      <c r="Q3">
        <v>14543.635100000009</v>
      </c>
      <c r="R3">
        <v>14046.025100000008</v>
      </c>
      <c r="S3">
        <v>10412.055100000007</v>
      </c>
      <c r="T3">
        <v>8647.015100000006</v>
      </c>
      <c r="U3">
        <v>6387.8776000000053</v>
      </c>
      <c r="V3">
        <v>4244.7301000000061</v>
      </c>
    </row>
    <row r="5" spans="7:22" x14ac:dyDescent="0.2">
      <c r="G5" s="1174"/>
      <c r="H5" s="1312">
        <v>25259.387600000009</v>
      </c>
    </row>
    <row r="6" spans="7:22" x14ac:dyDescent="0.2">
      <c r="G6" s="1174"/>
      <c r="H6" s="1312"/>
    </row>
    <row r="7" spans="7:22" x14ac:dyDescent="0.2">
      <c r="G7" s="1174"/>
      <c r="H7" s="1312">
        <v>24499.942600000009</v>
      </c>
    </row>
    <row r="8" spans="7:22" x14ac:dyDescent="0.2">
      <c r="G8" s="1174"/>
      <c r="H8" s="1312"/>
    </row>
    <row r="9" spans="7:22" x14ac:dyDescent="0.2">
      <c r="G9" s="1174"/>
      <c r="H9" s="1312">
        <v>24612.195100000012</v>
      </c>
    </row>
    <row r="10" spans="7:22" x14ac:dyDescent="0.2">
      <c r="G10" s="1174"/>
      <c r="H10" s="1312"/>
    </row>
    <row r="11" spans="7:22" x14ac:dyDescent="0.2">
      <c r="G11" s="1174"/>
      <c r="H11" s="1312">
        <v>24240.840100000009</v>
      </c>
    </row>
    <row r="12" spans="7:22" x14ac:dyDescent="0.2">
      <c r="G12" s="1174"/>
      <c r="H12" s="1312"/>
    </row>
    <row r="13" spans="7:22" x14ac:dyDescent="0.2">
      <c r="G13" s="1174"/>
      <c r="H13" s="1312">
        <v>22772.110100000005</v>
      </c>
    </row>
    <row r="14" spans="7:22" x14ac:dyDescent="0.2">
      <c r="G14" s="1174"/>
      <c r="H14" s="1312"/>
    </row>
    <row r="15" spans="7:22" x14ac:dyDescent="0.2">
      <c r="G15" s="1174"/>
      <c r="H15" s="1312">
        <v>20522.117600000005</v>
      </c>
    </row>
    <row r="16" spans="7:22" x14ac:dyDescent="0.2">
      <c r="G16" s="1174"/>
      <c r="H16" s="1312"/>
    </row>
    <row r="17" spans="7:8" x14ac:dyDescent="0.2">
      <c r="G17" s="1174"/>
      <c r="H17" s="1312">
        <v>19176.932600000007</v>
      </c>
    </row>
    <row r="18" spans="7:8" x14ac:dyDescent="0.2">
      <c r="G18" s="1174"/>
      <c r="H18" s="1312"/>
    </row>
    <row r="19" spans="7:8" x14ac:dyDescent="0.2">
      <c r="G19" s="1174"/>
      <c r="H19" s="1312">
        <v>18106.955100000006</v>
      </c>
    </row>
    <row r="20" spans="7:8" x14ac:dyDescent="0.2">
      <c r="G20" s="1174"/>
      <c r="H20" s="1312"/>
    </row>
    <row r="21" spans="7:8" x14ac:dyDescent="0.2">
      <c r="G21" s="1174"/>
      <c r="H21" s="1312">
        <v>16309.965100000007</v>
      </c>
    </row>
    <row r="22" spans="7:8" x14ac:dyDescent="0.2">
      <c r="G22" s="1174"/>
      <c r="H22" s="1312"/>
    </row>
    <row r="23" spans="7:8" x14ac:dyDescent="0.2">
      <c r="G23" s="1174"/>
      <c r="H23" s="1312">
        <v>14543.635100000009</v>
      </c>
    </row>
    <row r="24" spans="7:8" x14ac:dyDescent="0.2">
      <c r="G24" s="1174"/>
      <c r="H24" s="1312"/>
    </row>
    <row r="25" spans="7:8" x14ac:dyDescent="0.2">
      <c r="G25" s="1174"/>
      <c r="H25" s="1312">
        <v>14046.025100000008</v>
      </c>
    </row>
    <row r="26" spans="7:8" x14ac:dyDescent="0.2">
      <c r="G26" s="1174"/>
      <c r="H26" s="1312"/>
    </row>
    <row r="27" spans="7:8" x14ac:dyDescent="0.2">
      <c r="G27" s="1174"/>
      <c r="H27" s="1312">
        <v>10412.055100000007</v>
      </c>
    </row>
    <row r="28" spans="7:8" x14ac:dyDescent="0.2">
      <c r="G28" s="1174"/>
      <c r="H28" s="1312"/>
    </row>
    <row r="29" spans="7:8" x14ac:dyDescent="0.2">
      <c r="G29" s="1174"/>
      <c r="H29" s="1312">
        <v>8647.015100000006</v>
      </c>
    </row>
    <row r="30" spans="7:8" x14ac:dyDescent="0.2">
      <c r="G30" s="1174"/>
      <c r="H30" s="1312"/>
    </row>
    <row r="31" spans="7:8" x14ac:dyDescent="0.2">
      <c r="G31" s="1174"/>
      <c r="H31" s="1312">
        <v>6387.8776000000053</v>
      </c>
    </row>
    <row r="32" spans="7:8" x14ac:dyDescent="0.2">
      <c r="G32" s="1174"/>
      <c r="H32" s="1312"/>
    </row>
    <row r="33" spans="7:8" x14ac:dyDescent="0.2">
      <c r="G33" s="1174"/>
      <c r="H33" s="1312">
        <v>4244.7301000000061</v>
      </c>
    </row>
    <row r="34" spans="7:8" x14ac:dyDescent="0.2">
      <c r="G34" s="1174"/>
      <c r="H34" s="1312"/>
    </row>
  </sheetData>
  <mergeCells count="30">
    <mergeCell ref="H5:H6"/>
    <mergeCell ref="H7:H8"/>
    <mergeCell ref="H9:H10"/>
    <mergeCell ref="H11:H12"/>
    <mergeCell ref="H13:H14"/>
    <mergeCell ref="G15:G16"/>
    <mergeCell ref="G17:G18"/>
    <mergeCell ref="G19:G20"/>
    <mergeCell ref="H17:H18"/>
    <mergeCell ref="H19:H20"/>
    <mergeCell ref="H15:H16"/>
    <mergeCell ref="G5:G6"/>
    <mergeCell ref="G7:G8"/>
    <mergeCell ref="G9:G10"/>
    <mergeCell ref="G11:G12"/>
    <mergeCell ref="G13:G14"/>
    <mergeCell ref="G33:G34"/>
    <mergeCell ref="H33:H34"/>
    <mergeCell ref="G21:G22"/>
    <mergeCell ref="G23:G24"/>
    <mergeCell ref="G25:G26"/>
    <mergeCell ref="G27:G28"/>
    <mergeCell ref="G29:G30"/>
    <mergeCell ref="G31:G32"/>
    <mergeCell ref="H29:H30"/>
    <mergeCell ref="H31:H32"/>
    <mergeCell ref="H21:H22"/>
    <mergeCell ref="H23:H24"/>
    <mergeCell ref="H25:H26"/>
    <mergeCell ref="H27:H28"/>
  </mergeCells>
  <phoneticPr fontId="12"/>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6:Q35"/>
  <sheetViews>
    <sheetView topLeftCell="A10" workbookViewId="0">
      <selection activeCell="B22" sqref="B22:D35"/>
    </sheetView>
  </sheetViews>
  <sheetFormatPr defaultRowHeight="15" x14ac:dyDescent="0.2"/>
  <sheetData>
    <row r="6" spans="2:17" x14ac:dyDescent="0.2">
      <c r="B6">
        <v>1</v>
      </c>
      <c r="E6">
        <v>1</v>
      </c>
      <c r="I6">
        <f>F6-L6</f>
        <v>0</v>
      </c>
      <c r="K6">
        <v>1</v>
      </c>
    </row>
    <row r="7" spans="2:17" x14ac:dyDescent="0.2">
      <c r="B7">
        <v>2</v>
      </c>
      <c r="E7">
        <v>2</v>
      </c>
      <c r="I7">
        <f t="shared" ref="I7:I18" si="0">F7-L7</f>
        <v>-58979</v>
      </c>
      <c r="K7">
        <v>2</v>
      </c>
      <c r="L7">
        <v>58979</v>
      </c>
    </row>
    <row r="8" spans="2:17" x14ac:dyDescent="0.2">
      <c r="B8">
        <v>3</v>
      </c>
      <c r="E8">
        <v>3</v>
      </c>
      <c r="I8">
        <f t="shared" si="0"/>
        <v>-30647</v>
      </c>
      <c r="K8">
        <v>3</v>
      </c>
      <c r="L8">
        <v>30647</v>
      </c>
      <c r="Q8">
        <v>1535966</v>
      </c>
    </row>
    <row r="9" spans="2:17" x14ac:dyDescent="0.2">
      <c r="B9">
        <v>4</v>
      </c>
      <c r="E9">
        <v>4</v>
      </c>
      <c r="I9">
        <f t="shared" si="0"/>
        <v>-78247</v>
      </c>
      <c r="K9">
        <v>4</v>
      </c>
      <c r="L9">
        <v>78247</v>
      </c>
    </row>
    <row r="10" spans="2:17" x14ac:dyDescent="0.2">
      <c r="B10">
        <v>5</v>
      </c>
      <c r="E10">
        <v>5</v>
      </c>
      <c r="I10">
        <f t="shared" si="0"/>
        <v>-84960</v>
      </c>
      <c r="K10">
        <v>5</v>
      </c>
      <c r="L10">
        <v>84960</v>
      </c>
    </row>
    <row r="11" spans="2:17" x14ac:dyDescent="0.2">
      <c r="B11">
        <v>6</v>
      </c>
      <c r="E11">
        <v>6</v>
      </c>
      <c r="I11">
        <f t="shared" si="0"/>
        <v>-197931</v>
      </c>
      <c r="K11">
        <v>6</v>
      </c>
      <c r="L11">
        <v>197931</v>
      </c>
    </row>
    <row r="12" spans="2:17" x14ac:dyDescent="0.2">
      <c r="B12">
        <v>7</v>
      </c>
      <c r="C12">
        <v>152685</v>
      </c>
      <c r="E12">
        <v>7</v>
      </c>
      <c r="F12">
        <v>175334</v>
      </c>
      <c r="I12">
        <f t="shared" si="0"/>
        <v>6026</v>
      </c>
      <c r="K12">
        <v>7</v>
      </c>
      <c r="L12">
        <v>169308</v>
      </c>
    </row>
    <row r="13" spans="2:17" x14ac:dyDescent="0.2">
      <c r="B13">
        <v>8</v>
      </c>
      <c r="C13">
        <v>165814</v>
      </c>
      <c r="E13">
        <v>8</v>
      </c>
      <c r="F13">
        <v>182370</v>
      </c>
      <c r="I13">
        <f t="shared" si="0"/>
        <v>0</v>
      </c>
      <c r="K13">
        <v>8</v>
      </c>
      <c r="L13">
        <v>182370</v>
      </c>
    </row>
    <row r="14" spans="2:17" x14ac:dyDescent="0.2">
      <c r="B14">
        <v>9</v>
      </c>
      <c r="C14">
        <v>146936</v>
      </c>
      <c r="E14">
        <v>9</v>
      </c>
      <c r="F14">
        <v>150218</v>
      </c>
      <c r="I14">
        <f t="shared" si="0"/>
        <v>0</v>
      </c>
      <c r="K14">
        <v>9</v>
      </c>
      <c r="L14">
        <v>150218</v>
      </c>
    </row>
    <row r="15" spans="2:17" x14ac:dyDescent="0.2">
      <c r="B15">
        <v>10</v>
      </c>
      <c r="C15">
        <v>178699</v>
      </c>
      <c r="E15">
        <v>10</v>
      </c>
      <c r="F15">
        <v>195613</v>
      </c>
      <c r="I15">
        <f t="shared" si="0"/>
        <v>0</v>
      </c>
      <c r="K15">
        <v>10</v>
      </c>
      <c r="L15">
        <v>195613</v>
      </c>
    </row>
    <row r="16" spans="2:17" x14ac:dyDescent="0.2">
      <c r="B16">
        <v>11</v>
      </c>
      <c r="C16">
        <v>201205</v>
      </c>
      <c r="E16">
        <v>11</v>
      </c>
      <c r="F16">
        <v>221737</v>
      </c>
      <c r="I16">
        <f t="shared" si="0"/>
        <v>0</v>
      </c>
      <c r="K16">
        <v>11</v>
      </c>
      <c r="L16">
        <v>221737</v>
      </c>
    </row>
    <row r="17" spans="2:14" x14ac:dyDescent="0.2">
      <c r="B17">
        <v>12</v>
      </c>
      <c r="C17">
        <v>165903</v>
      </c>
      <c r="E17">
        <v>12</v>
      </c>
      <c r="F17">
        <v>159930</v>
      </c>
      <c r="I17">
        <f t="shared" si="0"/>
        <v>0</v>
      </c>
      <c r="K17">
        <v>12</v>
      </c>
      <c r="L17">
        <v>159930</v>
      </c>
    </row>
    <row r="18" spans="2:14" x14ac:dyDescent="0.2">
      <c r="C18">
        <f>SUM(C12:C17)</f>
        <v>1011242</v>
      </c>
      <c r="F18">
        <f>SUM(F6:F17)</f>
        <v>1085202</v>
      </c>
      <c r="I18">
        <f t="shared" si="0"/>
        <v>-444738</v>
      </c>
      <c r="L18">
        <f>SUM(L7:L17)</f>
        <v>1529940</v>
      </c>
      <c r="N18">
        <v>1535965.85</v>
      </c>
    </row>
    <row r="20" spans="2:14" x14ac:dyDescent="0.2">
      <c r="H20">
        <f>F18-I18</f>
        <v>1529940</v>
      </c>
      <c r="N20">
        <f>N18-L18</f>
        <v>6025.8500000000931</v>
      </c>
    </row>
    <row r="22" spans="2:14" x14ac:dyDescent="0.2">
      <c r="B22">
        <v>1</v>
      </c>
    </row>
    <row r="23" spans="2:14" x14ac:dyDescent="0.2">
      <c r="B23">
        <v>2</v>
      </c>
    </row>
    <row r="24" spans="2:14" x14ac:dyDescent="0.2">
      <c r="B24">
        <v>3</v>
      </c>
    </row>
    <row r="25" spans="2:14" x14ac:dyDescent="0.2">
      <c r="B25">
        <v>4</v>
      </c>
    </row>
    <row r="26" spans="2:14" x14ac:dyDescent="0.2">
      <c r="B26">
        <v>5</v>
      </c>
    </row>
    <row r="27" spans="2:14" x14ac:dyDescent="0.2">
      <c r="B27">
        <v>6</v>
      </c>
    </row>
    <row r="28" spans="2:14" x14ac:dyDescent="0.2">
      <c r="B28">
        <v>7</v>
      </c>
      <c r="D28">
        <v>145635</v>
      </c>
    </row>
    <row r="29" spans="2:14" x14ac:dyDescent="0.2">
      <c r="B29">
        <v>8</v>
      </c>
      <c r="D29">
        <v>165236</v>
      </c>
    </row>
    <row r="30" spans="2:14" x14ac:dyDescent="0.2">
      <c r="B30">
        <v>9</v>
      </c>
      <c r="D30">
        <v>146934.6</v>
      </c>
    </row>
    <row r="31" spans="2:14" x14ac:dyDescent="0.2">
      <c r="B31">
        <v>10</v>
      </c>
      <c r="D31">
        <v>174000</v>
      </c>
    </row>
    <row r="32" spans="2:14" x14ac:dyDescent="0.2">
      <c r="B32">
        <v>11</v>
      </c>
      <c r="D32">
        <v>201206.10499999998</v>
      </c>
    </row>
    <row r="33" spans="2:4" x14ac:dyDescent="0.2">
      <c r="B33">
        <v>12</v>
      </c>
      <c r="D33">
        <v>165905</v>
      </c>
    </row>
    <row r="35" spans="2:4" x14ac:dyDescent="0.2">
      <c r="D35">
        <f>SUM(D28:D34)</f>
        <v>998916.70499999996</v>
      </c>
    </row>
  </sheetData>
  <phoneticPr fontId="12"/>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Excel Android</Application>
  <DocSecurity>0</DocSecurity>
  <ScaleCrop>false</ScaleCrop>
  <HeadingPairs>
    <vt:vector size="4" baseType="variant">
      <vt:variant>
        <vt:lpstr>Worksheets</vt:lpstr>
      </vt:variant>
      <vt:variant>
        <vt:i4>19</vt:i4>
      </vt:variant>
      <vt:variant>
        <vt:lpstr>Named Ranges</vt:lpstr>
      </vt:variant>
      <vt:variant>
        <vt:i4>1</vt:i4>
      </vt:variant>
    </vt:vector>
  </HeadingPairs>
  <TitlesOfParts>
    <vt:vector size="20" baseType="lpstr">
      <vt:lpstr>Coke Moisture</vt:lpstr>
      <vt:lpstr>Cranes Operational Data</vt:lpstr>
      <vt:lpstr>Coke Transfer Obstacles </vt:lpstr>
      <vt:lpstr>PIT PAD Report -Density 0.8395 </vt:lpstr>
      <vt:lpstr>Sheet12</vt:lpstr>
      <vt:lpstr>Sheet11</vt:lpstr>
      <vt:lpstr>PIT to SP-3</vt:lpstr>
      <vt:lpstr>Sheet2</vt:lpstr>
      <vt:lpstr>Sheet3</vt:lpstr>
      <vt:lpstr>PITPAD Moisture Adj</vt:lpstr>
      <vt:lpstr>Sheet1</vt:lpstr>
      <vt:lpstr>Sheet4</vt:lpstr>
      <vt:lpstr>Sheet5</vt:lpstr>
      <vt:lpstr>Sheet6</vt:lpstr>
      <vt:lpstr>Sheet7</vt:lpstr>
      <vt:lpstr>Sheet8</vt:lpstr>
      <vt:lpstr>Meeting Highlight</vt:lpstr>
      <vt:lpstr>Sheet9</vt:lpstr>
      <vt:lpstr>Sheet10</vt:lpstr>
      <vt:lpstr>PIT PAD Report -Density 0.8395 !Print_Area</vt:lpstr>
    </vt:vector>
  </TitlesOfParts>
  <Company>山九株式会社</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Azher.Ahmed</dc:creator>
  <cp:lastModifiedBy>DCU</cp:lastModifiedBy>
  <cp:lastPrinted>2017-06-01T04:53:49Z</cp:lastPrinted>
  <dcterms:created xsi:type="dcterms:W3CDTF">2013-11-26T10:38:27Z</dcterms:created>
  <dcterms:modified xsi:type="dcterms:W3CDTF">2019-08-16T06:18:04Z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6abc40e-d877-4bce-be77-b9a855d4dff9_Enabled">
    <vt:lpwstr>True</vt:lpwstr>
  </property>
  <property fmtid="{D5CDD505-2E9C-101B-9397-08002B2CF9AE}" pid="3" name="MSIP_Label_d6abc40e-d877-4bce-be77-b9a855d4dff9_SiteId">
    <vt:lpwstr>417cac68-4a64-4bc0-a217-3a1bd59a6b0d</vt:lpwstr>
  </property>
  <property fmtid="{D5CDD505-2E9C-101B-9397-08002B2CF9AE}" pid="4" name="MSIP_Label_d6abc40e-d877-4bce-be77-b9a855d4dff9_Owner">
    <vt:lpwstr>AlqaryMM@yasref.com</vt:lpwstr>
  </property>
  <property fmtid="{D5CDD505-2E9C-101B-9397-08002B2CF9AE}" pid="5" name="MSIP_Label_d6abc40e-d877-4bce-be77-b9a855d4dff9_SetDate">
    <vt:lpwstr>2019-03-14T22:31:56.8748456Z</vt:lpwstr>
  </property>
  <property fmtid="{D5CDD505-2E9C-101B-9397-08002B2CF9AE}" pid="6" name="MSIP_Label_d6abc40e-d877-4bce-be77-b9a855d4dff9_Name">
    <vt:lpwstr>Public</vt:lpwstr>
  </property>
  <property fmtid="{D5CDD505-2E9C-101B-9397-08002B2CF9AE}" pid="7" name="MSIP_Label_d6abc40e-d877-4bce-be77-b9a855d4dff9_Application">
    <vt:lpwstr>Microsoft Azure Information Protection</vt:lpwstr>
  </property>
  <property fmtid="{D5CDD505-2E9C-101B-9397-08002B2CF9AE}" pid="8" name="MSIP_Label_d6abc40e-d877-4bce-be77-b9a855d4dff9_Extended_MSFT_Method">
    <vt:lpwstr>Manual</vt:lpwstr>
  </property>
  <property fmtid="{D5CDD505-2E9C-101B-9397-08002B2CF9AE}" pid="9" name="Sensitivity">
    <vt:lpwstr>Public</vt:lpwstr>
  </property>
</Properties>
</file>