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8010" activeTab="1"/>
  </bookViews>
  <sheets>
    <sheet name="المعلمين" sheetId="4" r:id="rId1"/>
    <sheet name="مفردات مرتب" sheetId="1" r:id="rId2"/>
  </sheets>
  <calcPr calcId="144525"/>
</workbook>
</file>

<file path=xl/calcChain.xml><?xml version="1.0" encoding="utf-8"?>
<calcChain xmlns="http://schemas.openxmlformats.org/spreadsheetml/2006/main">
  <c r="D25" i="1" l="1"/>
  <c r="E25" i="1"/>
  <c r="D24" i="1"/>
  <c r="E24" i="1"/>
  <c r="D23" i="1"/>
  <c r="E23" i="1"/>
  <c r="D22" i="1"/>
  <c r="E22" i="1"/>
  <c r="D21" i="1"/>
  <c r="E21" i="1"/>
  <c r="E20" i="1"/>
  <c r="D20" i="1"/>
  <c r="D19" i="1"/>
  <c r="E19" i="1"/>
  <c r="D18" i="1"/>
  <c r="E18" i="1"/>
  <c r="D17" i="1"/>
  <c r="E17" i="1"/>
  <c r="D16" i="1"/>
  <c r="E16" i="1"/>
  <c r="D15" i="1"/>
  <c r="E15" i="1"/>
  <c r="D14" i="1"/>
  <c r="E14" i="1"/>
  <c r="D13" i="1"/>
  <c r="E13" i="1"/>
  <c r="D12" i="1"/>
  <c r="E12" i="1"/>
  <c r="D11" i="1"/>
  <c r="E11" i="1"/>
  <c r="D10" i="1"/>
  <c r="E10" i="1"/>
  <c r="D9" i="1"/>
  <c r="E9" i="1"/>
  <c r="D8" i="1"/>
  <c r="E8" i="1"/>
  <c r="D7" i="1"/>
  <c r="E7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B18" i="1"/>
  <c r="A18" i="1"/>
  <c r="A17" i="1"/>
  <c r="B17" i="1"/>
  <c r="A16" i="1"/>
  <c r="B16" i="1"/>
  <c r="A15" i="1"/>
  <c r="B15" i="1"/>
  <c r="A14" i="1"/>
  <c r="B14" i="1"/>
  <c r="A13" i="1"/>
  <c r="B13" i="1"/>
  <c r="A12" i="1"/>
  <c r="B12" i="1"/>
  <c r="A11" i="1"/>
  <c r="B11" i="1"/>
  <c r="A10" i="1"/>
  <c r="B10" i="1"/>
  <c r="B9" i="1"/>
  <c r="A9" i="1"/>
  <c r="A8" i="1"/>
  <c r="B8" i="1"/>
  <c r="A7" i="1"/>
  <c r="B7" i="1"/>
  <c r="A6" i="1"/>
  <c r="B6" i="1"/>
  <c r="D6" i="1"/>
  <c r="E6" i="1"/>
  <c r="E26" i="1"/>
  <c r="D26" i="1"/>
  <c r="A31" i="1"/>
  <c r="B31" i="1"/>
  <c r="A30" i="1"/>
  <c r="B30" i="1"/>
  <c r="A29" i="1"/>
  <c r="B29" i="1"/>
  <c r="A28" i="1"/>
  <c r="A27" i="1"/>
  <c r="B27" i="1"/>
  <c r="A26" i="1"/>
  <c r="B26" i="1"/>
  <c r="B28" i="1"/>
  <c r="AW22" i="4" l="1"/>
  <c r="AK22" i="4" s="1"/>
  <c r="AW23" i="4"/>
  <c r="AW25" i="4"/>
  <c r="AK25" i="4" s="1"/>
  <c r="AT26" i="4"/>
  <c r="AS26" i="4"/>
  <c r="AQ26" i="4"/>
  <c r="AP26" i="4"/>
  <c r="AO26" i="4"/>
  <c r="AN26" i="4"/>
  <c r="AM26" i="4"/>
  <c r="Y26" i="4"/>
  <c r="T26" i="4"/>
  <c r="S26" i="4"/>
  <c r="R26" i="4"/>
  <c r="Q26" i="4"/>
  <c r="P26" i="4"/>
  <c r="O26" i="4"/>
  <c r="N26" i="4"/>
  <c r="M26" i="4"/>
  <c r="J26" i="4"/>
  <c r="H26" i="4"/>
  <c r="C26" i="4"/>
  <c r="B26" i="4"/>
  <c r="AR25" i="4"/>
  <c r="AL25" i="4"/>
  <c r="AG25" i="4"/>
  <c r="AF25" i="4"/>
  <c r="AE25" i="4"/>
  <c r="AD25" i="4"/>
  <c r="AC25" i="4"/>
  <c r="AB25" i="4"/>
  <c r="AA25" i="4"/>
  <c r="W25" i="4"/>
  <c r="G25" i="4"/>
  <c r="F25" i="4"/>
  <c r="E25" i="4"/>
  <c r="D25" i="4"/>
  <c r="AR24" i="4"/>
  <c r="AG24" i="4"/>
  <c r="AF24" i="4"/>
  <c r="AE24" i="4"/>
  <c r="AD24" i="4"/>
  <c r="AC24" i="4"/>
  <c r="AB24" i="4"/>
  <c r="AA24" i="4"/>
  <c r="L24" i="4"/>
  <c r="L26" i="4" s="1"/>
  <c r="K24" i="4"/>
  <c r="I24" i="4"/>
  <c r="I26" i="4" s="1"/>
  <c r="G24" i="4"/>
  <c r="F24" i="4"/>
  <c r="E24" i="4"/>
  <c r="D24" i="4"/>
  <c r="AK23" i="4"/>
  <c r="AR23" i="4"/>
  <c r="AL23" i="4"/>
  <c r="AJ23" i="4"/>
  <c r="AH23" i="4"/>
  <c r="AG23" i="4"/>
  <c r="AF23" i="4"/>
  <c r="AE23" i="4"/>
  <c r="AD23" i="4"/>
  <c r="AC23" i="4"/>
  <c r="AB23" i="4"/>
  <c r="AA23" i="4"/>
  <c r="W23" i="4"/>
  <c r="U23" i="4"/>
  <c r="G23" i="4"/>
  <c r="F23" i="4"/>
  <c r="E23" i="4"/>
  <c r="D23" i="4"/>
  <c r="AR22" i="4"/>
  <c r="AJ22" i="4"/>
  <c r="AG22" i="4"/>
  <c r="AF22" i="4"/>
  <c r="AE22" i="4"/>
  <c r="AD22" i="4"/>
  <c r="AC22" i="4"/>
  <c r="AB22" i="4"/>
  <c r="AA22" i="4"/>
  <c r="U22" i="4"/>
  <c r="G22" i="4"/>
  <c r="F22" i="4"/>
  <c r="F26" i="4" s="1"/>
  <c r="E22" i="4"/>
  <c r="D22" i="4"/>
  <c r="D26" i="4" s="1"/>
  <c r="AT20" i="4"/>
  <c r="AS20" i="4"/>
  <c r="AQ20" i="4"/>
  <c r="AP20" i="4"/>
  <c r="AO20" i="4"/>
  <c r="AN20" i="4"/>
  <c r="AM20" i="4"/>
  <c r="Y20" i="4"/>
  <c r="T20" i="4"/>
  <c r="S20" i="4"/>
  <c r="R20" i="4"/>
  <c r="Q20" i="4"/>
  <c r="P20" i="4"/>
  <c r="O20" i="4"/>
  <c r="N20" i="4"/>
  <c r="M20" i="4"/>
  <c r="J20" i="4"/>
  <c r="H20" i="4"/>
  <c r="C20" i="4"/>
  <c r="AR19" i="4"/>
  <c r="AG19" i="4"/>
  <c r="AF19" i="4"/>
  <c r="AE19" i="4"/>
  <c r="AD19" i="4"/>
  <c r="AC19" i="4"/>
  <c r="AB19" i="4"/>
  <c r="AA19" i="4"/>
  <c r="L19" i="4"/>
  <c r="AW19" i="4" s="1"/>
  <c r="I19" i="4"/>
  <c r="G19" i="4"/>
  <c r="F19" i="4"/>
  <c r="E19" i="4"/>
  <c r="D19" i="4"/>
  <c r="AR18" i="4"/>
  <c r="AG18" i="4"/>
  <c r="AF18" i="4"/>
  <c r="AE18" i="4"/>
  <c r="AD18" i="4"/>
  <c r="AC18" i="4"/>
  <c r="AB18" i="4"/>
  <c r="AA18" i="4"/>
  <c r="L18" i="4"/>
  <c r="AW18" i="4" s="1"/>
  <c r="I18" i="4"/>
  <c r="G18" i="4"/>
  <c r="F18" i="4"/>
  <c r="E18" i="4"/>
  <c r="D18" i="4"/>
  <c r="AR17" i="4"/>
  <c r="AG17" i="4"/>
  <c r="AF17" i="4"/>
  <c r="AE17" i="4"/>
  <c r="AD17" i="4"/>
  <c r="AC17" i="4"/>
  <c r="AB17" i="4"/>
  <c r="AA17" i="4"/>
  <c r="L17" i="4"/>
  <c r="I17" i="4"/>
  <c r="G17" i="4"/>
  <c r="F17" i="4"/>
  <c r="E17" i="4"/>
  <c r="D17" i="4"/>
  <c r="AR16" i="4"/>
  <c r="AG16" i="4"/>
  <c r="AF16" i="4"/>
  <c r="AE16" i="4"/>
  <c r="AD16" i="4"/>
  <c r="AC16" i="4"/>
  <c r="AB16" i="4"/>
  <c r="AA16" i="4"/>
  <c r="L16" i="4"/>
  <c r="I16" i="4"/>
  <c r="G16" i="4"/>
  <c r="F16" i="4"/>
  <c r="E16" i="4"/>
  <c r="D16" i="4"/>
  <c r="AR15" i="4"/>
  <c r="AG15" i="4"/>
  <c r="AF15" i="4"/>
  <c r="AE15" i="4"/>
  <c r="AD15" i="4"/>
  <c r="AC15" i="4"/>
  <c r="AB15" i="4"/>
  <c r="AA15" i="4"/>
  <c r="L15" i="4"/>
  <c r="AW15" i="4" s="1"/>
  <c r="I15" i="4"/>
  <c r="G15" i="4"/>
  <c r="F15" i="4"/>
  <c r="E15" i="4"/>
  <c r="D15" i="4"/>
  <c r="AR14" i="4"/>
  <c r="AG14" i="4"/>
  <c r="AF14" i="4"/>
  <c r="AE14" i="4"/>
  <c r="AD14" i="4"/>
  <c r="AC14" i="4"/>
  <c r="AB14" i="4"/>
  <c r="AA14" i="4"/>
  <c r="L14" i="4"/>
  <c r="AW14" i="4" s="1"/>
  <c r="I14" i="4"/>
  <c r="G14" i="4"/>
  <c r="F14" i="4"/>
  <c r="E14" i="4"/>
  <c r="D14" i="4"/>
  <c r="AR13" i="4"/>
  <c r="AG13" i="4"/>
  <c r="AF13" i="4"/>
  <c r="AE13" i="4"/>
  <c r="AD13" i="4"/>
  <c r="AC13" i="4"/>
  <c r="AB13" i="4"/>
  <c r="AA13" i="4"/>
  <c r="L13" i="4"/>
  <c r="AW13" i="4" s="1"/>
  <c r="I13" i="4"/>
  <c r="G13" i="4"/>
  <c r="F13" i="4"/>
  <c r="E13" i="4"/>
  <c r="D13" i="4"/>
  <c r="AR12" i="4"/>
  <c r="AG12" i="4"/>
  <c r="AF12" i="4"/>
  <c r="AE12" i="4"/>
  <c r="AD12" i="4"/>
  <c r="AC12" i="4"/>
  <c r="AB12" i="4"/>
  <c r="AA12" i="4"/>
  <c r="L12" i="4"/>
  <c r="K12" i="4"/>
  <c r="K20" i="4" s="1"/>
  <c r="I12" i="4"/>
  <c r="G12" i="4"/>
  <c r="F12" i="4"/>
  <c r="E12" i="4"/>
  <c r="D12" i="4"/>
  <c r="AR11" i="4"/>
  <c r="AG11" i="4"/>
  <c r="AF11" i="4"/>
  <c r="AE11" i="4"/>
  <c r="AD11" i="4"/>
  <c r="AC11" i="4"/>
  <c r="AB11" i="4"/>
  <c r="AA11" i="4"/>
  <c r="L11" i="4"/>
  <c r="I11" i="4"/>
  <c r="G11" i="4"/>
  <c r="F11" i="4"/>
  <c r="E11" i="4"/>
  <c r="D11" i="4"/>
  <c r="AR10" i="4"/>
  <c r="AG10" i="4"/>
  <c r="AF10" i="4"/>
  <c r="AE10" i="4"/>
  <c r="AD10" i="4"/>
  <c r="AC10" i="4"/>
  <c r="AB10" i="4"/>
  <c r="AA10" i="4"/>
  <c r="L10" i="4"/>
  <c r="I10" i="4"/>
  <c r="G10" i="4"/>
  <c r="F10" i="4"/>
  <c r="E10" i="4"/>
  <c r="D10" i="4"/>
  <c r="AR9" i="4"/>
  <c r="AG9" i="4"/>
  <c r="AF9" i="4"/>
  <c r="AE9" i="4"/>
  <c r="AD9" i="4"/>
  <c r="AC9" i="4"/>
  <c r="AB9" i="4"/>
  <c r="AA9" i="4"/>
  <c r="L9" i="4"/>
  <c r="I9" i="4"/>
  <c r="G9" i="4"/>
  <c r="F9" i="4"/>
  <c r="E9" i="4"/>
  <c r="D9" i="4"/>
  <c r="AR8" i="4"/>
  <c r="AG8" i="4"/>
  <c r="AF8" i="4"/>
  <c r="AE8" i="4"/>
  <c r="AD8" i="4"/>
  <c r="AC8" i="4"/>
  <c r="AB8" i="4"/>
  <c r="AA8" i="4"/>
  <c r="L8" i="4"/>
  <c r="I8" i="4"/>
  <c r="G8" i="4"/>
  <c r="F8" i="4"/>
  <c r="E8" i="4"/>
  <c r="D8" i="4"/>
  <c r="AR7" i="4"/>
  <c r="AG7" i="4"/>
  <c r="AF7" i="4"/>
  <c r="AE7" i="4"/>
  <c r="AD7" i="4"/>
  <c r="AC7" i="4"/>
  <c r="AB7" i="4"/>
  <c r="AA7" i="4"/>
  <c r="L7" i="4"/>
  <c r="I7" i="4"/>
  <c r="G7" i="4"/>
  <c r="F7" i="4"/>
  <c r="E7" i="4"/>
  <c r="D7" i="4"/>
  <c r="AR6" i="4"/>
  <c r="AG6" i="4"/>
  <c r="AF6" i="4"/>
  <c r="AE6" i="4"/>
  <c r="AD6" i="4"/>
  <c r="AC6" i="4"/>
  <c r="AB6" i="4"/>
  <c r="AA6" i="4"/>
  <c r="L6" i="4"/>
  <c r="I6" i="4"/>
  <c r="G6" i="4"/>
  <c r="F6" i="4"/>
  <c r="E6" i="4"/>
  <c r="D6" i="4"/>
  <c r="AR5" i="4"/>
  <c r="AG5" i="4"/>
  <c r="AF5" i="4"/>
  <c r="AE5" i="4"/>
  <c r="AD5" i="4"/>
  <c r="AC5" i="4"/>
  <c r="AB5" i="4"/>
  <c r="AA5" i="4"/>
  <c r="L5" i="4"/>
  <c r="I5" i="4"/>
  <c r="G5" i="4"/>
  <c r="F5" i="4"/>
  <c r="E5" i="4"/>
  <c r="D5" i="4"/>
  <c r="AR4" i="4"/>
  <c r="AG4" i="4"/>
  <c r="AF4" i="4"/>
  <c r="AE4" i="4"/>
  <c r="AD4" i="4"/>
  <c r="AC4" i="4"/>
  <c r="AB4" i="4"/>
  <c r="AA4" i="4"/>
  <c r="L4" i="4"/>
  <c r="I4" i="4"/>
  <c r="G4" i="4"/>
  <c r="F4" i="4"/>
  <c r="E4" i="4"/>
  <c r="D4" i="4"/>
  <c r="AR3" i="4"/>
  <c r="AG3" i="4"/>
  <c r="AF3" i="4"/>
  <c r="AE3" i="4"/>
  <c r="AD3" i="4"/>
  <c r="AC3" i="4"/>
  <c r="AB3" i="4"/>
  <c r="AA3" i="4"/>
  <c r="L3" i="4"/>
  <c r="I3" i="4"/>
  <c r="G3" i="4"/>
  <c r="F3" i="4"/>
  <c r="E3" i="4"/>
  <c r="D3" i="4"/>
  <c r="AR2" i="4"/>
  <c r="AG2" i="4"/>
  <c r="AF2" i="4"/>
  <c r="AE2" i="4"/>
  <c r="AD2" i="4"/>
  <c r="AC2" i="4"/>
  <c r="AB2" i="4"/>
  <c r="AA2" i="4"/>
  <c r="L2" i="4"/>
  <c r="I2" i="4"/>
  <c r="G2" i="4"/>
  <c r="F2" i="4"/>
  <c r="E2" i="4"/>
  <c r="D2" i="4"/>
  <c r="AW17" i="4" l="1"/>
  <c r="W17" i="4" s="1"/>
  <c r="AH25" i="4"/>
  <c r="AU25" i="4" s="1"/>
  <c r="AW12" i="4"/>
  <c r="U25" i="4"/>
  <c r="X25" i="4" s="1"/>
  <c r="Z25" i="4" s="1"/>
  <c r="AJ25" i="4"/>
  <c r="AW3" i="4"/>
  <c r="W3" i="4" s="1"/>
  <c r="W22" i="4"/>
  <c r="AB26" i="4"/>
  <c r="AH22" i="4"/>
  <c r="AL22" i="4"/>
  <c r="V25" i="4"/>
  <c r="AI25" i="4"/>
  <c r="E20" i="4"/>
  <c r="G20" i="4"/>
  <c r="L20" i="4"/>
  <c r="AR20" i="4"/>
  <c r="AW4" i="4"/>
  <c r="AL4" i="4" s="1"/>
  <c r="AW5" i="4"/>
  <c r="U5" i="4" s="1"/>
  <c r="AW6" i="4"/>
  <c r="V6" i="4" s="1"/>
  <c r="AW7" i="4"/>
  <c r="AL7" i="4" s="1"/>
  <c r="AW8" i="4"/>
  <c r="V8" i="4" s="1"/>
  <c r="AW9" i="4"/>
  <c r="AJ9" i="4" s="1"/>
  <c r="AW10" i="4"/>
  <c r="AL10" i="4" s="1"/>
  <c r="AW11" i="4"/>
  <c r="AL11" i="4" s="1"/>
  <c r="AK14" i="4"/>
  <c r="V14" i="4"/>
  <c r="AL15" i="4"/>
  <c r="AJ15" i="4"/>
  <c r="W15" i="4"/>
  <c r="AA20" i="4"/>
  <c r="AC20" i="4"/>
  <c r="AE20" i="4"/>
  <c r="AG20" i="4"/>
  <c r="G26" i="4"/>
  <c r="V22" i="4"/>
  <c r="X22" i="4" s="1"/>
  <c r="Z22" i="4" s="1"/>
  <c r="AA26" i="4"/>
  <c r="AC26" i="4"/>
  <c r="AE26" i="4"/>
  <c r="AG26" i="4"/>
  <c r="AI22" i="4"/>
  <c r="AU22" i="4" s="1"/>
  <c r="AR26" i="4"/>
  <c r="AW24" i="4"/>
  <c r="AJ24" i="4" s="1"/>
  <c r="AW16" i="4"/>
  <c r="AK16" i="4" s="1"/>
  <c r="AW2" i="4"/>
  <c r="AD26" i="4"/>
  <c r="AF26" i="4"/>
  <c r="AK3" i="4"/>
  <c r="AJ3" i="4"/>
  <c r="W7" i="4"/>
  <c r="AJ7" i="4"/>
  <c r="W9" i="4"/>
  <c r="AL9" i="4"/>
  <c r="AH11" i="4"/>
  <c r="AI11" i="4"/>
  <c r="AI4" i="4"/>
  <c r="AJ4" i="4"/>
  <c r="W4" i="4"/>
  <c r="AK4" i="4"/>
  <c r="AK6" i="4"/>
  <c r="AL6" i="4"/>
  <c r="AH6" i="4"/>
  <c r="U6" i="4"/>
  <c r="AK8" i="4"/>
  <c r="AL8" i="4"/>
  <c r="AH8" i="4"/>
  <c r="U8" i="4"/>
  <c r="AI10" i="4"/>
  <c r="AJ10" i="4"/>
  <c r="W10" i="4"/>
  <c r="AK10" i="4"/>
  <c r="AK13" i="4"/>
  <c r="AI13" i="4"/>
  <c r="V13" i="4"/>
  <c r="AL13" i="4"/>
  <c r="AH13" i="4"/>
  <c r="U13" i="4"/>
  <c r="AJ13" i="4"/>
  <c r="W13" i="4"/>
  <c r="AH5" i="4"/>
  <c r="V5" i="4"/>
  <c r="D20" i="4"/>
  <c r="F20" i="4"/>
  <c r="I20" i="4"/>
  <c r="AB20" i="4"/>
  <c r="AD20" i="4"/>
  <c r="AF20" i="4"/>
  <c r="AL14" i="4"/>
  <c r="AJ14" i="4"/>
  <c r="AH14" i="4"/>
  <c r="W14" i="4"/>
  <c r="U14" i="4"/>
  <c r="AI14" i="4"/>
  <c r="U15" i="4"/>
  <c r="AH15" i="4"/>
  <c r="AK18" i="4"/>
  <c r="AI18" i="4"/>
  <c r="V18" i="4"/>
  <c r="AL18" i="4"/>
  <c r="AJ18" i="4"/>
  <c r="AH18" i="4"/>
  <c r="W18" i="4"/>
  <c r="U18" i="4"/>
  <c r="AL24" i="4"/>
  <c r="AL26" i="4" s="1"/>
  <c r="U24" i="4"/>
  <c r="U26" i="4" s="1"/>
  <c r="X13" i="4"/>
  <c r="Z13" i="4" s="1"/>
  <c r="AK15" i="4"/>
  <c r="AI15" i="4"/>
  <c r="V15" i="4"/>
  <c r="AL16" i="4"/>
  <c r="AH16" i="4"/>
  <c r="U16" i="4"/>
  <c r="AI17" i="4"/>
  <c r="AL19" i="4"/>
  <c r="AJ19" i="4"/>
  <c r="AH19" i="4"/>
  <c r="W19" i="4"/>
  <c r="U19" i="4"/>
  <c r="AK19" i="4"/>
  <c r="AI19" i="4"/>
  <c r="V19" i="4"/>
  <c r="V23" i="4"/>
  <c r="X23" i="4" s="1"/>
  <c r="Z23" i="4" s="1"/>
  <c r="AI23" i="4"/>
  <c r="AU23" i="4" s="1"/>
  <c r="E26" i="4"/>
  <c r="K26" i="4"/>
  <c r="AH17" i="4" l="1"/>
  <c r="AJ17" i="4"/>
  <c r="AK17" i="4"/>
  <c r="U17" i="4"/>
  <c r="AL17" i="4"/>
  <c r="V17" i="4"/>
  <c r="AI24" i="4"/>
  <c r="AH24" i="4"/>
  <c r="AH26" i="4" s="1"/>
  <c r="AJ5" i="4"/>
  <c r="AK5" i="4"/>
  <c r="AJ11" i="4"/>
  <c r="U11" i="4"/>
  <c r="U9" i="4"/>
  <c r="AI9" i="4"/>
  <c r="U7" i="4"/>
  <c r="AI7" i="4"/>
  <c r="U3" i="4"/>
  <c r="V3" i="4"/>
  <c r="AV25" i="4"/>
  <c r="X3" i="4"/>
  <c r="Z3" i="4" s="1"/>
  <c r="V24" i="4"/>
  <c r="AK24" i="4"/>
  <c r="AK26" i="4" s="1"/>
  <c r="W24" i="4"/>
  <c r="W26" i="4" s="1"/>
  <c r="W5" i="4"/>
  <c r="AL5" i="4"/>
  <c r="AI5" i="4"/>
  <c r="V11" i="4"/>
  <c r="AK11" i="4"/>
  <c r="W11" i="4"/>
  <c r="AH9" i="4"/>
  <c r="V9" i="4"/>
  <c r="X9" i="4" s="1"/>
  <c r="Z9" i="4" s="1"/>
  <c r="AK9" i="4"/>
  <c r="AH7" i="4"/>
  <c r="V7" i="4"/>
  <c r="X7" i="4" s="1"/>
  <c r="Z7" i="4" s="1"/>
  <c r="AK7" i="4"/>
  <c r="AH3" i="4"/>
  <c r="AL3" i="4"/>
  <c r="AI3" i="4"/>
  <c r="X24" i="4"/>
  <c r="Z24" i="4" s="1"/>
  <c r="X19" i="4"/>
  <c r="Z19" i="4" s="1"/>
  <c r="X18" i="4"/>
  <c r="Z18" i="4" s="1"/>
  <c r="AU18" i="4"/>
  <c r="AV18" i="4" s="1"/>
  <c r="AI16" i="4"/>
  <c r="W16" i="4"/>
  <c r="AJ16" i="4"/>
  <c r="X15" i="4"/>
  <c r="Z15" i="4" s="1"/>
  <c r="V16" i="4"/>
  <c r="X14" i="4"/>
  <c r="Z14" i="4" s="1"/>
  <c r="AV14" i="4" s="1"/>
  <c r="AU14" i="4"/>
  <c r="V10" i="4"/>
  <c r="X10" i="4" s="1"/>
  <c r="Z10" i="4" s="1"/>
  <c r="U10" i="4"/>
  <c r="AH10" i="4"/>
  <c r="AU10" i="4" s="1"/>
  <c r="AI8" i="4"/>
  <c r="W8" i="4"/>
  <c r="X8" i="4" s="1"/>
  <c r="Z8" i="4" s="1"/>
  <c r="AJ8" i="4"/>
  <c r="AI6" i="4"/>
  <c r="W6" i="4"/>
  <c r="AJ6" i="4"/>
  <c r="V4" i="4"/>
  <c r="U4" i="4"/>
  <c r="X4" i="4" s="1"/>
  <c r="Z4" i="4" s="1"/>
  <c r="AV4" i="4" s="1"/>
  <c r="AH4" i="4"/>
  <c r="AU13" i="4"/>
  <c r="AV13" i="4" s="1"/>
  <c r="AV22" i="4"/>
  <c r="X16" i="4"/>
  <c r="Z16" i="4" s="1"/>
  <c r="AV16" i="4" s="1"/>
  <c r="AU15" i="4"/>
  <c r="AU5" i="4"/>
  <c r="AU8" i="4"/>
  <c r="X6" i="4"/>
  <c r="Z6" i="4" s="1"/>
  <c r="AU4" i="4"/>
  <c r="AU11" i="4"/>
  <c r="V26" i="4"/>
  <c r="X26" i="4" s="1"/>
  <c r="AU19" i="4"/>
  <c r="AV19" i="4" s="1"/>
  <c r="AU16" i="4"/>
  <c r="X5" i="4"/>
  <c r="Z5" i="4" s="1"/>
  <c r="AV23" i="4"/>
  <c r="Z26" i="4"/>
  <c r="AJ26" i="4"/>
  <c r="AI26" i="4"/>
  <c r="AL12" i="4"/>
  <c r="AJ12" i="4"/>
  <c r="AH12" i="4"/>
  <c r="W12" i="4"/>
  <c r="U12" i="4"/>
  <c r="AK12" i="4"/>
  <c r="AI12" i="4"/>
  <c r="V12" i="4"/>
  <c r="AK2" i="4"/>
  <c r="AI2" i="4"/>
  <c r="AI20" i="4" s="1"/>
  <c r="AL2" i="4"/>
  <c r="AJ2" i="4"/>
  <c r="AH2" i="4"/>
  <c r="W2" i="4"/>
  <c r="U2" i="4"/>
  <c r="V2" i="4"/>
  <c r="X17" i="4" l="1"/>
  <c r="Z17" i="4" s="1"/>
  <c r="AU17" i="4"/>
  <c r="AL20" i="4"/>
  <c r="AV10" i="4"/>
  <c r="AU9" i="4"/>
  <c r="AV9" i="4" s="1"/>
  <c r="AU24" i="4"/>
  <c r="AU3" i="4"/>
  <c r="AV3" i="4" s="1"/>
  <c r="AU7" i="4"/>
  <c r="AV7" i="4" s="1"/>
  <c r="X11" i="4"/>
  <c r="Z11" i="4" s="1"/>
  <c r="AV11" i="4" s="1"/>
  <c r="AU6" i="4"/>
  <c r="AV6" i="4" s="1"/>
  <c r="AV15" i="4"/>
  <c r="AK20" i="4"/>
  <c r="AV8" i="4"/>
  <c r="AV5" i="4"/>
  <c r="U20" i="4"/>
  <c r="X2" i="4"/>
  <c r="AH20" i="4"/>
  <c r="AU2" i="4"/>
  <c r="V20" i="4"/>
  <c r="W20" i="4"/>
  <c r="AJ20" i="4"/>
  <c r="X12" i="4"/>
  <c r="Z12" i="4" s="1"/>
  <c r="AU12" i="4"/>
  <c r="AV17" i="4" l="1"/>
  <c r="AU26" i="4"/>
  <c r="AV24" i="4"/>
  <c r="AV26" i="4" s="1"/>
  <c r="AV12" i="4"/>
  <c r="X20" i="4"/>
  <c r="Z2" i="4"/>
  <c r="AU20" i="4"/>
  <c r="Z20" i="4" l="1"/>
  <c r="AV20" i="4" s="1"/>
  <c r="AV2" i="4"/>
</calcChain>
</file>

<file path=xl/sharedStrings.xml><?xml version="1.0" encoding="utf-8"?>
<sst xmlns="http://schemas.openxmlformats.org/spreadsheetml/2006/main" count="86" uniqueCount="57">
  <si>
    <t>الاسم</t>
  </si>
  <si>
    <t>الاساسى</t>
  </si>
  <si>
    <t>اساس المرتب</t>
  </si>
  <si>
    <t>بدل اقامة</t>
  </si>
  <si>
    <t>بدل معلم</t>
  </si>
  <si>
    <t>اعتماد</t>
  </si>
  <si>
    <t>اداء</t>
  </si>
  <si>
    <t>اعباء</t>
  </si>
  <si>
    <t>اجتماعية</t>
  </si>
  <si>
    <t>اضافية</t>
  </si>
  <si>
    <t>جهود</t>
  </si>
  <si>
    <t>حافزيوليو</t>
  </si>
  <si>
    <t>عيدالعمال</t>
  </si>
  <si>
    <t>باب اول</t>
  </si>
  <si>
    <t>بدل نقدى</t>
  </si>
  <si>
    <t>الاستحقاق</t>
  </si>
  <si>
    <t>مهن</t>
  </si>
  <si>
    <t>قنا</t>
  </si>
  <si>
    <t>م معلمين</t>
  </si>
  <si>
    <t>الاسرة</t>
  </si>
  <si>
    <t>دشنا</t>
  </si>
  <si>
    <t>7 زمالة</t>
  </si>
  <si>
    <t>كسب</t>
  </si>
  <si>
    <t>دمغة</t>
  </si>
  <si>
    <t>استقطاع</t>
  </si>
  <si>
    <t>صافى</t>
  </si>
  <si>
    <t>الاجور</t>
  </si>
  <si>
    <t>عاطف</t>
  </si>
  <si>
    <t>رضا</t>
  </si>
  <si>
    <t>شحته</t>
  </si>
  <si>
    <t>اسراء</t>
  </si>
  <si>
    <t>سماح</t>
  </si>
  <si>
    <t>شهر اكتوبر</t>
  </si>
  <si>
    <t>الصافي</t>
  </si>
  <si>
    <t>المبلغ</t>
  </si>
  <si>
    <t>قرش</t>
  </si>
  <si>
    <t>جنيه</t>
  </si>
  <si>
    <t>الاستقطاعات</t>
  </si>
  <si>
    <t xml:space="preserve">الاسم </t>
  </si>
  <si>
    <t>احمد</t>
  </si>
  <si>
    <t>علي</t>
  </si>
  <si>
    <t>محمد</t>
  </si>
  <si>
    <t>حسن</t>
  </si>
  <si>
    <t>صالح</t>
  </si>
  <si>
    <t>جمال</t>
  </si>
  <si>
    <t>حمام</t>
  </si>
  <si>
    <t>صابر</t>
  </si>
  <si>
    <t>عيد</t>
  </si>
  <si>
    <t>ملك</t>
  </si>
  <si>
    <t>هبة</t>
  </si>
  <si>
    <t>ندي</t>
  </si>
  <si>
    <t>فتحية</t>
  </si>
  <si>
    <t>جميلة</t>
  </si>
  <si>
    <t>رجاء</t>
  </si>
  <si>
    <t>كومي</t>
  </si>
  <si>
    <t>ناير</t>
  </si>
  <si>
    <t>طيري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</si>
</sst>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66"/>
      <name val="Calibri"/>
      <family val="2"/>
      <charset val="204"/>
      <scheme val="minor"/>
    </font>
    <font>
      <b/>
      <sz val="11"/>
      <color rgb="FF000066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1" fillId="0" borderId="1" xfId="0" applyNumberFormat="1" applyFont="1" applyBorder="1" applyAlignment="1">
      <alignment horizontal="center" vertical="center" textRotation="90" readingOrder="2"/>
    </xf>
    <xf numFmtId="0" fontId="0" fillId="0" borderId="0" xfId="0" applyAlignment="1">
      <alignment textRotation="90"/>
    </xf>
    <xf numFmtId="1" fontId="1" fillId="0" borderId="1" xfId="0" applyNumberFormat="1" applyFont="1" applyBorder="1" applyAlignment="1">
      <alignment readingOrder="2"/>
    </xf>
    <xf numFmtId="0" fontId="4" fillId="0" borderId="0" xfId="0" applyFont="1"/>
    <xf numFmtId="1" fontId="1" fillId="0" borderId="2" xfId="0" applyNumberFormat="1" applyFont="1" applyBorder="1" applyAlignment="1">
      <alignment readingOrder="2"/>
    </xf>
    <xf numFmtId="1" fontId="0" fillId="0" borderId="0" xfId="0" applyNumberFormat="1"/>
    <xf numFmtId="1" fontId="1" fillId="2" borderId="1" xfId="0" applyNumberFormat="1" applyFont="1" applyFill="1" applyBorder="1" applyAlignment="1">
      <alignment readingOrder="2"/>
    </xf>
    <xf numFmtId="1" fontId="4" fillId="0" borderId="0" xfId="0" applyNumberFormat="1" applyFont="1"/>
    <xf numFmtId="1" fontId="1" fillId="0" borderId="1" xfId="0" applyNumberFormat="1" applyFont="1" applyBorder="1" applyAlignment="1">
      <alignment horizontal="center" vertical="center" readingOrder="2"/>
    </xf>
    <xf numFmtId="9" fontId="1" fillId="0" borderId="1" xfId="0" applyNumberFormat="1" applyFont="1" applyBorder="1" applyAlignment="1">
      <alignment horizontal="center" vertical="center" readingOrder="2"/>
    </xf>
    <xf numFmtId="1" fontId="1" fillId="3" borderId="1" xfId="0" applyNumberFormat="1" applyFont="1" applyFill="1" applyBorder="1" applyAlignment="1">
      <alignment horizontal="center" vertical="center" readingOrder="2"/>
    </xf>
    <xf numFmtId="1" fontId="1" fillId="2" borderId="1" xfId="0" applyNumberFormat="1" applyFont="1" applyFill="1" applyBorder="1" applyAlignment="1">
      <alignment horizontal="center" vertical="center" readingOrder="2"/>
    </xf>
    <xf numFmtId="9" fontId="1" fillId="3" borderId="1" xfId="0" applyNumberFormat="1" applyFont="1" applyFill="1" applyBorder="1" applyAlignment="1">
      <alignment horizontal="center" vertical="center" readingOrder="2"/>
    </xf>
    <xf numFmtId="0" fontId="3" fillId="0" borderId="0" xfId="0" applyFont="1"/>
    <xf numFmtId="1" fontId="1" fillId="0" borderId="3" xfId="0" applyNumberFormat="1" applyFont="1" applyBorder="1" applyAlignment="1">
      <alignment horizontal="center" vertical="center" readingOrder="2"/>
    </xf>
    <xf numFmtId="9" fontId="1" fillId="0" borderId="3" xfId="0" applyNumberFormat="1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horizontal="center" vertical="center" textRotation="90" readingOrder="2"/>
    </xf>
    <xf numFmtId="2" fontId="1" fillId="3" borderId="1" xfId="0" applyNumberFormat="1" applyFont="1" applyFill="1" applyBorder="1" applyAlignment="1">
      <alignment horizontal="center" vertical="center" textRotation="90" readingOrder="2"/>
    </xf>
    <xf numFmtId="2" fontId="1" fillId="2" borderId="1" xfId="0" applyNumberFormat="1" applyFont="1" applyFill="1" applyBorder="1" applyAlignment="1">
      <alignment horizontal="center" vertical="center" textRotation="90" readingOrder="2"/>
    </xf>
    <xf numFmtId="2" fontId="2" fillId="0" borderId="1" xfId="0" applyNumberFormat="1" applyFont="1" applyBorder="1" applyAlignment="1">
      <alignment readingOrder="2"/>
    </xf>
    <xf numFmtId="2" fontId="2" fillId="3" borderId="1" xfId="0" applyNumberFormat="1" applyFont="1" applyFill="1" applyBorder="1" applyAlignment="1">
      <alignment readingOrder="2"/>
    </xf>
    <xf numFmtId="2" fontId="2" fillId="2" borderId="1" xfId="0" applyNumberFormat="1" applyFont="1" applyFill="1" applyBorder="1" applyAlignment="1">
      <alignment readingOrder="2"/>
    </xf>
    <xf numFmtId="2" fontId="3" fillId="0" borderId="1" xfId="0" applyNumberFormat="1" applyFont="1" applyBorder="1" applyAlignment="1">
      <alignment readingOrder="2"/>
    </xf>
    <xf numFmtId="2" fontId="3" fillId="3" borderId="1" xfId="0" applyNumberFormat="1" applyFont="1" applyFill="1" applyBorder="1" applyAlignment="1">
      <alignment readingOrder="2"/>
    </xf>
    <xf numFmtId="2" fontId="5" fillId="0" borderId="0" xfId="0" applyNumberFormat="1" applyFont="1"/>
    <xf numFmtId="2" fontId="5" fillId="0" borderId="0" xfId="0" applyNumberFormat="1" applyFont="1" applyAlignment="1"/>
    <xf numFmtId="2" fontId="2" fillId="0" borderId="0" xfId="0" applyNumberFormat="1" applyFont="1"/>
    <xf numFmtId="2" fontId="5" fillId="3" borderId="0" xfId="0" applyNumberFormat="1" applyFont="1" applyFill="1"/>
    <xf numFmtId="2" fontId="0" fillId="0" borderId="0" xfId="0" applyNumberFormat="1"/>
    <xf numFmtId="2" fontId="0" fillId="3" borderId="0" xfId="0" applyNumberFormat="1" applyFill="1"/>
    <xf numFmtId="2" fontId="0" fillId="0" borderId="0" xfId="0" applyNumberFormat="1" applyAlignment="1"/>
    <xf numFmtId="0" fontId="7" fillId="0" borderId="1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 vertical="center" readingOrder="2"/>
    </xf>
    <xf numFmtId="0" fontId="7" fillId="0" borderId="3" xfId="0" applyFont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W29"/>
  <sheetViews>
    <sheetView rightToLeft="1" topLeftCell="AA1" workbookViewId="0">
      <pane ySplit="1" topLeftCell="A2" activePane="bottomLeft" state="frozen"/>
      <selection pane="bottomLeft" activeCell="AU2" sqref="AU2"/>
    </sheetView>
  </sheetViews>
  <sheetFormatPr defaultRowHeight="15" x14ac:dyDescent="0.25"/>
  <cols>
    <col min="1" max="1" width="9.42578125" customWidth="1"/>
    <col min="2" max="2" width="11.140625" style="29" customWidth="1"/>
    <col min="3" max="3" width="11.140625" style="31" customWidth="1"/>
    <col min="4" max="14" width="11.140625" style="29" customWidth="1"/>
    <col min="15" max="15" width="11.140625" style="30" customWidth="1"/>
    <col min="16" max="35" width="11.140625" style="29" customWidth="1"/>
    <col min="36" max="36" width="11.140625" style="30" customWidth="1"/>
    <col min="37" max="49" width="11.140625" style="29" customWidth="1"/>
  </cols>
  <sheetData>
    <row r="1" spans="1:49" s="2" customFormat="1" ht="75.75" x14ac:dyDescent="0.25">
      <c r="A1" s="1" t="s">
        <v>0</v>
      </c>
      <c r="B1" s="17" t="s">
        <v>1</v>
      </c>
      <c r="C1" s="17" t="s">
        <v>2</v>
      </c>
      <c r="D1" s="17">
        <v>0.15</v>
      </c>
      <c r="E1" s="17">
        <v>0.01</v>
      </c>
      <c r="F1" s="17">
        <v>0.02</v>
      </c>
      <c r="G1" s="17">
        <v>0.03</v>
      </c>
      <c r="H1" s="17" t="s">
        <v>3</v>
      </c>
      <c r="I1" s="17" t="s">
        <v>4</v>
      </c>
      <c r="J1" s="17" t="s">
        <v>5</v>
      </c>
      <c r="K1" s="17" t="s">
        <v>6</v>
      </c>
      <c r="L1" s="17">
        <v>0.25</v>
      </c>
      <c r="M1" s="17" t="s">
        <v>7</v>
      </c>
      <c r="N1" s="17" t="s">
        <v>8</v>
      </c>
      <c r="O1" s="18" t="s">
        <v>9</v>
      </c>
      <c r="P1" s="17" t="s">
        <v>10</v>
      </c>
      <c r="Q1" s="17">
        <v>2014</v>
      </c>
      <c r="R1" s="17">
        <v>2015</v>
      </c>
      <c r="S1" s="17" t="s">
        <v>11</v>
      </c>
      <c r="T1" s="17" t="s">
        <v>12</v>
      </c>
      <c r="U1" s="17">
        <v>0.15</v>
      </c>
      <c r="V1" s="17">
        <v>0.01</v>
      </c>
      <c r="W1" s="17">
        <v>0.03</v>
      </c>
      <c r="X1" s="17" t="s">
        <v>13</v>
      </c>
      <c r="Y1" s="17" t="s">
        <v>14</v>
      </c>
      <c r="Z1" s="19" t="s">
        <v>15</v>
      </c>
      <c r="AA1" s="17">
        <v>0.15</v>
      </c>
      <c r="AB1" s="17">
        <v>0.01</v>
      </c>
      <c r="AC1" s="17">
        <v>0.02</v>
      </c>
      <c r="AD1" s="17">
        <v>0.03</v>
      </c>
      <c r="AE1" s="17">
        <v>0.08</v>
      </c>
      <c r="AF1" s="17">
        <v>0.1</v>
      </c>
      <c r="AG1" s="17">
        <v>0.01</v>
      </c>
      <c r="AH1" s="17">
        <v>0.15</v>
      </c>
      <c r="AI1" s="17">
        <v>0.01</v>
      </c>
      <c r="AJ1" s="18">
        <v>0.1</v>
      </c>
      <c r="AK1" s="17">
        <v>0.01</v>
      </c>
      <c r="AL1" s="17">
        <v>0.03</v>
      </c>
      <c r="AM1" s="17" t="s">
        <v>16</v>
      </c>
      <c r="AN1" s="17" t="s">
        <v>17</v>
      </c>
      <c r="AO1" s="17" t="s">
        <v>18</v>
      </c>
      <c r="AP1" s="17" t="s">
        <v>19</v>
      </c>
      <c r="AQ1" s="17" t="s">
        <v>20</v>
      </c>
      <c r="AR1" s="17" t="s">
        <v>21</v>
      </c>
      <c r="AS1" s="17" t="s">
        <v>22</v>
      </c>
      <c r="AT1" s="17" t="s">
        <v>23</v>
      </c>
      <c r="AU1" s="19" t="s">
        <v>24</v>
      </c>
      <c r="AV1" s="17" t="s">
        <v>25</v>
      </c>
      <c r="AW1" s="17" t="s">
        <v>26</v>
      </c>
    </row>
    <row r="2" spans="1:49" ht="18.75" x14ac:dyDescent="0.3">
      <c r="A2" s="3" t="s">
        <v>39</v>
      </c>
      <c r="B2" s="20">
        <v>60100</v>
      </c>
      <c r="C2" s="20">
        <v>147282</v>
      </c>
      <c r="D2" s="20">
        <f t="shared" ref="D2:D19" si="0">C2*15%</f>
        <v>22092.3</v>
      </c>
      <c r="E2" s="20">
        <f t="shared" ref="E2:E19" si="1">C2*1%</f>
        <v>1472.82</v>
      </c>
      <c r="F2" s="20">
        <f t="shared" ref="F2:F19" si="2">C2*2%</f>
        <v>2945.64</v>
      </c>
      <c r="G2" s="20">
        <f t="shared" ref="G2:G19" si="3">C2*3%</f>
        <v>4418.46</v>
      </c>
      <c r="H2" s="20">
        <v>3750</v>
      </c>
      <c r="I2" s="20">
        <f>B2*50/100</f>
        <v>30050</v>
      </c>
      <c r="J2" s="20">
        <v>105175</v>
      </c>
      <c r="K2" s="20">
        <v>15025</v>
      </c>
      <c r="L2" s="20">
        <f>B2*25/100</f>
        <v>15025</v>
      </c>
      <c r="M2" s="20">
        <v>35000</v>
      </c>
      <c r="N2" s="20">
        <v>400</v>
      </c>
      <c r="O2" s="21">
        <v>600</v>
      </c>
      <c r="P2" s="20">
        <v>10200</v>
      </c>
      <c r="Q2" s="20">
        <v>5589</v>
      </c>
      <c r="R2" s="20">
        <v>6010</v>
      </c>
      <c r="S2" s="20">
        <v>15000</v>
      </c>
      <c r="T2" s="20">
        <v>1000</v>
      </c>
      <c r="U2" s="20">
        <f t="shared" ref="U2:U19" si="4">AW2*15%</f>
        <v>36273.599999999999</v>
      </c>
      <c r="V2" s="20">
        <f t="shared" ref="V2:V19" si="5">AW2*1%</f>
        <v>2418.2400000000002</v>
      </c>
      <c r="W2" s="20">
        <f t="shared" ref="W2:W19" si="6">AW2*3%</f>
        <v>7254.7199999999993</v>
      </c>
      <c r="X2" s="20">
        <f t="shared" ref="X2:X19" si="7">SUM(C2:W2)</f>
        <v>466981.77999999991</v>
      </c>
      <c r="Y2" s="20">
        <v>48126</v>
      </c>
      <c r="Z2" s="22">
        <f t="shared" ref="Z2:Z19" si="8">SUM(X2:Y2)</f>
        <v>515107.77999999991</v>
      </c>
      <c r="AA2" s="20">
        <f t="shared" ref="AA2:AA19" si="9">C2*15%</f>
        <v>22092.3</v>
      </c>
      <c r="AB2" s="20">
        <f t="shared" ref="AB2:AB19" si="10">C2*1%</f>
        <v>1472.82</v>
      </c>
      <c r="AC2" s="20">
        <f t="shared" ref="AC2:AC19" si="11">C2*2%</f>
        <v>2945.64</v>
      </c>
      <c r="AD2" s="20">
        <f t="shared" ref="AD2:AD19" si="12">C2*3%</f>
        <v>4418.46</v>
      </c>
      <c r="AE2" s="20">
        <f t="shared" ref="AE2:AE19" si="13">C2*8%</f>
        <v>11782.56</v>
      </c>
      <c r="AF2" s="20">
        <f t="shared" ref="AF2:AF19" si="14">C2*10%</f>
        <v>14728.2</v>
      </c>
      <c r="AG2" s="20">
        <f t="shared" ref="AG2:AG19" si="15">C2*1%</f>
        <v>1472.82</v>
      </c>
      <c r="AH2" s="20">
        <f t="shared" ref="AH2:AH19" si="16">AW2*15%</f>
        <v>36273.599999999999</v>
      </c>
      <c r="AI2" s="20">
        <f t="shared" ref="AI2:AI19" si="17">AW2*1%</f>
        <v>2418.2400000000002</v>
      </c>
      <c r="AJ2" s="21">
        <f t="shared" ref="AJ2:AJ19" si="18">AW2*10%</f>
        <v>24182.400000000001</v>
      </c>
      <c r="AK2" s="20">
        <f t="shared" ref="AK2:AK19" si="19">AW2*1%</f>
        <v>2418.2400000000002</v>
      </c>
      <c r="AL2" s="20">
        <f t="shared" ref="AL2:AL19" si="20">AW2*3%</f>
        <v>7254.7199999999993</v>
      </c>
      <c r="AM2" s="20">
        <v>450</v>
      </c>
      <c r="AN2" s="20">
        <v>100</v>
      </c>
      <c r="AO2" s="20">
        <v>100</v>
      </c>
      <c r="AP2" s="20"/>
      <c r="AQ2" s="20">
        <v>25</v>
      </c>
      <c r="AR2" s="20">
        <f t="shared" ref="AR2:AR19" si="21">C2*7%</f>
        <v>10309.740000000002</v>
      </c>
      <c r="AS2" s="20">
        <v>1500</v>
      </c>
      <c r="AT2" s="20">
        <v>463</v>
      </c>
      <c r="AU2" s="22">
        <f t="shared" ref="AU2:AU20" si="22">SUM(AA2:AT2)</f>
        <v>144407.74</v>
      </c>
      <c r="AV2" s="20">
        <f t="shared" ref="AV2:AV20" si="23">Z2-AU2</f>
        <v>370700.03999999992</v>
      </c>
      <c r="AW2" s="20">
        <f>S2+R2+Q2+P2+O2+N2+M2+L2+K2+J2+I2+H2</f>
        <v>241824</v>
      </c>
    </row>
    <row r="3" spans="1:49" ht="18.75" x14ac:dyDescent="0.3">
      <c r="A3" s="3" t="s">
        <v>40</v>
      </c>
      <c r="B3" s="20">
        <v>35756</v>
      </c>
      <c r="C3" s="20">
        <v>105375</v>
      </c>
      <c r="D3" s="20">
        <f t="shared" si="0"/>
        <v>15806.25</v>
      </c>
      <c r="E3" s="20">
        <f t="shared" si="1"/>
        <v>1053.75</v>
      </c>
      <c r="F3" s="20">
        <f t="shared" si="2"/>
        <v>2107.5</v>
      </c>
      <c r="G3" s="20">
        <f t="shared" si="3"/>
        <v>3161.25</v>
      </c>
      <c r="H3" s="20">
        <v>2850</v>
      </c>
      <c r="I3" s="20">
        <f>B3*50/100</f>
        <v>17878</v>
      </c>
      <c r="J3" s="20">
        <v>53634</v>
      </c>
      <c r="K3" s="20">
        <v>8939</v>
      </c>
      <c r="L3" s="20">
        <f>B3*25/100</f>
        <v>8939</v>
      </c>
      <c r="M3" s="20">
        <v>37500</v>
      </c>
      <c r="N3" s="20">
        <v>400</v>
      </c>
      <c r="O3" s="21">
        <v>600</v>
      </c>
      <c r="P3" s="20">
        <v>10000</v>
      </c>
      <c r="Q3" s="20">
        <v>3356</v>
      </c>
      <c r="R3" s="20">
        <v>3575</v>
      </c>
      <c r="S3" s="20">
        <v>15000</v>
      </c>
      <c r="T3" s="20">
        <v>1000</v>
      </c>
      <c r="U3" s="20">
        <f t="shared" si="4"/>
        <v>24400.649999999998</v>
      </c>
      <c r="V3" s="20">
        <f t="shared" si="5"/>
        <v>1626.71</v>
      </c>
      <c r="W3" s="20">
        <f t="shared" si="6"/>
        <v>4880.13</v>
      </c>
      <c r="X3" s="20">
        <f t="shared" si="7"/>
        <v>322082.24000000005</v>
      </c>
      <c r="Y3" s="20">
        <v>48126</v>
      </c>
      <c r="Z3" s="22">
        <f t="shared" si="8"/>
        <v>370208.24000000005</v>
      </c>
      <c r="AA3" s="20">
        <f t="shared" si="9"/>
        <v>15806.25</v>
      </c>
      <c r="AB3" s="20">
        <f t="shared" si="10"/>
        <v>1053.75</v>
      </c>
      <c r="AC3" s="20">
        <f t="shared" si="11"/>
        <v>2107.5</v>
      </c>
      <c r="AD3" s="20">
        <f t="shared" si="12"/>
        <v>3161.25</v>
      </c>
      <c r="AE3" s="20">
        <f t="shared" si="13"/>
        <v>8430</v>
      </c>
      <c r="AF3" s="20">
        <f t="shared" si="14"/>
        <v>10537.5</v>
      </c>
      <c r="AG3" s="20">
        <f t="shared" si="15"/>
        <v>1053.75</v>
      </c>
      <c r="AH3" s="20">
        <f t="shared" si="16"/>
        <v>24400.649999999998</v>
      </c>
      <c r="AI3" s="20">
        <f t="shared" si="17"/>
        <v>1626.71</v>
      </c>
      <c r="AJ3" s="21">
        <f t="shared" si="18"/>
        <v>16267.1</v>
      </c>
      <c r="AK3" s="20">
        <f t="shared" si="19"/>
        <v>1626.71</v>
      </c>
      <c r="AL3" s="20">
        <f t="shared" si="20"/>
        <v>4880.13</v>
      </c>
      <c r="AM3" s="20">
        <v>450</v>
      </c>
      <c r="AN3" s="20">
        <v>100</v>
      </c>
      <c r="AO3" s="20">
        <v>100</v>
      </c>
      <c r="AP3" s="20"/>
      <c r="AQ3" s="20">
        <v>26</v>
      </c>
      <c r="AR3" s="20">
        <f t="shared" si="21"/>
        <v>7376.2500000000009</v>
      </c>
      <c r="AS3" s="20">
        <v>2170</v>
      </c>
      <c r="AT3" s="20">
        <v>335</v>
      </c>
      <c r="AU3" s="22">
        <f t="shared" ref="AU3" si="24">SUM(AA3:AT3)</f>
        <v>101508.55000000002</v>
      </c>
      <c r="AV3" s="20">
        <f t="shared" si="23"/>
        <v>268699.69000000006</v>
      </c>
      <c r="AW3" s="20">
        <f>S3+R3+Q3+P3+O3+N3+M3+L3+K3+J3+I3+H3</f>
        <v>162671</v>
      </c>
    </row>
    <row r="4" spans="1:49" ht="18.75" x14ac:dyDescent="0.3">
      <c r="A4" s="3" t="s">
        <v>41</v>
      </c>
      <c r="B4" s="20">
        <v>39460</v>
      </c>
      <c r="C4" s="20">
        <v>111591</v>
      </c>
      <c r="D4" s="20">
        <f t="shared" si="0"/>
        <v>16738.649999999998</v>
      </c>
      <c r="E4" s="20">
        <f t="shared" si="1"/>
        <v>1115.9100000000001</v>
      </c>
      <c r="F4" s="20">
        <f t="shared" si="2"/>
        <v>2231.8200000000002</v>
      </c>
      <c r="G4" s="20">
        <f t="shared" si="3"/>
        <v>3347.73</v>
      </c>
      <c r="H4" s="20">
        <v>2850</v>
      </c>
      <c r="I4" s="20">
        <f t="shared" ref="I4:I19" si="25">B4*50/100</f>
        <v>19730</v>
      </c>
      <c r="J4" s="20">
        <v>59190</v>
      </c>
      <c r="K4" s="20">
        <v>9865</v>
      </c>
      <c r="L4" s="20">
        <f t="shared" ref="L4:L19" si="26">B4*25/100</f>
        <v>9865</v>
      </c>
      <c r="M4" s="20">
        <v>37500</v>
      </c>
      <c r="N4" s="20">
        <v>400</v>
      </c>
      <c r="O4" s="21">
        <v>600</v>
      </c>
      <c r="P4" s="20">
        <v>10000</v>
      </c>
      <c r="Q4" s="20">
        <v>3709</v>
      </c>
      <c r="R4" s="20">
        <v>3946</v>
      </c>
      <c r="S4" s="20">
        <v>15000</v>
      </c>
      <c r="T4" s="20">
        <v>1000</v>
      </c>
      <c r="U4" s="20">
        <f t="shared" si="4"/>
        <v>25898.25</v>
      </c>
      <c r="V4" s="20">
        <f t="shared" si="5"/>
        <v>1726.55</v>
      </c>
      <c r="W4" s="20">
        <f t="shared" si="6"/>
        <v>5179.6499999999996</v>
      </c>
      <c r="X4" s="20">
        <f t="shared" si="7"/>
        <v>341484.56</v>
      </c>
      <c r="Y4" s="20">
        <v>48126</v>
      </c>
      <c r="Z4" s="22">
        <f t="shared" si="8"/>
        <v>389610.56</v>
      </c>
      <c r="AA4" s="20">
        <f t="shared" si="9"/>
        <v>16738.649999999998</v>
      </c>
      <c r="AB4" s="20">
        <f t="shared" si="10"/>
        <v>1115.9100000000001</v>
      </c>
      <c r="AC4" s="20">
        <f t="shared" si="11"/>
        <v>2231.8200000000002</v>
      </c>
      <c r="AD4" s="20">
        <f t="shared" si="12"/>
        <v>3347.73</v>
      </c>
      <c r="AE4" s="20">
        <f t="shared" si="13"/>
        <v>8927.2800000000007</v>
      </c>
      <c r="AF4" s="20">
        <f t="shared" si="14"/>
        <v>11159.1</v>
      </c>
      <c r="AG4" s="20">
        <f t="shared" si="15"/>
        <v>1115.9100000000001</v>
      </c>
      <c r="AH4" s="20">
        <f t="shared" si="16"/>
        <v>25898.25</v>
      </c>
      <c r="AI4" s="20">
        <f t="shared" si="17"/>
        <v>1726.55</v>
      </c>
      <c r="AJ4" s="21">
        <f t="shared" si="18"/>
        <v>17265.5</v>
      </c>
      <c r="AK4" s="20">
        <f t="shared" si="19"/>
        <v>1726.55</v>
      </c>
      <c r="AL4" s="20">
        <f t="shared" si="20"/>
        <v>5179.6499999999996</v>
      </c>
      <c r="AM4" s="20">
        <v>450</v>
      </c>
      <c r="AN4" s="20">
        <v>100</v>
      </c>
      <c r="AO4" s="20">
        <v>100</v>
      </c>
      <c r="AP4" s="20"/>
      <c r="AQ4" s="20">
        <v>25</v>
      </c>
      <c r="AR4" s="20">
        <f t="shared" si="21"/>
        <v>7811.3700000000008</v>
      </c>
      <c r="AS4" s="20">
        <v>1000</v>
      </c>
      <c r="AT4" s="20">
        <v>291</v>
      </c>
      <c r="AU4" s="22">
        <f t="shared" si="22"/>
        <v>106210.26999999999</v>
      </c>
      <c r="AV4" s="20">
        <f t="shared" si="23"/>
        <v>283400.29000000004</v>
      </c>
      <c r="AW4" s="20">
        <f t="shared" ref="AW4:AW19" si="27">S4+R4+Q4+P4+O4+N4+M4+L4+K4+J4+I4+H4</f>
        <v>172655</v>
      </c>
    </row>
    <row r="5" spans="1:49" ht="18.75" x14ac:dyDescent="0.3">
      <c r="A5" s="3" t="s">
        <v>42</v>
      </c>
      <c r="B5" s="20">
        <v>35596</v>
      </c>
      <c r="C5" s="20">
        <v>104968</v>
      </c>
      <c r="D5" s="20">
        <f t="shared" si="0"/>
        <v>15745.199999999999</v>
      </c>
      <c r="E5" s="20">
        <f t="shared" si="1"/>
        <v>1049.68</v>
      </c>
      <c r="F5" s="20">
        <f t="shared" si="2"/>
        <v>2099.36</v>
      </c>
      <c r="G5" s="20">
        <f t="shared" si="3"/>
        <v>3149.04</v>
      </c>
      <c r="H5" s="20">
        <v>2850</v>
      </c>
      <c r="I5" s="20">
        <f t="shared" si="25"/>
        <v>17798</v>
      </c>
      <c r="J5" s="20">
        <v>53394</v>
      </c>
      <c r="K5" s="20">
        <v>8899</v>
      </c>
      <c r="L5" s="20">
        <f t="shared" si="26"/>
        <v>8899</v>
      </c>
      <c r="M5" s="20">
        <v>37500</v>
      </c>
      <c r="N5" s="20">
        <v>400</v>
      </c>
      <c r="O5" s="21">
        <v>600</v>
      </c>
      <c r="P5" s="20">
        <v>10000</v>
      </c>
      <c r="Q5" s="20">
        <v>3345</v>
      </c>
      <c r="R5" s="20">
        <v>3560</v>
      </c>
      <c r="S5" s="20">
        <v>15000</v>
      </c>
      <c r="T5" s="20">
        <v>1000</v>
      </c>
      <c r="U5" s="20">
        <f t="shared" si="4"/>
        <v>24336.75</v>
      </c>
      <c r="V5" s="20">
        <f t="shared" si="5"/>
        <v>1622.45</v>
      </c>
      <c r="W5" s="20">
        <f t="shared" si="6"/>
        <v>4867.3499999999995</v>
      </c>
      <c r="X5" s="20">
        <f t="shared" si="7"/>
        <v>321082.82999999996</v>
      </c>
      <c r="Y5" s="20">
        <v>48126</v>
      </c>
      <c r="Z5" s="22">
        <f t="shared" si="8"/>
        <v>369208.82999999996</v>
      </c>
      <c r="AA5" s="20">
        <f t="shared" si="9"/>
        <v>15745.199999999999</v>
      </c>
      <c r="AB5" s="20">
        <f t="shared" si="10"/>
        <v>1049.68</v>
      </c>
      <c r="AC5" s="20">
        <f t="shared" si="11"/>
        <v>2099.36</v>
      </c>
      <c r="AD5" s="20">
        <f t="shared" si="12"/>
        <v>3149.04</v>
      </c>
      <c r="AE5" s="20">
        <f t="shared" si="13"/>
        <v>8397.44</v>
      </c>
      <c r="AF5" s="20">
        <f t="shared" si="14"/>
        <v>10496.800000000001</v>
      </c>
      <c r="AG5" s="20">
        <f t="shared" si="15"/>
        <v>1049.68</v>
      </c>
      <c r="AH5" s="20">
        <f t="shared" si="16"/>
        <v>24336.75</v>
      </c>
      <c r="AI5" s="20">
        <f t="shared" si="17"/>
        <v>1622.45</v>
      </c>
      <c r="AJ5" s="21">
        <f t="shared" si="18"/>
        <v>16224.5</v>
      </c>
      <c r="AK5" s="20">
        <f t="shared" si="19"/>
        <v>1622.45</v>
      </c>
      <c r="AL5" s="20">
        <f t="shared" si="20"/>
        <v>4867.3499999999995</v>
      </c>
      <c r="AM5" s="20">
        <v>450</v>
      </c>
      <c r="AN5" s="20">
        <v>100</v>
      </c>
      <c r="AO5" s="20">
        <v>100</v>
      </c>
      <c r="AP5" s="20"/>
      <c r="AQ5" s="20">
        <v>25</v>
      </c>
      <c r="AR5" s="20">
        <f t="shared" si="21"/>
        <v>7347.7600000000011</v>
      </c>
      <c r="AS5" s="20">
        <v>500</v>
      </c>
      <c r="AT5" s="20">
        <v>325</v>
      </c>
      <c r="AU5" s="22">
        <f t="shared" si="22"/>
        <v>99508.46</v>
      </c>
      <c r="AV5" s="20">
        <f t="shared" si="23"/>
        <v>269700.36999999994</v>
      </c>
      <c r="AW5" s="20">
        <f t="shared" si="27"/>
        <v>162245</v>
      </c>
    </row>
    <row r="6" spans="1:49" ht="18.75" x14ac:dyDescent="0.3">
      <c r="A6" s="3" t="s">
        <v>43</v>
      </c>
      <c r="B6" s="20">
        <v>35196</v>
      </c>
      <c r="C6" s="20">
        <v>104468</v>
      </c>
      <c r="D6" s="20">
        <f t="shared" si="0"/>
        <v>15670.199999999999</v>
      </c>
      <c r="E6" s="20">
        <f t="shared" si="1"/>
        <v>1044.68</v>
      </c>
      <c r="F6" s="20">
        <f t="shared" si="2"/>
        <v>2089.36</v>
      </c>
      <c r="G6" s="20">
        <f t="shared" si="3"/>
        <v>3134.04</v>
      </c>
      <c r="H6" s="20">
        <v>2850</v>
      </c>
      <c r="I6" s="20">
        <f t="shared" si="25"/>
        <v>17598</v>
      </c>
      <c r="J6" s="20">
        <v>52794</v>
      </c>
      <c r="K6" s="20">
        <v>8799</v>
      </c>
      <c r="L6" s="20">
        <f t="shared" si="26"/>
        <v>8799</v>
      </c>
      <c r="M6" s="20">
        <v>37500</v>
      </c>
      <c r="N6" s="20">
        <v>400</v>
      </c>
      <c r="O6" s="21">
        <v>400</v>
      </c>
      <c r="P6" s="20">
        <v>10000</v>
      </c>
      <c r="Q6" s="20">
        <v>3305</v>
      </c>
      <c r="R6" s="20">
        <v>3520</v>
      </c>
      <c r="S6" s="20">
        <v>15000</v>
      </c>
      <c r="T6" s="20">
        <v>1000</v>
      </c>
      <c r="U6" s="20">
        <f t="shared" si="4"/>
        <v>24144.75</v>
      </c>
      <c r="V6" s="20">
        <f t="shared" si="5"/>
        <v>1609.65</v>
      </c>
      <c r="W6" s="20">
        <f t="shared" si="6"/>
        <v>4828.95</v>
      </c>
      <c r="X6" s="20">
        <f t="shared" si="7"/>
        <v>318954.63</v>
      </c>
      <c r="Y6" s="20">
        <v>45834</v>
      </c>
      <c r="Z6" s="22">
        <f t="shared" si="8"/>
        <v>364788.63</v>
      </c>
      <c r="AA6" s="20">
        <f t="shared" si="9"/>
        <v>15670.199999999999</v>
      </c>
      <c r="AB6" s="20">
        <f t="shared" si="10"/>
        <v>1044.68</v>
      </c>
      <c r="AC6" s="20">
        <f t="shared" si="11"/>
        <v>2089.36</v>
      </c>
      <c r="AD6" s="20">
        <f t="shared" si="12"/>
        <v>3134.04</v>
      </c>
      <c r="AE6" s="20">
        <f t="shared" si="13"/>
        <v>8357.44</v>
      </c>
      <c r="AF6" s="20">
        <f t="shared" si="14"/>
        <v>10446.800000000001</v>
      </c>
      <c r="AG6" s="20">
        <f t="shared" si="15"/>
        <v>1044.68</v>
      </c>
      <c r="AH6" s="20">
        <f t="shared" si="16"/>
        <v>24144.75</v>
      </c>
      <c r="AI6" s="20">
        <f t="shared" si="17"/>
        <v>1609.65</v>
      </c>
      <c r="AJ6" s="21">
        <f t="shared" si="18"/>
        <v>16096.5</v>
      </c>
      <c r="AK6" s="20">
        <f t="shared" si="19"/>
        <v>1609.65</v>
      </c>
      <c r="AL6" s="20">
        <f t="shared" si="20"/>
        <v>4828.95</v>
      </c>
      <c r="AM6" s="20">
        <v>450</v>
      </c>
      <c r="AN6" s="20">
        <v>100</v>
      </c>
      <c r="AO6" s="20">
        <v>100</v>
      </c>
      <c r="AP6" s="20"/>
      <c r="AQ6" s="20">
        <v>25</v>
      </c>
      <c r="AR6" s="20">
        <f t="shared" si="21"/>
        <v>7312.7600000000011</v>
      </c>
      <c r="AS6" s="20">
        <v>500</v>
      </c>
      <c r="AT6" s="20">
        <v>324</v>
      </c>
      <c r="AU6" s="22">
        <f t="shared" si="22"/>
        <v>98888.459999999992</v>
      </c>
      <c r="AV6" s="20">
        <f t="shared" si="23"/>
        <v>265900.17000000004</v>
      </c>
      <c r="AW6" s="20">
        <f t="shared" si="27"/>
        <v>160965</v>
      </c>
    </row>
    <row r="7" spans="1:49" ht="18.75" x14ac:dyDescent="0.3">
      <c r="A7" s="3" t="s">
        <v>28</v>
      </c>
      <c r="B7" s="20">
        <v>25800</v>
      </c>
      <c r="C7" s="20">
        <v>88551</v>
      </c>
      <c r="D7" s="20">
        <f t="shared" si="0"/>
        <v>13282.65</v>
      </c>
      <c r="E7" s="20">
        <f t="shared" si="1"/>
        <v>885.51</v>
      </c>
      <c r="F7" s="20">
        <f t="shared" si="2"/>
        <v>1771.02</v>
      </c>
      <c r="G7" s="20">
        <f t="shared" si="3"/>
        <v>2656.5299999999997</v>
      </c>
      <c r="H7" s="20">
        <v>2100</v>
      </c>
      <c r="I7" s="20">
        <f t="shared" si="25"/>
        <v>12900</v>
      </c>
      <c r="J7" s="20">
        <v>32250</v>
      </c>
      <c r="K7" s="20">
        <v>12900</v>
      </c>
      <c r="L7" s="20">
        <f t="shared" si="26"/>
        <v>6450</v>
      </c>
      <c r="M7" s="20">
        <v>40000</v>
      </c>
      <c r="N7" s="20">
        <v>400</v>
      </c>
      <c r="O7" s="21">
        <v>600</v>
      </c>
      <c r="P7" s="20">
        <v>0</v>
      </c>
      <c r="Q7" s="20">
        <v>2492</v>
      </c>
      <c r="R7" s="20">
        <v>2580</v>
      </c>
      <c r="S7" s="20">
        <v>15000</v>
      </c>
      <c r="T7" s="20">
        <v>1000</v>
      </c>
      <c r="U7" s="20">
        <f t="shared" si="4"/>
        <v>19150.8</v>
      </c>
      <c r="V7" s="20">
        <f t="shared" si="5"/>
        <v>1276.72</v>
      </c>
      <c r="W7" s="20">
        <f t="shared" si="6"/>
        <v>3830.16</v>
      </c>
      <c r="X7" s="20">
        <f t="shared" si="7"/>
        <v>260076.38999999998</v>
      </c>
      <c r="Y7" s="20">
        <v>48126</v>
      </c>
      <c r="Z7" s="22">
        <f t="shared" si="8"/>
        <v>308202.39</v>
      </c>
      <c r="AA7" s="20">
        <f t="shared" si="9"/>
        <v>13282.65</v>
      </c>
      <c r="AB7" s="20">
        <f t="shared" si="10"/>
        <v>885.51</v>
      </c>
      <c r="AC7" s="20">
        <f t="shared" si="11"/>
        <v>1771.02</v>
      </c>
      <c r="AD7" s="20">
        <f t="shared" si="12"/>
        <v>2656.5299999999997</v>
      </c>
      <c r="AE7" s="20">
        <f t="shared" si="13"/>
        <v>7084.08</v>
      </c>
      <c r="AF7" s="20">
        <f t="shared" si="14"/>
        <v>8855.1</v>
      </c>
      <c r="AG7" s="20">
        <f t="shared" si="15"/>
        <v>885.51</v>
      </c>
      <c r="AH7" s="20">
        <f t="shared" si="16"/>
        <v>19150.8</v>
      </c>
      <c r="AI7" s="20">
        <f t="shared" si="17"/>
        <v>1276.72</v>
      </c>
      <c r="AJ7" s="21">
        <f t="shared" si="18"/>
        <v>12767.2</v>
      </c>
      <c r="AK7" s="20">
        <f t="shared" si="19"/>
        <v>1276.72</v>
      </c>
      <c r="AL7" s="20">
        <f t="shared" si="20"/>
        <v>3830.16</v>
      </c>
      <c r="AM7" s="20">
        <v>450</v>
      </c>
      <c r="AN7" s="20">
        <v>100</v>
      </c>
      <c r="AO7" s="20">
        <v>100</v>
      </c>
      <c r="AP7" s="20"/>
      <c r="AQ7" s="20">
        <v>25</v>
      </c>
      <c r="AR7" s="20">
        <f t="shared" si="21"/>
        <v>6198.5700000000006</v>
      </c>
      <c r="AS7" s="20">
        <v>0</v>
      </c>
      <c r="AT7" s="20">
        <v>307</v>
      </c>
      <c r="AU7" s="22">
        <f t="shared" si="22"/>
        <v>80902.570000000007</v>
      </c>
      <c r="AV7" s="20">
        <f t="shared" si="23"/>
        <v>227299.82</v>
      </c>
      <c r="AW7" s="20">
        <f t="shared" si="27"/>
        <v>127672</v>
      </c>
    </row>
    <row r="8" spans="1:49" ht="18.75" x14ac:dyDescent="0.3">
      <c r="A8" s="3" t="s">
        <v>27</v>
      </c>
      <c r="B8" s="20">
        <v>25800</v>
      </c>
      <c r="C8" s="20">
        <v>88551</v>
      </c>
      <c r="D8" s="20">
        <f t="shared" si="0"/>
        <v>13282.65</v>
      </c>
      <c r="E8" s="20">
        <f t="shared" si="1"/>
        <v>885.51</v>
      </c>
      <c r="F8" s="20">
        <f t="shared" si="2"/>
        <v>1771.02</v>
      </c>
      <c r="G8" s="20">
        <f t="shared" si="3"/>
        <v>2656.5299999999997</v>
      </c>
      <c r="H8" s="20">
        <v>2100</v>
      </c>
      <c r="I8" s="20">
        <f t="shared" si="25"/>
        <v>12900</v>
      </c>
      <c r="J8" s="20">
        <v>32250</v>
      </c>
      <c r="K8" s="20">
        <v>12900</v>
      </c>
      <c r="L8" s="20">
        <f t="shared" si="26"/>
        <v>6450</v>
      </c>
      <c r="M8" s="20">
        <v>40000</v>
      </c>
      <c r="N8" s="20">
        <v>400</v>
      </c>
      <c r="O8" s="21">
        <v>600</v>
      </c>
      <c r="P8" s="20">
        <v>4000</v>
      </c>
      <c r="Q8" s="20">
        <v>2492</v>
      </c>
      <c r="R8" s="20">
        <v>2580</v>
      </c>
      <c r="S8" s="20">
        <v>15000</v>
      </c>
      <c r="T8" s="20">
        <v>1000</v>
      </c>
      <c r="U8" s="20">
        <f t="shared" si="4"/>
        <v>19750.8</v>
      </c>
      <c r="V8" s="20">
        <f t="shared" si="5"/>
        <v>1316.72</v>
      </c>
      <c r="W8" s="20">
        <f t="shared" si="6"/>
        <v>3950.16</v>
      </c>
      <c r="X8" s="20">
        <f t="shared" si="7"/>
        <v>264836.38999999996</v>
      </c>
      <c r="Y8" s="20">
        <v>48126</v>
      </c>
      <c r="Z8" s="22">
        <f t="shared" si="8"/>
        <v>312962.38999999996</v>
      </c>
      <c r="AA8" s="20">
        <f t="shared" si="9"/>
        <v>13282.65</v>
      </c>
      <c r="AB8" s="20">
        <f t="shared" si="10"/>
        <v>885.51</v>
      </c>
      <c r="AC8" s="20">
        <f t="shared" si="11"/>
        <v>1771.02</v>
      </c>
      <c r="AD8" s="20">
        <f t="shared" si="12"/>
        <v>2656.5299999999997</v>
      </c>
      <c r="AE8" s="20">
        <f t="shared" si="13"/>
        <v>7084.08</v>
      </c>
      <c r="AF8" s="20">
        <f t="shared" si="14"/>
        <v>8855.1</v>
      </c>
      <c r="AG8" s="20">
        <f t="shared" si="15"/>
        <v>885.51</v>
      </c>
      <c r="AH8" s="20">
        <f t="shared" si="16"/>
        <v>19750.8</v>
      </c>
      <c r="AI8" s="20">
        <f t="shared" si="17"/>
        <v>1316.72</v>
      </c>
      <c r="AJ8" s="21">
        <f t="shared" si="18"/>
        <v>13167.2</v>
      </c>
      <c r="AK8" s="20">
        <f t="shared" si="19"/>
        <v>1316.72</v>
      </c>
      <c r="AL8" s="20">
        <f t="shared" si="20"/>
        <v>3950.16</v>
      </c>
      <c r="AM8" s="20">
        <v>450</v>
      </c>
      <c r="AN8" s="20">
        <v>100</v>
      </c>
      <c r="AO8" s="20">
        <v>100</v>
      </c>
      <c r="AP8" s="20"/>
      <c r="AQ8" s="20">
        <v>25</v>
      </c>
      <c r="AR8" s="20">
        <f t="shared" si="21"/>
        <v>6198.5700000000006</v>
      </c>
      <c r="AS8" s="20">
        <v>0</v>
      </c>
      <c r="AT8" s="20">
        <v>267</v>
      </c>
      <c r="AU8" s="22">
        <f t="shared" si="22"/>
        <v>82062.570000000007</v>
      </c>
      <c r="AV8" s="20">
        <f t="shared" si="23"/>
        <v>230899.81999999995</v>
      </c>
      <c r="AW8" s="20">
        <f t="shared" si="27"/>
        <v>131672</v>
      </c>
    </row>
    <row r="9" spans="1:49" ht="18.75" x14ac:dyDescent="0.3">
      <c r="A9" s="3" t="s">
        <v>44</v>
      </c>
      <c r="B9" s="20">
        <v>25800</v>
      </c>
      <c r="C9" s="20">
        <v>88551</v>
      </c>
      <c r="D9" s="20">
        <f t="shared" si="0"/>
        <v>13282.65</v>
      </c>
      <c r="E9" s="20">
        <f t="shared" si="1"/>
        <v>885.51</v>
      </c>
      <c r="F9" s="20">
        <f t="shared" si="2"/>
        <v>1771.02</v>
      </c>
      <c r="G9" s="20">
        <f t="shared" si="3"/>
        <v>2656.5299999999997</v>
      </c>
      <c r="H9" s="20">
        <v>2100</v>
      </c>
      <c r="I9" s="20">
        <f t="shared" si="25"/>
        <v>12900</v>
      </c>
      <c r="J9" s="20">
        <v>32250</v>
      </c>
      <c r="K9" s="20">
        <v>12900</v>
      </c>
      <c r="L9" s="20">
        <f t="shared" si="26"/>
        <v>6450</v>
      </c>
      <c r="M9" s="20">
        <v>40000</v>
      </c>
      <c r="N9" s="20">
        <v>400</v>
      </c>
      <c r="O9" s="21">
        <v>200</v>
      </c>
      <c r="P9" s="20">
        <v>0</v>
      </c>
      <c r="Q9" s="20">
        <v>2492</v>
      </c>
      <c r="R9" s="20">
        <v>2580</v>
      </c>
      <c r="S9" s="20">
        <v>15000</v>
      </c>
      <c r="T9" s="20">
        <v>1000</v>
      </c>
      <c r="U9" s="20">
        <f t="shared" si="4"/>
        <v>19090.8</v>
      </c>
      <c r="V9" s="20">
        <f t="shared" si="5"/>
        <v>1272.72</v>
      </c>
      <c r="W9" s="20">
        <f t="shared" si="6"/>
        <v>3818.16</v>
      </c>
      <c r="X9" s="20">
        <f t="shared" si="7"/>
        <v>259600.38999999998</v>
      </c>
      <c r="Y9" s="20">
        <v>16042</v>
      </c>
      <c r="Z9" s="22">
        <f t="shared" si="8"/>
        <v>275642.39</v>
      </c>
      <c r="AA9" s="20">
        <f t="shared" si="9"/>
        <v>13282.65</v>
      </c>
      <c r="AB9" s="20">
        <f t="shared" si="10"/>
        <v>885.51</v>
      </c>
      <c r="AC9" s="20">
        <f t="shared" si="11"/>
        <v>1771.02</v>
      </c>
      <c r="AD9" s="20">
        <f t="shared" si="12"/>
        <v>2656.5299999999997</v>
      </c>
      <c r="AE9" s="20">
        <f t="shared" si="13"/>
        <v>7084.08</v>
      </c>
      <c r="AF9" s="20">
        <f t="shared" si="14"/>
        <v>8855.1</v>
      </c>
      <c r="AG9" s="20">
        <f t="shared" si="15"/>
        <v>885.51</v>
      </c>
      <c r="AH9" s="20">
        <f t="shared" si="16"/>
        <v>19090.8</v>
      </c>
      <c r="AI9" s="20">
        <f t="shared" si="17"/>
        <v>1272.72</v>
      </c>
      <c r="AJ9" s="21">
        <f t="shared" si="18"/>
        <v>12727.2</v>
      </c>
      <c r="AK9" s="20">
        <f t="shared" si="19"/>
        <v>1272.72</v>
      </c>
      <c r="AL9" s="20">
        <f t="shared" si="20"/>
        <v>3818.16</v>
      </c>
      <c r="AM9" s="20">
        <v>450</v>
      </c>
      <c r="AN9" s="20">
        <v>100</v>
      </c>
      <c r="AO9" s="20">
        <v>100</v>
      </c>
      <c r="AP9" s="20"/>
      <c r="AQ9" s="20">
        <v>25</v>
      </c>
      <c r="AR9" s="20">
        <f t="shared" si="21"/>
        <v>6198.5700000000006</v>
      </c>
      <c r="AS9" s="20">
        <v>0</v>
      </c>
      <c r="AT9" s="20">
        <v>267</v>
      </c>
      <c r="AU9" s="22">
        <f t="shared" si="22"/>
        <v>80742.570000000007</v>
      </c>
      <c r="AV9" s="20">
        <f t="shared" si="23"/>
        <v>194899.82</v>
      </c>
      <c r="AW9" s="20">
        <f t="shared" si="27"/>
        <v>127272</v>
      </c>
    </row>
    <row r="10" spans="1:49" ht="18.75" x14ac:dyDescent="0.3">
      <c r="A10" s="3" t="s">
        <v>45</v>
      </c>
      <c r="B10" s="20">
        <v>25800</v>
      </c>
      <c r="C10" s="20">
        <v>88551</v>
      </c>
      <c r="D10" s="20">
        <f t="shared" si="0"/>
        <v>13282.65</v>
      </c>
      <c r="E10" s="20">
        <f t="shared" si="1"/>
        <v>885.51</v>
      </c>
      <c r="F10" s="20">
        <f t="shared" si="2"/>
        <v>1771.02</v>
      </c>
      <c r="G10" s="20">
        <f t="shared" si="3"/>
        <v>2656.5299999999997</v>
      </c>
      <c r="H10" s="20">
        <v>2100</v>
      </c>
      <c r="I10" s="20">
        <f t="shared" si="25"/>
        <v>12900</v>
      </c>
      <c r="J10" s="20">
        <v>32250</v>
      </c>
      <c r="K10" s="20">
        <v>12900</v>
      </c>
      <c r="L10" s="20">
        <f t="shared" si="26"/>
        <v>6450</v>
      </c>
      <c r="M10" s="20">
        <v>40000</v>
      </c>
      <c r="N10" s="20">
        <v>400</v>
      </c>
      <c r="O10" s="21">
        <v>400</v>
      </c>
      <c r="P10" s="20">
        <v>10000</v>
      </c>
      <c r="Q10" s="20">
        <v>2492</v>
      </c>
      <c r="R10" s="20">
        <v>2580</v>
      </c>
      <c r="S10" s="20">
        <v>15000</v>
      </c>
      <c r="T10" s="20">
        <v>1000</v>
      </c>
      <c r="U10" s="20">
        <f t="shared" si="4"/>
        <v>20620.8</v>
      </c>
      <c r="V10" s="20">
        <f t="shared" si="5"/>
        <v>1374.72</v>
      </c>
      <c r="W10" s="20">
        <f t="shared" si="6"/>
        <v>4124.16</v>
      </c>
      <c r="X10" s="20">
        <f t="shared" si="7"/>
        <v>271738.38999999996</v>
      </c>
      <c r="Y10" s="20">
        <v>48126</v>
      </c>
      <c r="Z10" s="22">
        <f t="shared" si="8"/>
        <v>319864.38999999996</v>
      </c>
      <c r="AA10" s="20">
        <f t="shared" si="9"/>
        <v>13282.65</v>
      </c>
      <c r="AB10" s="20">
        <f t="shared" si="10"/>
        <v>885.51</v>
      </c>
      <c r="AC10" s="20">
        <f t="shared" si="11"/>
        <v>1771.02</v>
      </c>
      <c r="AD10" s="20">
        <f t="shared" si="12"/>
        <v>2656.5299999999997</v>
      </c>
      <c r="AE10" s="20">
        <f t="shared" si="13"/>
        <v>7084.08</v>
      </c>
      <c r="AF10" s="20">
        <f t="shared" si="14"/>
        <v>8855.1</v>
      </c>
      <c r="AG10" s="20">
        <f t="shared" si="15"/>
        <v>885.51</v>
      </c>
      <c r="AH10" s="20">
        <f t="shared" si="16"/>
        <v>20620.8</v>
      </c>
      <c r="AI10" s="20">
        <f t="shared" si="17"/>
        <v>1374.72</v>
      </c>
      <c r="AJ10" s="21">
        <f t="shared" si="18"/>
        <v>13747.2</v>
      </c>
      <c r="AK10" s="20">
        <f t="shared" si="19"/>
        <v>1374.72</v>
      </c>
      <c r="AL10" s="20">
        <f t="shared" si="20"/>
        <v>4124.16</v>
      </c>
      <c r="AM10" s="20">
        <v>450</v>
      </c>
      <c r="AN10" s="20">
        <v>100</v>
      </c>
      <c r="AO10" s="20">
        <v>100</v>
      </c>
      <c r="AP10" s="20"/>
      <c r="AQ10" s="20">
        <v>25</v>
      </c>
      <c r="AR10" s="20">
        <f t="shared" si="21"/>
        <v>6198.5700000000006</v>
      </c>
      <c r="AS10" s="20">
        <v>0</v>
      </c>
      <c r="AT10" s="20">
        <v>329</v>
      </c>
      <c r="AU10" s="22">
        <f t="shared" si="22"/>
        <v>83864.570000000007</v>
      </c>
      <c r="AV10" s="20">
        <f t="shared" si="23"/>
        <v>235999.81999999995</v>
      </c>
      <c r="AW10" s="20">
        <f t="shared" si="27"/>
        <v>137472</v>
      </c>
    </row>
    <row r="11" spans="1:49" ht="18.75" x14ac:dyDescent="0.3">
      <c r="A11" s="3" t="s">
        <v>46</v>
      </c>
      <c r="B11" s="20">
        <v>24600</v>
      </c>
      <c r="C11" s="20">
        <v>81500</v>
      </c>
      <c r="D11" s="20">
        <f t="shared" si="0"/>
        <v>12225</v>
      </c>
      <c r="E11" s="20">
        <f t="shared" si="1"/>
        <v>815</v>
      </c>
      <c r="F11" s="20">
        <f t="shared" si="2"/>
        <v>1630</v>
      </c>
      <c r="G11" s="20">
        <f t="shared" si="3"/>
        <v>2445</v>
      </c>
      <c r="H11" s="20">
        <v>1440</v>
      </c>
      <c r="I11" s="20">
        <f t="shared" si="25"/>
        <v>12300</v>
      </c>
      <c r="J11" s="20">
        <v>24600</v>
      </c>
      <c r="K11" s="20">
        <v>18450</v>
      </c>
      <c r="L11" s="20">
        <f t="shared" si="26"/>
        <v>6150</v>
      </c>
      <c r="M11" s="20">
        <v>42500</v>
      </c>
      <c r="N11" s="20">
        <v>400</v>
      </c>
      <c r="O11" s="21">
        <v>600</v>
      </c>
      <c r="P11" s="20">
        <v>10000</v>
      </c>
      <c r="Q11" s="20">
        <v>2412</v>
      </c>
      <c r="R11" s="20">
        <v>2460</v>
      </c>
      <c r="S11" s="20">
        <v>15000</v>
      </c>
      <c r="T11" s="20">
        <v>1000</v>
      </c>
      <c r="U11" s="20">
        <f t="shared" si="4"/>
        <v>20446.8</v>
      </c>
      <c r="V11" s="20">
        <f t="shared" si="5"/>
        <v>1363.1200000000001</v>
      </c>
      <c r="W11" s="20">
        <f t="shared" si="6"/>
        <v>4089.3599999999997</v>
      </c>
      <c r="X11" s="20">
        <f t="shared" si="7"/>
        <v>261826.27999999997</v>
      </c>
      <c r="Y11" s="20">
        <v>32084</v>
      </c>
      <c r="Z11" s="22">
        <f t="shared" si="8"/>
        <v>293910.27999999997</v>
      </c>
      <c r="AA11" s="20">
        <f t="shared" si="9"/>
        <v>12225</v>
      </c>
      <c r="AB11" s="20">
        <f t="shared" si="10"/>
        <v>815</v>
      </c>
      <c r="AC11" s="20">
        <f t="shared" si="11"/>
        <v>1630</v>
      </c>
      <c r="AD11" s="20">
        <f t="shared" si="12"/>
        <v>2445</v>
      </c>
      <c r="AE11" s="20">
        <f t="shared" si="13"/>
        <v>6520</v>
      </c>
      <c r="AF11" s="20">
        <f t="shared" si="14"/>
        <v>8150</v>
      </c>
      <c r="AG11" s="20">
        <f t="shared" si="15"/>
        <v>815</v>
      </c>
      <c r="AH11" s="20">
        <f t="shared" si="16"/>
        <v>20446.8</v>
      </c>
      <c r="AI11" s="20">
        <f t="shared" si="17"/>
        <v>1363.1200000000001</v>
      </c>
      <c r="AJ11" s="21">
        <f t="shared" si="18"/>
        <v>13631.2</v>
      </c>
      <c r="AK11" s="20">
        <f t="shared" si="19"/>
        <v>1363.1200000000001</v>
      </c>
      <c r="AL11" s="20">
        <f t="shared" si="20"/>
        <v>4089.3599999999997</v>
      </c>
      <c r="AM11" s="20">
        <v>450</v>
      </c>
      <c r="AN11" s="20">
        <v>100</v>
      </c>
      <c r="AO11" s="20">
        <v>100</v>
      </c>
      <c r="AP11" s="20"/>
      <c r="AQ11" s="20">
        <v>25</v>
      </c>
      <c r="AR11" s="20">
        <f t="shared" si="21"/>
        <v>5705.0000000000009</v>
      </c>
      <c r="AS11" s="20">
        <v>0</v>
      </c>
      <c r="AT11" s="20">
        <v>237</v>
      </c>
      <c r="AU11" s="22">
        <f t="shared" si="22"/>
        <v>80110.600000000006</v>
      </c>
      <c r="AV11" s="20">
        <f t="shared" si="23"/>
        <v>213799.67999999996</v>
      </c>
      <c r="AW11" s="20">
        <f t="shared" si="27"/>
        <v>136312</v>
      </c>
    </row>
    <row r="12" spans="1:49" ht="18.75" x14ac:dyDescent="0.3">
      <c r="A12" s="3" t="s">
        <v>47</v>
      </c>
      <c r="B12" s="20">
        <v>24600</v>
      </c>
      <c r="C12" s="20">
        <v>81500</v>
      </c>
      <c r="D12" s="20">
        <f t="shared" si="0"/>
        <v>12225</v>
      </c>
      <c r="E12" s="20">
        <f t="shared" si="1"/>
        <v>815</v>
      </c>
      <c r="F12" s="20">
        <f t="shared" si="2"/>
        <v>1630</v>
      </c>
      <c r="G12" s="20">
        <f t="shared" si="3"/>
        <v>2445</v>
      </c>
      <c r="H12" s="20">
        <v>1440</v>
      </c>
      <c r="I12" s="20">
        <f>B12*50/100</f>
        <v>12300</v>
      </c>
      <c r="J12" s="20">
        <v>24600</v>
      </c>
      <c r="K12" s="20">
        <f>B12*75/100</f>
        <v>18450</v>
      </c>
      <c r="L12" s="20">
        <f>B12*25/100</f>
        <v>6150</v>
      </c>
      <c r="M12" s="20">
        <v>42500</v>
      </c>
      <c r="N12" s="20">
        <v>400</v>
      </c>
      <c r="O12" s="21">
        <v>0</v>
      </c>
      <c r="P12" s="20">
        <v>0</v>
      </c>
      <c r="Q12" s="20">
        <v>2412</v>
      </c>
      <c r="R12" s="20">
        <v>2460</v>
      </c>
      <c r="S12" s="20">
        <v>15000</v>
      </c>
      <c r="T12" s="20">
        <v>1000</v>
      </c>
      <c r="U12" s="20">
        <f t="shared" si="4"/>
        <v>18856.8</v>
      </c>
      <c r="V12" s="20">
        <f t="shared" si="5"/>
        <v>1257.1200000000001</v>
      </c>
      <c r="W12" s="20">
        <f t="shared" si="6"/>
        <v>3771.3599999999997</v>
      </c>
      <c r="X12" s="20">
        <f t="shared" si="7"/>
        <v>249212.27999999997</v>
      </c>
      <c r="Y12" s="20">
        <v>16042</v>
      </c>
      <c r="Z12" s="22">
        <f t="shared" si="8"/>
        <v>265254.27999999997</v>
      </c>
      <c r="AA12" s="20">
        <f t="shared" si="9"/>
        <v>12225</v>
      </c>
      <c r="AB12" s="20">
        <f t="shared" si="10"/>
        <v>815</v>
      </c>
      <c r="AC12" s="20">
        <f t="shared" si="11"/>
        <v>1630</v>
      </c>
      <c r="AD12" s="20">
        <f t="shared" si="12"/>
        <v>2445</v>
      </c>
      <c r="AE12" s="20">
        <f t="shared" si="13"/>
        <v>6520</v>
      </c>
      <c r="AF12" s="20">
        <f t="shared" si="14"/>
        <v>8150</v>
      </c>
      <c r="AG12" s="20">
        <f t="shared" si="15"/>
        <v>815</v>
      </c>
      <c r="AH12" s="20">
        <f t="shared" si="16"/>
        <v>18856.8</v>
      </c>
      <c r="AI12" s="20">
        <f t="shared" si="17"/>
        <v>1257.1200000000001</v>
      </c>
      <c r="AJ12" s="21">
        <f t="shared" si="18"/>
        <v>12571.2</v>
      </c>
      <c r="AK12" s="20">
        <f t="shared" si="19"/>
        <v>1257.1200000000001</v>
      </c>
      <c r="AL12" s="20">
        <f t="shared" si="20"/>
        <v>3771.3599999999997</v>
      </c>
      <c r="AM12" s="20">
        <v>450</v>
      </c>
      <c r="AN12" s="20">
        <v>100</v>
      </c>
      <c r="AO12" s="20">
        <v>100</v>
      </c>
      <c r="AP12" s="20"/>
      <c r="AQ12" s="20">
        <v>25</v>
      </c>
      <c r="AR12" s="20">
        <f t="shared" si="21"/>
        <v>5705.0000000000009</v>
      </c>
      <c r="AS12" s="20">
        <v>0</v>
      </c>
      <c r="AT12" s="20">
        <v>261</v>
      </c>
      <c r="AU12" s="22">
        <f t="shared" si="22"/>
        <v>76954.600000000006</v>
      </c>
      <c r="AV12" s="20">
        <f t="shared" si="23"/>
        <v>188299.67999999996</v>
      </c>
      <c r="AW12" s="20">
        <f t="shared" si="27"/>
        <v>125712</v>
      </c>
    </row>
    <row r="13" spans="1:49" ht="18.75" x14ac:dyDescent="0.3">
      <c r="A13" s="3" t="s">
        <v>48</v>
      </c>
      <c r="B13" s="20">
        <v>24600</v>
      </c>
      <c r="C13" s="20">
        <v>81500</v>
      </c>
      <c r="D13" s="20">
        <f t="shared" si="0"/>
        <v>12225</v>
      </c>
      <c r="E13" s="20">
        <f t="shared" si="1"/>
        <v>815</v>
      </c>
      <c r="F13" s="20">
        <f t="shared" si="2"/>
        <v>1630</v>
      </c>
      <c r="G13" s="20">
        <f t="shared" si="3"/>
        <v>2445</v>
      </c>
      <c r="H13" s="20">
        <v>1440</v>
      </c>
      <c r="I13" s="20">
        <f t="shared" si="25"/>
        <v>12300</v>
      </c>
      <c r="J13" s="20">
        <v>24600</v>
      </c>
      <c r="K13" s="20">
        <v>18450</v>
      </c>
      <c r="L13" s="20">
        <f t="shared" si="26"/>
        <v>6150</v>
      </c>
      <c r="M13" s="20">
        <v>42500</v>
      </c>
      <c r="N13" s="20">
        <v>400</v>
      </c>
      <c r="O13" s="21">
        <v>600</v>
      </c>
      <c r="P13" s="20">
        <v>10000</v>
      </c>
      <c r="Q13" s="20">
        <v>480</v>
      </c>
      <c r="R13" s="20">
        <v>2460</v>
      </c>
      <c r="S13" s="20">
        <v>15000</v>
      </c>
      <c r="T13" s="20">
        <v>1000</v>
      </c>
      <c r="U13" s="20">
        <f t="shared" si="4"/>
        <v>20157</v>
      </c>
      <c r="V13" s="20">
        <f t="shared" si="5"/>
        <v>1343.8</v>
      </c>
      <c r="W13" s="20">
        <f t="shared" si="6"/>
        <v>4031.3999999999996</v>
      </c>
      <c r="X13" s="20">
        <f t="shared" si="7"/>
        <v>259527.19999999998</v>
      </c>
      <c r="Y13" s="20">
        <v>45834</v>
      </c>
      <c r="Z13" s="22">
        <f t="shared" si="8"/>
        <v>305361.19999999995</v>
      </c>
      <c r="AA13" s="20">
        <f t="shared" si="9"/>
        <v>12225</v>
      </c>
      <c r="AB13" s="20">
        <f t="shared" si="10"/>
        <v>815</v>
      </c>
      <c r="AC13" s="20">
        <f t="shared" si="11"/>
        <v>1630</v>
      </c>
      <c r="AD13" s="20">
        <f t="shared" si="12"/>
        <v>2445</v>
      </c>
      <c r="AE13" s="20">
        <f t="shared" si="13"/>
        <v>6520</v>
      </c>
      <c r="AF13" s="20">
        <f t="shared" si="14"/>
        <v>8150</v>
      </c>
      <c r="AG13" s="20">
        <f t="shared" si="15"/>
        <v>815</v>
      </c>
      <c r="AH13" s="20">
        <f t="shared" si="16"/>
        <v>20157</v>
      </c>
      <c r="AI13" s="20">
        <f t="shared" si="17"/>
        <v>1343.8</v>
      </c>
      <c r="AJ13" s="21">
        <f t="shared" si="18"/>
        <v>13438</v>
      </c>
      <c r="AK13" s="20">
        <f t="shared" si="19"/>
        <v>1343.8</v>
      </c>
      <c r="AL13" s="20">
        <f t="shared" si="20"/>
        <v>4031.3999999999996</v>
      </c>
      <c r="AM13" s="20">
        <v>450</v>
      </c>
      <c r="AN13" s="20">
        <v>100</v>
      </c>
      <c r="AO13" s="20">
        <v>100</v>
      </c>
      <c r="AP13" s="20"/>
      <c r="AQ13" s="20">
        <v>25</v>
      </c>
      <c r="AR13" s="20">
        <f t="shared" si="21"/>
        <v>5705.0000000000009</v>
      </c>
      <c r="AS13" s="20">
        <v>0</v>
      </c>
      <c r="AT13" s="20">
        <v>267</v>
      </c>
      <c r="AU13" s="22">
        <f t="shared" si="22"/>
        <v>79561</v>
      </c>
      <c r="AV13" s="20">
        <f t="shared" si="23"/>
        <v>225800.19999999995</v>
      </c>
      <c r="AW13" s="20">
        <f t="shared" si="27"/>
        <v>134380</v>
      </c>
    </row>
    <row r="14" spans="1:49" ht="18.75" x14ac:dyDescent="0.3">
      <c r="A14" s="3" t="s">
        <v>49</v>
      </c>
      <c r="B14" s="20">
        <v>24600</v>
      </c>
      <c r="C14" s="20">
        <v>81500</v>
      </c>
      <c r="D14" s="20">
        <f t="shared" si="0"/>
        <v>12225</v>
      </c>
      <c r="E14" s="20">
        <f t="shared" si="1"/>
        <v>815</v>
      </c>
      <c r="F14" s="20">
        <f t="shared" si="2"/>
        <v>1630</v>
      </c>
      <c r="G14" s="20">
        <f t="shared" si="3"/>
        <v>2445</v>
      </c>
      <c r="H14" s="20">
        <v>1440</v>
      </c>
      <c r="I14" s="20">
        <f t="shared" si="25"/>
        <v>12300</v>
      </c>
      <c r="J14" s="20">
        <v>24600</v>
      </c>
      <c r="K14" s="20">
        <v>18450</v>
      </c>
      <c r="L14" s="20">
        <f t="shared" si="26"/>
        <v>6150</v>
      </c>
      <c r="M14" s="20">
        <v>42500</v>
      </c>
      <c r="N14" s="20">
        <v>400</v>
      </c>
      <c r="O14" s="21">
        <v>600</v>
      </c>
      <c r="P14" s="20">
        <v>0</v>
      </c>
      <c r="Q14" s="20">
        <v>480</v>
      </c>
      <c r="R14" s="20">
        <v>2460</v>
      </c>
      <c r="S14" s="20">
        <v>15000</v>
      </c>
      <c r="T14" s="20">
        <v>1000</v>
      </c>
      <c r="U14" s="20">
        <f t="shared" si="4"/>
        <v>18657</v>
      </c>
      <c r="V14" s="20">
        <f t="shared" si="5"/>
        <v>1243.8</v>
      </c>
      <c r="W14" s="20">
        <f t="shared" si="6"/>
        <v>3731.3999999999996</v>
      </c>
      <c r="X14" s="20">
        <f t="shared" si="7"/>
        <v>247627.19999999998</v>
      </c>
      <c r="Y14" s="20">
        <v>9327</v>
      </c>
      <c r="Z14" s="22">
        <f t="shared" si="8"/>
        <v>256954.19999999998</v>
      </c>
      <c r="AA14" s="20">
        <f t="shared" si="9"/>
        <v>12225</v>
      </c>
      <c r="AB14" s="20">
        <f t="shared" si="10"/>
        <v>815</v>
      </c>
      <c r="AC14" s="20">
        <f t="shared" si="11"/>
        <v>1630</v>
      </c>
      <c r="AD14" s="20">
        <f t="shared" si="12"/>
        <v>2445</v>
      </c>
      <c r="AE14" s="20">
        <f t="shared" si="13"/>
        <v>6520</v>
      </c>
      <c r="AF14" s="20">
        <f t="shared" si="14"/>
        <v>8150</v>
      </c>
      <c r="AG14" s="20">
        <f t="shared" si="15"/>
        <v>815</v>
      </c>
      <c r="AH14" s="20">
        <f t="shared" si="16"/>
        <v>18657</v>
      </c>
      <c r="AI14" s="20">
        <f t="shared" si="17"/>
        <v>1243.8</v>
      </c>
      <c r="AJ14" s="21">
        <f t="shared" si="18"/>
        <v>12438</v>
      </c>
      <c r="AK14" s="20">
        <f t="shared" si="19"/>
        <v>1243.8</v>
      </c>
      <c r="AL14" s="20">
        <f t="shared" si="20"/>
        <v>3731.3999999999996</v>
      </c>
      <c r="AM14" s="20">
        <v>450</v>
      </c>
      <c r="AN14" s="20">
        <v>100</v>
      </c>
      <c r="AO14" s="20">
        <v>100</v>
      </c>
      <c r="AP14" s="20"/>
      <c r="AQ14" s="20">
        <v>25</v>
      </c>
      <c r="AR14" s="20">
        <f t="shared" si="21"/>
        <v>5705.0000000000009</v>
      </c>
      <c r="AS14" s="20">
        <v>0</v>
      </c>
      <c r="AT14" s="20">
        <v>260</v>
      </c>
      <c r="AU14" s="22">
        <f t="shared" si="22"/>
        <v>76554</v>
      </c>
      <c r="AV14" s="20">
        <f t="shared" si="23"/>
        <v>180400.19999999998</v>
      </c>
      <c r="AW14" s="20">
        <f t="shared" si="27"/>
        <v>124380</v>
      </c>
    </row>
    <row r="15" spans="1:49" ht="18.75" x14ac:dyDescent="0.3">
      <c r="A15" s="3" t="s">
        <v>30</v>
      </c>
      <c r="B15" s="20">
        <v>24600</v>
      </c>
      <c r="C15" s="20">
        <v>81300</v>
      </c>
      <c r="D15" s="20">
        <f t="shared" si="0"/>
        <v>12195</v>
      </c>
      <c r="E15" s="20">
        <f t="shared" si="1"/>
        <v>813</v>
      </c>
      <c r="F15" s="20">
        <f t="shared" si="2"/>
        <v>1626</v>
      </c>
      <c r="G15" s="20">
        <f t="shared" si="3"/>
        <v>2439</v>
      </c>
      <c r="H15" s="20">
        <v>1440</v>
      </c>
      <c r="I15" s="20">
        <f t="shared" si="25"/>
        <v>12300</v>
      </c>
      <c r="J15" s="20">
        <v>24600</v>
      </c>
      <c r="K15" s="20">
        <v>18450</v>
      </c>
      <c r="L15" s="20">
        <f t="shared" si="26"/>
        <v>6150</v>
      </c>
      <c r="M15" s="20">
        <v>42500</v>
      </c>
      <c r="N15" s="20">
        <v>400</v>
      </c>
      <c r="O15" s="21">
        <v>200</v>
      </c>
      <c r="P15" s="20">
        <v>0</v>
      </c>
      <c r="Q15" s="20">
        <v>480</v>
      </c>
      <c r="R15" s="20">
        <v>2460</v>
      </c>
      <c r="S15" s="20">
        <v>15000</v>
      </c>
      <c r="T15" s="20">
        <v>1000</v>
      </c>
      <c r="U15" s="20">
        <f t="shared" si="4"/>
        <v>18597</v>
      </c>
      <c r="V15" s="20">
        <f t="shared" si="5"/>
        <v>1239.8</v>
      </c>
      <c r="W15" s="20">
        <f t="shared" si="6"/>
        <v>3719.3999999999996</v>
      </c>
      <c r="X15" s="20">
        <f t="shared" si="7"/>
        <v>246909.19999999998</v>
      </c>
      <c r="Y15" s="20">
        <v>16642</v>
      </c>
      <c r="Z15" s="22">
        <f t="shared" si="8"/>
        <v>263551.19999999995</v>
      </c>
      <c r="AA15" s="20">
        <f t="shared" si="9"/>
        <v>12195</v>
      </c>
      <c r="AB15" s="20">
        <f t="shared" si="10"/>
        <v>813</v>
      </c>
      <c r="AC15" s="20">
        <f t="shared" si="11"/>
        <v>1626</v>
      </c>
      <c r="AD15" s="20">
        <f t="shared" si="12"/>
        <v>2439</v>
      </c>
      <c r="AE15" s="20">
        <f t="shared" si="13"/>
        <v>6504</v>
      </c>
      <c r="AF15" s="20">
        <f t="shared" si="14"/>
        <v>8130</v>
      </c>
      <c r="AG15" s="20">
        <f t="shared" si="15"/>
        <v>813</v>
      </c>
      <c r="AH15" s="20">
        <f t="shared" si="16"/>
        <v>18597</v>
      </c>
      <c r="AI15" s="20">
        <f t="shared" si="17"/>
        <v>1239.8</v>
      </c>
      <c r="AJ15" s="21">
        <f t="shared" si="18"/>
        <v>12398</v>
      </c>
      <c r="AK15" s="20">
        <f t="shared" si="19"/>
        <v>1239.8</v>
      </c>
      <c r="AL15" s="20">
        <f t="shared" si="20"/>
        <v>3719.3999999999996</v>
      </c>
      <c r="AM15" s="20">
        <v>450</v>
      </c>
      <c r="AN15" s="20">
        <v>100</v>
      </c>
      <c r="AO15" s="20">
        <v>100</v>
      </c>
      <c r="AP15" s="20"/>
      <c r="AQ15" s="20">
        <v>25</v>
      </c>
      <c r="AR15" s="20">
        <f t="shared" si="21"/>
        <v>5691.0000000000009</v>
      </c>
      <c r="AS15" s="20">
        <v>0</v>
      </c>
      <c r="AT15" s="20">
        <v>271</v>
      </c>
      <c r="AU15" s="22">
        <f t="shared" si="22"/>
        <v>76351</v>
      </c>
      <c r="AV15" s="20">
        <f t="shared" si="23"/>
        <v>187200.19999999995</v>
      </c>
      <c r="AW15" s="20">
        <f t="shared" si="27"/>
        <v>123980</v>
      </c>
    </row>
    <row r="16" spans="1:49" ht="18.75" x14ac:dyDescent="0.3">
      <c r="A16" s="3" t="s">
        <v>50</v>
      </c>
      <c r="B16" s="20">
        <v>24600</v>
      </c>
      <c r="C16" s="20">
        <v>81300</v>
      </c>
      <c r="D16" s="20">
        <f t="shared" si="0"/>
        <v>12195</v>
      </c>
      <c r="E16" s="20">
        <f t="shared" si="1"/>
        <v>813</v>
      </c>
      <c r="F16" s="20">
        <f t="shared" si="2"/>
        <v>1626</v>
      </c>
      <c r="G16" s="20">
        <f t="shared" si="3"/>
        <v>2439</v>
      </c>
      <c r="H16" s="20">
        <v>1440</v>
      </c>
      <c r="I16" s="20">
        <f t="shared" si="25"/>
        <v>12300</v>
      </c>
      <c r="J16" s="20">
        <v>24600</v>
      </c>
      <c r="K16" s="20">
        <v>18450</v>
      </c>
      <c r="L16" s="20">
        <f t="shared" si="26"/>
        <v>6150</v>
      </c>
      <c r="M16" s="20">
        <v>42500</v>
      </c>
      <c r="N16" s="20">
        <v>400</v>
      </c>
      <c r="O16" s="21">
        <v>600</v>
      </c>
      <c r="P16" s="20">
        <v>10000</v>
      </c>
      <c r="Q16" s="20">
        <v>480</v>
      </c>
      <c r="R16" s="20">
        <v>2460</v>
      </c>
      <c r="S16" s="20">
        <v>15000</v>
      </c>
      <c r="T16" s="20">
        <v>1000</v>
      </c>
      <c r="U16" s="20">
        <f t="shared" si="4"/>
        <v>20157</v>
      </c>
      <c r="V16" s="20">
        <f t="shared" si="5"/>
        <v>1343.8</v>
      </c>
      <c r="W16" s="20">
        <f t="shared" si="6"/>
        <v>4031.3999999999996</v>
      </c>
      <c r="X16" s="20">
        <f t="shared" si="7"/>
        <v>259285.19999999998</v>
      </c>
      <c r="Y16" s="20">
        <v>27981</v>
      </c>
      <c r="Z16" s="22">
        <f t="shared" si="8"/>
        <v>287266.19999999995</v>
      </c>
      <c r="AA16" s="20">
        <f t="shared" si="9"/>
        <v>12195</v>
      </c>
      <c r="AB16" s="20">
        <f t="shared" si="10"/>
        <v>813</v>
      </c>
      <c r="AC16" s="20">
        <f t="shared" si="11"/>
        <v>1626</v>
      </c>
      <c r="AD16" s="20">
        <f t="shared" si="12"/>
        <v>2439</v>
      </c>
      <c r="AE16" s="20">
        <f t="shared" si="13"/>
        <v>6504</v>
      </c>
      <c r="AF16" s="20">
        <f t="shared" si="14"/>
        <v>8130</v>
      </c>
      <c r="AG16" s="20">
        <f t="shared" si="15"/>
        <v>813</v>
      </c>
      <c r="AH16" s="20">
        <f t="shared" si="16"/>
        <v>20157</v>
      </c>
      <c r="AI16" s="20">
        <f t="shared" si="17"/>
        <v>1343.8</v>
      </c>
      <c r="AJ16" s="21">
        <f t="shared" si="18"/>
        <v>13438</v>
      </c>
      <c r="AK16" s="20">
        <f t="shared" si="19"/>
        <v>1343.8</v>
      </c>
      <c r="AL16" s="20">
        <f t="shared" si="20"/>
        <v>4031.3999999999996</v>
      </c>
      <c r="AM16" s="20">
        <v>450</v>
      </c>
      <c r="AN16" s="20">
        <v>100</v>
      </c>
      <c r="AO16" s="20">
        <v>100</v>
      </c>
      <c r="AP16" s="20"/>
      <c r="AQ16" s="20">
        <v>25</v>
      </c>
      <c r="AR16" s="20">
        <f t="shared" si="21"/>
        <v>5691.0000000000009</v>
      </c>
      <c r="AS16" s="20">
        <v>0</v>
      </c>
      <c r="AT16" s="20">
        <v>266</v>
      </c>
      <c r="AU16" s="22">
        <f t="shared" si="22"/>
        <v>79466</v>
      </c>
      <c r="AV16" s="20">
        <f t="shared" si="23"/>
        <v>207800.19999999995</v>
      </c>
      <c r="AW16" s="20">
        <f t="shared" si="27"/>
        <v>134380</v>
      </c>
    </row>
    <row r="17" spans="1:49" ht="18.75" x14ac:dyDescent="0.3">
      <c r="A17" s="3" t="s">
        <v>51</v>
      </c>
      <c r="B17" s="20">
        <v>24600</v>
      </c>
      <c r="C17" s="20">
        <v>81300</v>
      </c>
      <c r="D17" s="20">
        <f t="shared" si="0"/>
        <v>12195</v>
      </c>
      <c r="E17" s="20">
        <f t="shared" si="1"/>
        <v>813</v>
      </c>
      <c r="F17" s="20">
        <f t="shared" si="2"/>
        <v>1626</v>
      </c>
      <c r="G17" s="20">
        <f t="shared" si="3"/>
        <v>2439</v>
      </c>
      <c r="H17" s="20">
        <v>1440</v>
      </c>
      <c r="I17" s="20">
        <f t="shared" si="25"/>
        <v>12300</v>
      </c>
      <c r="J17" s="20">
        <v>24600</v>
      </c>
      <c r="K17" s="20">
        <v>18450</v>
      </c>
      <c r="L17" s="20">
        <f t="shared" si="26"/>
        <v>6150</v>
      </c>
      <c r="M17" s="20">
        <v>42500</v>
      </c>
      <c r="N17" s="20">
        <v>400</v>
      </c>
      <c r="O17" s="21">
        <v>600</v>
      </c>
      <c r="P17" s="20">
        <v>0</v>
      </c>
      <c r="Q17" s="20">
        <v>480</v>
      </c>
      <c r="R17" s="20">
        <v>2460</v>
      </c>
      <c r="S17" s="20">
        <v>15000</v>
      </c>
      <c r="T17" s="20">
        <v>1000</v>
      </c>
      <c r="U17" s="20">
        <f t="shared" si="4"/>
        <v>18657</v>
      </c>
      <c r="V17" s="20">
        <f t="shared" si="5"/>
        <v>1243.8</v>
      </c>
      <c r="W17" s="20">
        <f t="shared" si="6"/>
        <v>3731.3999999999996</v>
      </c>
      <c r="X17" s="20">
        <f t="shared" si="7"/>
        <v>247385.19999999998</v>
      </c>
      <c r="Y17" s="20">
        <v>25969</v>
      </c>
      <c r="Z17" s="22">
        <f t="shared" si="8"/>
        <v>273354.19999999995</v>
      </c>
      <c r="AA17" s="20">
        <f t="shared" si="9"/>
        <v>12195</v>
      </c>
      <c r="AB17" s="20">
        <f t="shared" si="10"/>
        <v>813</v>
      </c>
      <c r="AC17" s="20">
        <f t="shared" si="11"/>
        <v>1626</v>
      </c>
      <c r="AD17" s="20">
        <f t="shared" si="12"/>
        <v>2439</v>
      </c>
      <c r="AE17" s="20">
        <f t="shared" si="13"/>
        <v>6504</v>
      </c>
      <c r="AF17" s="20">
        <f t="shared" si="14"/>
        <v>8130</v>
      </c>
      <c r="AG17" s="20">
        <f t="shared" si="15"/>
        <v>813</v>
      </c>
      <c r="AH17" s="20">
        <f t="shared" si="16"/>
        <v>18657</v>
      </c>
      <c r="AI17" s="20">
        <f t="shared" si="17"/>
        <v>1243.8</v>
      </c>
      <c r="AJ17" s="21">
        <f t="shared" si="18"/>
        <v>12438</v>
      </c>
      <c r="AK17" s="20">
        <f t="shared" si="19"/>
        <v>1243.8</v>
      </c>
      <c r="AL17" s="20">
        <f t="shared" si="20"/>
        <v>3731.3999999999996</v>
      </c>
      <c r="AM17" s="20">
        <v>450</v>
      </c>
      <c r="AN17" s="20">
        <v>100</v>
      </c>
      <c r="AO17" s="20">
        <v>100</v>
      </c>
      <c r="AP17" s="20"/>
      <c r="AQ17" s="20">
        <v>25</v>
      </c>
      <c r="AR17" s="20">
        <f t="shared" si="21"/>
        <v>5691.0000000000009</v>
      </c>
      <c r="AS17" s="20">
        <v>0</v>
      </c>
      <c r="AT17" s="20">
        <v>254</v>
      </c>
      <c r="AU17" s="22">
        <f t="shared" si="22"/>
        <v>76454</v>
      </c>
      <c r="AV17" s="20">
        <f t="shared" si="23"/>
        <v>196900.19999999995</v>
      </c>
      <c r="AW17" s="20">
        <f t="shared" si="27"/>
        <v>124380</v>
      </c>
    </row>
    <row r="18" spans="1:49" ht="18.75" x14ac:dyDescent="0.3">
      <c r="A18" s="3" t="s">
        <v>31</v>
      </c>
      <c r="B18" s="20">
        <v>25000</v>
      </c>
      <c r="C18" s="20">
        <v>83925</v>
      </c>
      <c r="D18" s="20">
        <f>C18*15%</f>
        <v>12588.75</v>
      </c>
      <c r="E18" s="20">
        <f>C18*1%</f>
        <v>839.25</v>
      </c>
      <c r="F18" s="20">
        <f>C18*2%</f>
        <v>1678.5</v>
      </c>
      <c r="G18" s="20">
        <f>C18*3%</f>
        <v>2517.75</v>
      </c>
      <c r="H18" s="20">
        <v>1440</v>
      </c>
      <c r="I18" s="20">
        <f>B18*50/100</f>
        <v>12500</v>
      </c>
      <c r="J18" s="20">
        <v>25000</v>
      </c>
      <c r="K18" s="20">
        <v>18750</v>
      </c>
      <c r="L18" s="20">
        <f>B18*25/100</f>
        <v>6250</v>
      </c>
      <c r="M18" s="20">
        <v>42500</v>
      </c>
      <c r="N18" s="20">
        <v>400</v>
      </c>
      <c r="O18" s="21">
        <v>600</v>
      </c>
      <c r="P18" s="20">
        <v>10000</v>
      </c>
      <c r="Q18" s="20">
        <v>2412</v>
      </c>
      <c r="R18" s="20">
        <v>2500</v>
      </c>
      <c r="S18" s="20">
        <v>15000</v>
      </c>
      <c r="T18" s="20">
        <v>1000</v>
      </c>
      <c r="U18" s="20">
        <f t="shared" si="4"/>
        <v>20602.8</v>
      </c>
      <c r="V18" s="20">
        <f t="shared" si="5"/>
        <v>1373.52</v>
      </c>
      <c r="W18" s="20">
        <f t="shared" si="6"/>
        <v>4120.5599999999995</v>
      </c>
      <c r="X18" s="20">
        <f>SUM(C18:W18)</f>
        <v>265998.13</v>
      </c>
      <c r="Y18" s="20">
        <v>45834</v>
      </c>
      <c r="Z18" s="22">
        <f>SUM(X18:Y18)</f>
        <v>311832.13</v>
      </c>
      <c r="AA18" s="20">
        <f>C18*15%</f>
        <v>12588.75</v>
      </c>
      <c r="AB18" s="20">
        <f>C18*1%</f>
        <v>839.25</v>
      </c>
      <c r="AC18" s="20">
        <f>C18*2%</f>
        <v>1678.5</v>
      </c>
      <c r="AD18" s="20">
        <f>C18*3%</f>
        <v>2517.75</v>
      </c>
      <c r="AE18" s="20">
        <f>C18*8%</f>
        <v>6714</v>
      </c>
      <c r="AF18" s="20">
        <f>C18*10%</f>
        <v>8392.5</v>
      </c>
      <c r="AG18" s="20">
        <f>C18*1%</f>
        <v>839.25</v>
      </c>
      <c r="AH18" s="20">
        <f t="shared" si="16"/>
        <v>20602.8</v>
      </c>
      <c r="AI18" s="20">
        <f t="shared" si="17"/>
        <v>1373.52</v>
      </c>
      <c r="AJ18" s="21">
        <f t="shared" si="18"/>
        <v>13735.2</v>
      </c>
      <c r="AK18" s="20">
        <f t="shared" si="19"/>
        <v>1373.52</v>
      </c>
      <c r="AL18" s="20">
        <f t="shared" si="20"/>
        <v>4120.5599999999995</v>
      </c>
      <c r="AM18" s="20">
        <v>450</v>
      </c>
      <c r="AN18" s="20">
        <v>100</v>
      </c>
      <c r="AO18" s="20">
        <v>100</v>
      </c>
      <c r="AP18" s="20">
        <v>15000</v>
      </c>
      <c r="AQ18" s="20">
        <v>25</v>
      </c>
      <c r="AR18" s="20">
        <f>C18*7%</f>
        <v>5874.7500000000009</v>
      </c>
      <c r="AS18" s="20">
        <v>0</v>
      </c>
      <c r="AT18" s="20">
        <v>207</v>
      </c>
      <c r="AU18" s="22">
        <f>SUM(AA18:AT18)</f>
        <v>96532.35</v>
      </c>
      <c r="AV18" s="20">
        <f>Z18-AU18</f>
        <v>215299.78</v>
      </c>
      <c r="AW18" s="20">
        <f>S18+R18+Q18+P18+O18+N18+M18+L18+K18+J18+I18+H18</f>
        <v>137352</v>
      </c>
    </row>
    <row r="19" spans="1:49" ht="18.75" x14ac:dyDescent="0.3">
      <c r="A19" s="3" t="s">
        <v>52</v>
      </c>
      <c r="B19" s="20">
        <v>25000</v>
      </c>
      <c r="C19" s="20">
        <v>83925</v>
      </c>
      <c r="D19" s="20">
        <f t="shared" si="0"/>
        <v>12588.75</v>
      </c>
      <c r="E19" s="20">
        <f t="shared" si="1"/>
        <v>839.25</v>
      </c>
      <c r="F19" s="20">
        <f t="shared" si="2"/>
        <v>1678.5</v>
      </c>
      <c r="G19" s="20">
        <f t="shared" si="3"/>
        <v>2517.75</v>
      </c>
      <c r="H19" s="20">
        <v>1440</v>
      </c>
      <c r="I19" s="20">
        <f t="shared" si="25"/>
        <v>12500</v>
      </c>
      <c r="J19" s="20">
        <v>25000</v>
      </c>
      <c r="K19" s="20">
        <v>18750</v>
      </c>
      <c r="L19" s="20">
        <f t="shared" si="26"/>
        <v>6250</v>
      </c>
      <c r="M19" s="20">
        <v>42500</v>
      </c>
      <c r="N19" s="20">
        <v>400</v>
      </c>
      <c r="O19" s="21">
        <v>600</v>
      </c>
      <c r="P19" s="20">
        <v>0</v>
      </c>
      <c r="Q19" s="20">
        <v>2412</v>
      </c>
      <c r="R19" s="20">
        <v>2500</v>
      </c>
      <c r="S19" s="20">
        <v>15000</v>
      </c>
      <c r="T19" s="20">
        <v>1000</v>
      </c>
      <c r="U19" s="20">
        <f t="shared" si="4"/>
        <v>19102.8</v>
      </c>
      <c r="V19" s="20">
        <f t="shared" si="5"/>
        <v>1273.52</v>
      </c>
      <c r="W19" s="20">
        <f t="shared" si="6"/>
        <v>3820.56</v>
      </c>
      <c r="X19" s="20">
        <f t="shared" si="7"/>
        <v>254098.12999999998</v>
      </c>
      <c r="Y19" s="20">
        <v>16642</v>
      </c>
      <c r="Z19" s="22">
        <f t="shared" si="8"/>
        <v>270740.13</v>
      </c>
      <c r="AA19" s="20">
        <f t="shared" si="9"/>
        <v>12588.75</v>
      </c>
      <c r="AB19" s="20">
        <f t="shared" si="10"/>
        <v>839.25</v>
      </c>
      <c r="AC19" s="20">
        <f t="shared" si="11"/>
        <v>1678.5</v>
      </c>
      <c r="AD19" s="20">
        <f t="shared" si="12"/>
        <v>2517.75</v>
      </c>
      <c r="AE19" s="20">
        <f t="shared" si="13"/>
        <v>6714</v>
      </c>
      <c r="AF19" s="20">
        <f t="shared" si="14"/>
        <v>8392.5</v>
      </c>
      <c r="AG19" s="20">
        <f t="shared" si="15"/>
        <v>839.25</v>
      </c>
      <c r="AH19" s="20">
        <f t="shared" si="16"/>
        <v>19102.8</v>
      </c>
      <c r="AI19" s="20">
        <f t="shared" si="17"/>
        <v>1273.52</v>
      </c>
      <c r="AJ19" s="21">
        <f t="shared" si="18"/>
        <v>12735.2</v>
      </c>
      <c r="AK19" s="20">
        <f t="shared" si="19"/>
        <v>1273.52</v>
      </c>
      <c r="AL19" s="20">
        <f t="shared" si="20"/>
        <v>3820.56</v>
      </c>
      <c r="AM19" s="20">
        <v>450</v>
      </c>
      <c r="AN19" s="20">
        <v>100</v>
      </c>
      <c r="AO19" s="20">
        <v>100</v>
      </c>
      <c r="AP19" s="20"/>
      <c r="AQ19" s="20">
        <v>25</v>
      </c>
      <c r="AR19" s="20">
        <f t="shared" si="21"/>
        <v>5874.7500000000009</v>
      </c>
      <c r="AS19" s="20">
        <v>0</v>
      </c>
      <c r="AT19" s="20">
        <v>215</v>
      </c>
      <c r="AU19" s="22">
        <f t="shared" si="22"/>
        <v>78540.350000000006</v>
      </c>
      <c r="AV19" s="20">
        <f t="shared" si="23"/>
        <v>192199.78</v>
      </c>
      <c r="AW19" s="20">
        <f t="shared" si="27"/>
        <v>127352</v>
      </c>
    </row>
    <row r="20" spans="1:49" ht="18.75" x14ac:dyDescent="0.3">
      <c r="A20" s="3" t="s">
        <v>53</v>
      </c>
      <c r="B20" s="20"/>
      <c r="C20" s="23">
        <f t="shared" ref="C20:AO20" si="28">SUM(C2:C19)</f>
        <v>1665638</v>
      </c>
      <c r="D20" s="23">
        <f t="shared" si="28"/>
        <v>249845.69999999998</v>
      </c>
      <c r="E20" s="23">
        <f t="shared" si="28"/>
        <v>16656.38</v>
      </c>
      <c r="F20" s="23">
        <f t="shared" si="28"/>
        <v>33312.76</v>
      </c>
      <c r="G20" s="23">
        <f t="shared" si="28"/>
        <v>49969.14</v>
      </c>
      <c r="H20" s="23">
        <f t="shared" si="28"/>
        <v>36510</v>
      </c>
      <c r="I20" s="23">
        <f t="shared" si="28"/>
        <v>265754</v>
      </c>
      <c r="J20" s="23">
        <f t="shared" si="28"/>
        <v>675387</v>
      </c>
      <c r="K20" s="23">
        <f t="shared" si="28"/>
        <v>269777</v>
      </c>
      <c r="L20" s="23">
        <f t="shared" si="28"/>
        <v>132877</v>
      </c>
      <c r="M20" s="23">
        <f t="shared" si="28"/>
        <v>727500</v>
      </c>
      <c r="N20" s="23">
        <f t="shared" si="28"/>
        <v>7200</v>
      </c>
      <c r="O20" s="24">
        <f t="shared" si="28"/>
        <v>9000</v>
      </c>
      <c r="P20" s="23">
        <f t="shared" si="28"/>
        <v>104200</v>
      </c>
      <c r="Q20" s="23">
        <f t="shared" si="28"/>
        <v>41320</v>
      </c>
      <c r="R20" s="23">
        <f t="shared" si="28"/>
        <v>53151</v>
      </c>
      <c r="S20" s="23">
        <f t="shared" si="28"/>
        <v>270000</v>
      </c>
      <c r="T20" s="23">
        <f t="shared" si="28"/>
        <v>18000</v>
      </c>
      <c r="U20" s="23">
        <f t="shared" si="28"/>
        <v>388901.39999999991</v>
      </c>
      <c r="V20" s="23">
        <f t="shared" si="28"/>
        <v>25926.759999999995</v>
      </c>
      <c r="W20" s="23">
        <f t="shared" si="28"/>
        <v>77780.28</v>
      </c>
      <c r="X20" s="23">
        <f t="shared" si="28"/>
        <v>5118706.42</v>
      </c>
      <c r="Y20" s="23">
        <f t="shared" si="28"/>
        <v>635113</v>
      </c>
      <c r="Z20" s="23">
        <f t="shared" si="28"/>
        <v>5753819.4200000009</v>
      </c>
      <c r="AA20" s="23">
        <f t="shared" si="28"/>
        <v>249845.69999999998</v>
      </c>
      <c r="AB20" s="23">
        <f t="shared" si="28"/>
        <v>16656.38</v>
      </c>
      <c r="AC20" s="23">
        <f t="shared" si="28"/>
        <v>33312.76</v>
      </c>
      <c r="AD20" s="23">
        <f t="shared" si="28"/>
        <v>49969.14</v>
      </c>
      <c r="AE20" s="23">
        <f t="shared" si="28"/>
        <v>133251.04</v>
      </c>
      <c r="AF20" s="23">
        <f t="shared" si="28"/>
        <v>166563.80000000005</v>
      </c>
      <c r="AG20" s="23">
        <f t="shared" si="28"/>
        <v>16656.38</v>
      </c>
      <c r="AH20" s="23">
        <f t="shared" si="28"/>
        <v>388901.39999999991</v>
      </c>
      <c r="AI20" s="23">
        <f t="shared" si="28"/>
        <v>25926.759999999995</v>
      </c>
      <c r="AJ20" s="24">
        <f t="shared" si="28"/>
        <v>259267.60000000003</v>
      </c>
      <c r="AK20" s="23">
        <f t="shared" si="28"/>
        <v>25926.759999999995</v>
      </c>
      <c r="AL20" s="23">
        <f t="shared" si="28"/>
        <v>77780.28</v>
      </c>
      <c r="AM20" s="23">
        <f t="shared" si="28"/>
        <v>8100</v>
      </c>
      <c r="AN20" s="23">
        <f t="shared" si="28"/>
        <v>1800</v>
      </c>
      <c r="AO20" s="23">
        <f t="shared" si="28"/>
        <v>1800</v>
      </c>
      <c r="AP20" s="23">
        <f>SUM(AP12:AP19)</f>
        <v>15000</v>
      </c>
      <c r="AQ20" s="23">
        <f>SUM(AQ2:AQ19)</f>
        <v>451</v>
      </c>
      <c r="AR20" s="23">
        <f>SUM(AR2:AR19)</f>
        <v>116594.66</v>
      </c>
      <c r="AS20" s="23">
        <f>SUM(AS2:AS19)</f>
        <v>5670</v>
      </c>
      <c r="AT20" s="23">
        <f>SUM(AT2:AT19)</f>
        <v>5146</v>
      </c>
      <c r="AU20" s="23">
        <f t="shared" si="22"/>
        <v>1598619.6600000001</v>
      </c>
      <c r="AV20" s="23">
        <f t="shared" si="23"/>
        <v>4155199.7600000007</v>
      </c>
      <c r="AW20" s="23"/>
    </row>
    <row r="21" spans="1:49" ht="18.75" x14ac:dyDescent="0.3">
      <c r="A21" s="4"/>
      <c r="B21" s="25"/>
      <c r="C21" s="26"/>
      <c r="D21" s="25"/>
      <c r="E21" s="27" t="s">
        <v>32</v>
      </c>
      <c r="F21" s="25"/>
      <c r="G21" s="25"/>
      <c r="H21" s="25"/>
      <c r="I21" s="25"/>
      <c r="J21" s="25"/>
      <c r="K21" s="25"/>
      <c r="L21" s="25"/>
      <c r="M21" s="25"/>
      <c r="N21" s="25"/>
      <c r="O21" s="28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8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49" s="6" customFormat="1" ht="18.75" x14ac:dyDescent="0.3">
      <c r="A22" s="5" t="s">
        <v>54</v>
      </c>
      <c r="B22" s="20">
        <v>24600</v>
      </c>
      <c r="C22" s="20">
        <v>81500</v>
      </c>
      <c r="D22" s="20">
        <f>C22*15%</f>
        <v>12225</v>
      </c>
      <c r="E22" s="20">
        <f>C22*1%</f>
        <v>815</v>
      </c>
      <c r="F22" s="20">
        <f>C22*2%</f>
        <v>1630</v>
      </c>
      <c r="G22" s="20">
        <f>C22*3%</f>
        <v>2445</v>
      </c>
      <c r="H22" s="20">
        <v>1440</v>
      </c>
      <c r="I22" s="20">
        <v>12300</v>
      </c>
      <c r="J22" s="20">
        <v>24600</v>
      </c>
      <c r="K22" s="20">
        <v>18450</v>
      </c>
      <c r="L22" s="20">
        <v>6150</v>
      </c>
      <c r="M22" s="20">
        <v>42500</v>
      </c>
      <c r="N22" s="20">
        <v>400</v>
      </c>
      <c r="O22" s="21">
        <v>600</v>
      </c>
      <c r="P22" s="20">
        <v>10000</v>
      </c>
      <c r="Q22" s="20">
        <v>2412</v>
      </c>
      <c r="R22" s="20">
        <v>2460</v>
      </c>
      <c r="S22" s="20">
        <v>15000</v>
      </c>
      <c r="T22" s="20">
        <v>1000</v>
      </c>
      <c r="U22" s="20">
        <f>AW22*15%</f>
        <v>20446.8</v>
      </c>
      <c r="V22" s="20">
        <f>AW22*1%</f>
        <v>1363.1200000000001</v>
      </c>
      <c r="W22" s="20">
        <f>AW22*3%</f>
        <v>4089.3599999999997</v>
      </c>
      <c r="X22" s="20">
        <f>SUM(C22:W22)</f>
        <v>261826.27999999997</v>
      </c>
      <c r="Y22" s="20">
        <v>45835</v>
      </c>
      <c r="Z22" s="22">
        <f>SUM(X22:Y22)</f>
        <v>307661.27999999997</v>
      </c>
      <c r="AA22" s="20">
        <f>C22*15%</f>
        <v>12225</v>
      </c>
      <c r="AB22" s="20">
        <f>C22*1%</f>
        <v>815</v>
      </c>
      <c r="AC22" s="20">
        <f>C22*2%</f>
        <v>1630</v>
      </c>
      <c r="AD22" s="20">
        <f>C22*3%</f>
        <v>2445</v>
      </c>
      <c r="AE22" s="20">
        <f>C22*8%</f>
        <v>6520</v>
      </c>
      <c r="AF22" s="20">
        <f>C22*10%</f>
        <v>8150</v>
      </c>
      <c r="AG22" s="20">
        <f>C22*1%</f>
        <v>815</v>
      </c>
      <c r="AH22" s="20">
        <f>AW22*15%</f>
        <v>20446.8</v>
      </c>
      <c r="AI22" s="20">
        <f>AW22*1%</f>
        <v>1363.1200000000001</v>
      </c>
      <c r="AJ22" s="21">
        <f>AW22*10%</f>
        <v>13631.2</v>
      </c>
      <c r="AK22" s="20">
        <f>AW22*1%</f>
        <v>1363.1200000000001</v>
      </c>
      <c r="AL22" s="20">
        <f>AW22*3%</f>
        <v>4089.3599999999997</v>
      </c>
      <c r="AM22" s="20">
        <v>450</v>
      </c>
      <c r="AN22" s="20">
        <v>100</v>
      </c>
      <c r="AO22" s="20">
        <v>100</v>
      </c>
      <c r="AP22" s="20"/>
      <c r="AQ22" s="20">
        <v>25</v>
      </c>
      <c r="AR22" s="20">
        <f>C22*7%</f>
        <v>5705.0000000000009</v>
      </c>
      <c r="AS22" s="20"/>
      <c r="AT22" s="20">
        <v>288</v>
      </c>
      <c r="AU22" s="22">
        <f>SUM(AA22:AT22)</f>
        <v>80161.600000000006</v>
      </c>
      <c r="AV22" s="20">
        <f>Z22-AU22</f>
        <v>227499.67999999996</v>
      </c>
      <c r="AW22" s="20">
        <f>H22+I22+J22+K22+L22+M22+N22+O22+P22+Q22+R22+S22</f>
        <v>136312</v>
      </c>
    </row>
    <row r="23" spans="1:49" s="6" customFormat="1" ht="18.75" x14ac:dyDescent="0.3">
      <c r="A23" s="5" t="s">
        <v>55</v>
      </c>
      <c r="B23" s="20">
        <v>24600</v>
      </c>
      <c r="C23" s="20">
        <v>81500</v>
      </c>
      <c r="D23" s="20">
        <f>C23*15%</f>
        <v>12225</v>
      </c>
      <c r="E23" s="20">
        <f>C23*1%</f>
        <v>815</v>
      </c>
      <c r="F23" s="20">
        <f>C23*2%</f>
        <v>1630</v>
      </c>
      <c r="G23" s="20">
        <f>C23*3%</f>
        <v>2445</v>
      </c>
      <c r="H23" s="20">
        <v>1440</v>
      </c>
      <c r="I23" s="20">
        <v>12300</v>
      </c>
      <c r="J23" s="20">
        <v>24600</v>
      </c>
      <c r="K23" s="20">
        <v>18450</v>
      </c>
      <c r="L23" s="20">
        <v>6150</v>
      </c>
      <c r="M23" s="20">
        <v>42500</v>
      </c>
      <c r="N23" s="20">
        <v>400</v>
      </c>
      <c r="O23" s="21">
        <v>600</v>
      </c>
      <c r="P23" s="20">
        <v>10000</v>
      </c>
      <c r="Q23" s="20">
        <v>2412</v>
      </c>
      <c r="R23" s="20">
        <v>2460</v>
      </c>
      <c r="S23" s="20">
        <v>15000</v>
      </c>
      <c r="T23" s="20">
        <v>1000</v>
      </c>
      <c r="U23" s="20">
        <f>AW23*15%</f>
        <v>20446.8</v>
      </c>
      <c r="V23" s="20">
        <f>AW23*1%</f>
        <v>1363.1200000000001</v>
      </c>
      <c r="W23" s="20">
        <f>AW23*3%</f>
        <v>4089.3599999999997</v>
      </c>
      <c r="X23" s="20">
        <f>SUM(C23:W23)</f>
        <v>261826.27999999997</v>
      </c>
      <c r="Y23" s="20">
        <v>45835</v>
      </c>
      <c r="Z23" s="22">
        <f>SUM(X23:Y23)</f>
        <v>307661.27999999997</v>
      </c>
      <c r="AA23" s="20">
        <f>C23*15%</f>
        <v>12225</v>
      </c>
      <c r="AB23" s="20">
        <f>C23*1%</f>
        <v>815</v>
      </c>
      <c r="AC23" s="20">
        <f>C23*2%</f>
        <v>1630</v>
      </c>
      <c r="AD23" s="20">
        <f>C23*3%</f>
        <v>2445</v>
      </c>
      <c r="AE23" s="20">
        <f>C23*8%</f>
        <v>6520</v>
      </c>
      <c r="AF23" s="20">
        <f>C23*10%</f>
        <v>8150</v>
      </c>
      <c r="AG23" s="20">
        <f>C23*1%</f>
        <v>815</v>
      </c>
      <c r="AH23" s="20">
        <f>AW23*15%</f>
        <v>20446.8</v>
      </c>
      <c r="AI23" s="20">
        <f>AW23*1%</f>
        <v>1363.1200000000001</v>
      </c>
      <c r="AJ23" s="21">
        <f>AW23*10%</f>
        <v>13631.2</v>
      </c>
      <c r="AK23" s="20">
        <f>AW23*1%</f>
        <v>1363.1200000000001</v>
      </c>
      <c r="AL23" s="20">
        <f>AW23*3%</f>
        <v>4089.3599999999997</v>
      </c>
      <c r="AM23" s="20">
        <v>450</v>
      </c>
      <c r="AN23" s="20">
        <v>100</v>
      </c>
      <c r="AO23" s="20">
        <v>100</v>
      </c>
      <c r="AP23" s="20"/>
      <c r="AQ23" s="20">
        <v>25</v>
      </c>
      <c r="AR23" s="20">
        <f>C23*7%</f>
        <v>5705.0000000000009</v>
      </c>
      <c r="AS23" s="20">
        <v>0</v>
      </c>
      <c r="AT23" s="20">
        <v>288</v>
      </c>
      <c r="AU23" s="22">
        <f>SUM(AA23:AT23)</f>
        <v>80161.600000000006</v>
      </c>
      <c r="AV23" s="20">
        <f>Z23-AU23</f>
        <v>227499.67999999996</v>
      </c>
      <c r="AW23" s="20">
        <f t="shared" ref="AW23:AW25" si="29">H23+I23+J23+K23+L23+M23+N23+O23+P23+Q23+R23+S23</f>
        <v>136312</v>
      </c>
    </row>
    <row r="24" spans="1:49" ht="18.75" x14ac:dyDescent="0.3">
      <c r="A24" s="7" t="s">
        <v>56</v>
      </c>
      <c r="B24" s="20">
        <v>26100</v>
      </c>
      <c r="C24" s="20">
        <v>85142</v>
      </c>
      <c r="D24" s="20">
        <f>C24*15%</f>
        <v>12771.3</v>
      </c>
      <c r="E24" s="20">
        <f>C24*1%</f>
        <v>851.42000000000007</v>
      </c>
      <c r="F24" s="20">
        <f>C24*2%</f>
        <v>1702.8400000000001</v>
      </c>
      <c r="G24" s="20">
        <f>C24*3%</f>
        <v>2554.2599999999998</v>
      </c>
      <c r="H24" s="20">
        <v>1440</v>
      </c>
      <c r="I24" s="20">
        <f>B24*50/100</f>
        <v>13050</v>
      </c>
      <c r="J24" s="20">
        <v>26100</v>
      </c>
      <c r="K24" s="20">
        <f>B24*75/100</f>
        <v>19575</v>
      </c>
      <c r="L24" s="20">
        <f>B24*25/100</f>
        <v>6525</v>
      </c>
      <c r="M24" s="20">
        <v>42500</v>
      </c>
      <c r="N24" s="20">
        <v>400</v>
      </c>
      <c r="O24" s="21">
        <v>600</v>
      </c>
      <c r="P24" s="20">
        <v>0</v>
      </c>
      <c r="Q24" s="20">
        <v>2562</v>
      </c>
      <c r="R24" s="20">
        <v>2610</v>
      </c>
      <c r="S24" s="20">
        <v>15000</v>
      </c>
      <c r="T24" s="20">
        <v>1000</v>
      </c>
      <c r="U24" s="20">
        <f>AW24*15%</f>
        <v>19554.3</v>
      </c>
      <c r="V24" s="20">
        <f>AW24*1%</f>
        <v>1303.6200000000001</v>
      </c>
      <c r="W24" s="20">
        <f>AW24*3%</f>
        <v>3910.8599999999997</v>
      </c>
      <c r="X24" s="20">
        <f>SUM(C24:W24)</f>
        <v>259152.59999999998</v>
      </c>
      <c r="Y24" s="20">
        <v>45834</v>
      </c>
      <c r="Z24" s="22">
        <f>SUM(X24:Y24)</f>
        <v>304986.59999999998</v>
      </c>
      <c r="AA24" s="20">
        <f>C24*15%</f>
        <v>12771.3</v>
      </c>
      <c r="AB24" s="20">
        <f>C24*1%</f>
        <v>851.42000000000007</v>
      </c>
      <c r="AC24" s="20">
        <f>C24*2%</f>
        <v>1702.8400000000001</v>
      </c>
      <c r="AD24" s="20">
        <f>C24*3%</f>
        <v>2554.2599999999998</v>
      </c>
      <c r="AE24" s="20">
        <f>C24*8%</f>
        <v>6811.3600000000006</v>
      </c>
      <c r="AF24" s="20">
        <f>C24*10%</f>
        <v>8514.2000000000007</v>
      </c>
      <c r="AG24" s="20">
        <f>C24*1%</f>
        <v>851.42000000000007</v>
      </c>
      <c r="AH24" s="20">
        <f>AW24*15%</f>
        <v>19554.3</v>
      </c>
      <c r="AI24" s="20">
        <f>AW24*1%</f>
        <v>1303.6200000000001</v>
      </c>
      <c r="AJ24" s="21">
        <f>AW24*10%</f>
        <v>13036.2</v>
      </c>
      <c r="AK24" s="20">
        <f>AW24*1%</f>
        <v>1303.6200000000001</v>
      </c>
      <c r="AL24" s="20">
        <f>AW24*3%</f>
        <v>3910.8599999999997</v>
      </c>
      <c r="AM24" s="20">
        <v>450</v>
      </c>
      <c r="AN24" s="20">
        <v>100</v>
      </c>
      <c r="AO24" s="20">
        <v>100</v>
      </c>
      <c r="AP24" s="20"/>
      <c r="AQ24" s="20">
        <v>25</v>
      </c>
      <c r="AR24" s="20">
        <f>C24*7%</f>
        <v>5959.9400000000005</v>
      </c>
      <c r="AS24" s="20">
        <v>0</v>
      </c>
      <c r="AT24" s="20">
        <v>185</v>
      </c>
      <c r="AU24" s="22">
        <f>SUM(AA24:AT24)</f>
        <v>79985.340000000011</v>
      </c>
      <c r="AV24" s="20">
        <f>Z24-AU24</f>
        <v>225001.25999999995</v>
      </c>
      <c r="AW24" s="20">
        <f>S24+R24+Q24+P24+O24+N24+M24+L24+K24+J24+I24+H24</f>
        <v>130362</v>
      </c>
    </row>
    <row r="25" spans="1:49" s="6" customFormat="1" ht="18.75" x14ac:dyDescent="0.3">
      <c r="A25" s="5" t="s">
        <v>29</v>
      </c>
      <c r="B25" s="20">
        <v>24600</v>
      </c>
      <c r="C25" s="20">
        <v>81500</v>
      </c>
      <c r="D25" s="20">
        <f>C25*15%</f>
        <v>12225</v>
      </c>
      <c r="E25" s="20">
        <f>C25*1%</f>
        <v>815</v>
      </c>
      <c r="F25" s="20">
        <f>C25*2%</f>
        <v>1630</v>
      </c>
      <c r="G25" s="20">
        <f>C25*3%</f>
        <v>2445</v>
      </c>
      <c r="H25" s="20">
        <v>1440</v>
      </c>
      <c r="I25" s="20">
        <v>12300</v>
      </c>
      <c r="J25" s="20">
        <v>24600</v>
      </c>
      <c r="K25" s="20">
        <v>18450</v>
      </c>
      <c r="L25" s="20">
        <v>6150</v>
      </c>
      <c r="M25" s="20">
        <v>42500</v>
      </c>
      <c r="N25" s="20">
        <v>400</v>
      </c>
      <c r="O25" s="21">
        <v>600</v>
      </c>
      <c r="P25" s="20">
        <v>0</v>
      </c>
      <c r="Q25" s="20">
        <v>2412</v>
      </c>
      <c r="R25" s="20">
        <v>2460</v>
      </c>
      <c r="S25" s="20">
        <v>15000</v>
      </c>
      <c r="T25" s="20">
        <v>1000</v>
      </c>
      <c r="U25" s="20">
        <f>AW25*15%</f>
        <v>18946.8</v>
      </c>
      <c r="V25" s="20">
        <f>AW25*1%</f>
        <v>1263.1200000000001</v>
      </c>
      <c r="W25" s="20">
        <f>AW25*3%</f>
        <v>3789.3599999999997</v>
      </c>
      <c r="X25" s="20">
        <f>SUM(C25:W25)</f>
        <v>249926.27999999997</v>
      </c>
      <c r="Y25" s="20">
        <v>45835</v>
      </c>
      <c r="Z25" s="22">
        <f>SUM(X25:Y25)</f>
        <v>295761.27999999997</v>
      </c>
      <c r="AA25" s="20">
        <f>C25*15%</f>
        <v>12225</v>
      </c>
      <c r="AB25" s="20">
        <f>C25*1%</f>
        <v>815</v>
      </c>
      <c r="AC25" s="20">
        <f>C25*2%</f>
        <v>1630</v>
      </c>
      <c r="AD25" s="20">
        <f>C25*3%</f>
        <v>2445</v>
      </c>
      <c r="AE25" s="20">
        <f>C25*8%</f>
        <v>6520</v>
      </c>
      <c r="AF25" s="20">
        <f>C25*10%</f>
        <v>8150</v>
      </c>
      <c r="AG25" s="20">
        <f>C25*1%</f>
        <v>815</v>
      </c>
      <c r="AH25" s="20">
        <f>AW25*15%</f>
        <v>18946.8</v>
      </c>
      <c r="AI25" s="20">
        <f>AW25*1%</f>
        <v>1263.1200000000001</v>
      </c>
      <c r="AJ25" s="21">
        <f>AW25*10%</f>
        <v>12631.2</v>
      </c>
      <c r="AK25" s="20">
        <f>AW25*1%</f>
        <v>1263.1200000000001</v>
      </c>
      <c r="AL25" s="20">
        <f>AW25*3%</f>
        <v>3789.3599999999997</v>
      </c>
      <c r="AM25" s="20">
        <v>450</v>
      </c>
      <c r="AN25" s="20">
        <v>100</v>
      </c>
      <c r="AO25" s="20">
        <v>100</v>
      </c>
      <c r="AP25" s="20"/>
      <c r="AQ25" s="20">
        <v>25</v>
      </c>
      <c r="AR25" s="20">
        <f>C25*7%</f>
        <v>5705.0000000000009</v>
      </c>
      <c r="AS25" s="20">
        <v>0</v>
      </c>
      <c r="AT25" s="20">
        <v>288</v>
      </c>
      <c r="AU25" s="22">
        <f>SUM(AA25:AT25)</f>
        <v>77161.600000000006</v>
      </c>
      <c r="AV25" s="20">
        <f>Z25-AU25</f>
        <v>218599.67999999996</v>
      </c>
      <c r="AW25" s="20">
        <f t="shared" si="29"/>
        <v>126312</v>
      </c>
    </row>
    <row r="26" spans="1:49" s="6" customFormat="1" ht="18.75" x14ac:dyDescent="0.3">
      <c r="A26" s="8"/>
      <c r="B26" s="23">
        <f t="shared" ref="B26:AV26" si="30">SUM(B22:B25)</f>
        <v>99900</v>
      </c>
      <c r="C26" s="23">
        <f t="shared" si="30"/>
        <v>329642</v>
      </c>
      <c r="D26" s="23">
        <f t="shared" si="30"/>
        <v>49446.3</v>
      </c>
      <c r="E26" s="23">
        <f t="shared" si="30"/>
        <v>3296.42</v>
      </c>
      <c r="F26" s="23">
        <f t="shared" si="30"/>
        <v>6592.84</v>
      </c>
      <c r="G26" s="23">
        <f t="shared" si="30"/>
        <v>9889.26</v>
      </c>
      <c r="H26" s="23">
        <f t="shared" si="30"/>
        <v>5760</v>
      </c>
      <c r="I26" s="23">
        <f t="shared" si="30"/>
        <v>49950</v>
      </c>
      <c r="J26" s="23">
        <f t="shared" si="30"/>
        <v>99900</v>
      </c>
      <c r="K26" s="23">
        <f t="shared" si="30"/>
        <v>74925</v>
      </c>
      <c r="L26" s="23">
        <f t="shared" si="30"/>
        <v>24975</v>
      </c>
      <c r="M26" s="23">
        <f t="shared" si="30"/>
        <v>170000</v>
      </c>
      <c r="N26" s="23">
        <f t="shared" si="30"/>
        <v>1600</v>
      </c>
      <c r="O26" s="24">
        <f t="shared" si="30"/>
        <v>2400</v>
      </c>
      <c r="P26" s="23">
        <f t="shared" si="30"/>
        <v>20000</v>
      </c>
      <c r="Q26" s="23">
        <f t="shared" si="30"/>
        <v>9798</v>
      </c>
      <c r="R26" s="23">
        <f t="shared" si="30"/>
        <v>9990</v>
      </c>
      <c r="S26" s="23">
        <f t="shared" si="30"/>
        <v>60000</v>
      </c>
      <c r="T26" s="23">
        <f t="shared" si="30"/>
        <v>4000</v>
      </c>
      <c r="U26" s="23">
        <f t="shared" si="30"/>
        <v>79394.7</v>
      </c>
      <c r="V26" s="23">
        <f t="shared" si="30"/>
        <v>5292.9800000000005</v>
      </c>
      <c r="W26" s="23">
        <f t="shared" si="30"/>
        <v>15878.939999999999</v>
      </c>
      <c r="X26" s="23">
        <f>SUM(C26:W26)</f>
        <v>1032731.44</v>
      </c>
      <c r="Y26" s="23">
        <f t="shared" si="30"/>
        <v>183339</v>
      </c>
      <c r="Z26" s="23">
        <f t="shared" si="30"/>
        <v>1216070.44</v>
      </c>
      <c r="AA26" s="23">
        <f t="shared" si="30"/>
        <v>49446.3</v>
      </c>
      <c r="AB26" s="23">
        <f t="shared" si="30"/>
        <v>3296.42</v>
      </c>
      <c r="AC26" s="23">
        <f t="shared" si="30"/>
        <v>6592.84</v>
      </c>
      <c r="AD26" s="23">
        <f t="shared" si="30"/>
        <v>9889.26</v>
      </c>
      <c r="AE26" s="23">
        <f t="shared" si="30"/>
        <v>26371.360000000001</v>
      </c>
      <c r="AF26" s="23">
        <f t="shared" si="30"/>
        <v>32964.199999999997</v>
      </c>
      <c r="AG26" s="23">
        <f t="shared" si="30"/>
        <v>3296.42</v>
      </c>
      <c r="AH26" s="23">
        <f t="shared" si="30"/>
        <v>79394.7</v>
      </c>
      <c r="AI26" s="23">
        <f t="shared" si="30"/>
        <v>5292.9800000000005</v>
      </c>
      <c r="AJ26" s="24">
        <f t="shared" si="30"/>
        <v>52929.8</v>
      </c>
      <c r="AK26" s="23">
        <f t="shared" si="30"/>
        <v>5292.9800000000005</v>
      </c>
      <c r="AL26" s="23">
        <f t="shared" si="30"/>
        <v>15878.939999999999</v>
      </c>
      <c r="AM26" s="23">
        <f t="shared" si="30"/>
        <v>1800</v>
      </c>
      <c r="AN26" s="23">
        <f t="shared" si="30"/>
        <v>400</v>
      </c>
      <c r="AO26" s="23">
        <f t="shared" si="30"/>
        <v>400</v>
      </c>
      <c r="AP26" s="23">
        <f t="shared" si="30"/>
        <v>0</v>
      </c>
      <c r="AQ26" s="23">
        <f t="shared" si="30"/>
        <v>100</v>
      </c>
      <c r="AR26" s="23">
        <f t="shared" si="30"/>
        <v>23074.940000000002</v>
      </c>
      <c r="AS26" s="23">
        <f t="shared" si="30"/>
        <v>0</v>
      </c>
      <c r="AT26" s="23">
        <f t="shared" si="30"/>
        <v>1049</v>
      </c>
      <c r="AU26" s="23">
        <f t="shared" si="30"/>
        <v>317470.14</v>
      </c>
      <c r="AV26" s="23">
        <f t="shared" si="30"/>
        <v>898600.29999999981</v>
      </c>
      <c r="AW26" s="23"/>
    </row>
    <row r="28" spans="1:49" x14ac:dyDescent="0.25">
      <c r="C28" s="29"/>
      <c r="O28" s="29"/>
    </row>
    <row r="29" spans="1:49" x14ac:dyDescent="0.25">
      <c r="C29" s="29"/>
      <c r="O29" s="29"/>
    </row>
  </sheetData>
  <pageMargins left="0.16" right="0.31" top="0.2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rightToLeft="1" tabSelected="1" topLeftCell="A13" workbookViewId="0">
      <selection activeCell="E15" sqref="E15"/>
    </sheetView>
  </sheetViews>
  <sheetFormatPr defaultRowHeight="15" x14ac:dyDescent="0.25"/>
  <cols>
    <col min="3" max="3" width="17.140625" customWidth="1"/>
    <col min="6" max="6" width="12.42578125" customWidth="1"/>
  </cols>
  <sheetData>
    <row r="1" spans="1:6" ht="15.75" thickBot="1" x14ac:dyDescent="0.3"/>
    <row r="2" spans="1:6" ht="21" customHeight="1" thickTop="1" thickBot="1" x14ac:dyDescent="0.35">
      <c r="B2" s="14" t="s">
        <v>38</v>
      </c>
      <c r="C2" s="33" t="s">
        <v>39</v>
      </c>
      <c r="D2" s="34"/>
    </row>
    <row r="3" spans="1:6" ht="16.5" thickTop="1" thickBot="1" x14ac:dyDescent="0.3"/>
    <row r="4" spans="1:6" ht="18" customHeight="1" thickBot="1" x14ac:dyDescent="0.3">
      <c r="A4" s="38" t="s">
        <v>34</v>
      </c>
      <c r="B4" s="38"/>
      <c r="C4" s="35" t="s">
        <v>15</v>
      </c>
      <c r="D4" s="38" t="s">
        <v>34</v>
      </c>
      <c r="E4" s="38"/>
      <c r="F4" s="35" t="s">
        <v>37</v>
      </c>
    </row>
    <row r="5" spans="1:6" ht="18" customHeight="1" thickBot="1" x14ac:dyDescent="0.3">
      <c r="A5" s="37" t="s">
        <v>35</v>
      </c>
      <c r="B5" s="37" t="s">
        <v>36</v>
      </c>
      <c r="C5" s="35"/>
      <c r="D5" s="37" t="s">
        <v>35</v>
      </c>
      <c r="E5" s="37" t="s">
        <v>36</v>
      </c>
      <c r="F5" s="35"/>
    </row>
    <row r="6" spans="1:6" ht="18.75" x14ac:dyDescent="0.25">
      <c r="A6" s="39">
        <f>IFERROR(MID(VLOOKUP($C$2,المعلمين!$A$2:$AW$2600,3,0),FIND(".",VLOOKUP($C$2,المعلمين!$A$2:$AW$2600,3,0))+1,50)*1,0)</f>
        <v>0</v>
      </c>
      <c r="B6" s="36">
        <f>QUOTIENT(VLOOKUP($C$2,المعلمين!$A$2:$AW$2600,3,0),1)</f>
        <v>147282</v>
      </c>
      <c r="C6" s="15" t="s">
        <v>2</v>
      </c>
      <c r="D6" s="39">
        <f>IFERROR(MID(VLOOKUP($C$2,المعلمين!$A$2:$AW$2600,27,0),FIND(".",VLOOKUP($C$2,المعلمين!$A$2:$AW$2600,27,0))+1,50)*1,0)</f>
        <v>3</v>
      </c>
      <c r="E6" s="36">
        <f>QUOTIENT(VLOOKUP($C$2,المعلمين!$A$2:$AW$2600,27,0),1)</f>
        <v>22092</v>
      </c>
      <c r="F6" s="16">
        <v>0.15</v>
      </c>
    </row>
    <row r="7" spans="1:6" ht="18.75" x14ac:dyDescent="0.25">
      <c r="A7" s="40">
        <f>IFERROR(MID(VLOOKUP($C$2,المعلمين!$A$2:$AW$2600,4,0),FIND(".",VLOOKUP($C$2,المعلمين!$A$2:$AW$2600,4,0))+1,50)*1,0)</f>
        <v>3</v>
      </c>
      <c r="B7" s="32">
        <f>QUOTIENT(VLOOKUP($C$2,المعلمين!$A$2:$AW$2600,4,0),1)</f>
        <v>22092</v>
      </c>
      <c r="C7" s="10">
        <v>0.15</v>
      </c>
      <c r="D7" s="40">
        <f>IFERROR(MID(VLOOKUP($C$2,المعلمين!$A$2:$AW$2600,28,0),FIND(".",VLOOKUP($C$2,المعلمين!$A$2:$AW$2600,28,0))+1,50)*1,0)</f>
        <v>82</v>
      </c>
      <c r="E7" s="32">
        <f>QUOTIENT(VLOOKUP($C$2,المعلمين!$A$2:$AW$2600,28,0),1)</f>
        <v>1472</v>
      </c>
      <c r="F7" s="10">
        <v>0.01</v>
      </c>
    </row>
    <row r="8" spans="1:6" ht="18.75" x14ac:dyDescent="0.25">
      <c r="A8" s="40">
        <f>IFERROR(MID(VLOOKUP($C$2,المعلمين!$A$2:$AW$2600,5,0),FIND(".",VLOOKUP($C$2,المعلمين!$A$2:$AW$2600,5,0))+1,50)*1,0)</f>
        <v>82</v>
      </c>
      <c r="B8" s="32">
        <f>QUOTIENT(VLOOKUP($C$2,المعلمين!$A$2:$AW$2600,5,0),1)</f>
        <v>1472</v>
      </c>
      <c r="C8" s="10">
        <v>0.01</v>
      </c>
      <c r="D8" s="40">
        <f>IFERROR(MID(VLOOKUP($C$2,المعلمين!$A$2:$AW$2600,29,0),FIND(".",VLOOKUP($C$2,المعلمين!$A$2:$AW$2600,29,0))+1,50)*1,0)</f>
        <v>64</v>
      </c>
      <c r="E8" s="32">
        <f>QUOTIENT(VLOOKUP($C$2,المعلمين!$A$2:$AW$2600,29,0),1)</f>
        <v>2945</v>
      </c>
      <c r="F8" s="10">
        <v>0.02</v>
      </c>
    </row>
    <row r="9" spans="1:6" ht="18.75" x14ac:dyDescent="0.25">
      <c r="A9" s="40">
        <f>IFERROR(MID(VLOOKUP($C$2,المعلمين!$A$2:$AW$2600,6,0),FIND(".",VLOOKUP($C$2,المعلمين!$A$2:$AW$2600,6,0))+1,50)*1,0)</f>
        <v>64</v>
      </c>
      <c r="B9" s="32">
        <f>QUOTIENT(VLOOKUP($C$2,المعلمين!$A$2:$AW$2600,6,0),1)</f>
        <v>2945</v>
      </c>
      <c r="C9" s="10">
        <v>0.02</v>
      </c>
      <c r="D9" s="40">
        <f>IFERROR(MID(VLOOKUP($C$2,المعلمين!$A$2:$AW$2600,30,0),FIND(".",VLOOKUP($C$2,المعلمين!$A$2:$AW$2600,30,0))+1,50)*1,0)</f>
        <v>46</v>
      </c>
      <c r="E9" s="32">
        <f>QUOTIENT(VLOOKUP($C$2,المعلمين!$A$2:$AW$2600,30,0),1)</f>
        <v>4418</v>
      </c>
      <c r="F9" s="10">
        <v>0.03</v>
      </c>
    </row>
    <row r="10" spans="1:6" ht="18.75" x14ac:dyDescent="0.25">
      <c r="A10" s="40">
        <f>IFERROR(MID(VLOOKUP($C$2,المعلمين!$A$2:$AW$2600,7,0),FIND(".",VLOOKUP($C$2,المعلمين!$A$2:$AW$2600,7,0))+1,50)*1,0)</f>
        <v>46</v>
      </c>
      <c r="B10" s="32">
        <f>QUOTIENT(VLOOKUP($C$2,المعلمين!$A$2:$AW$2600,7,0),1)</f>
        <v>4418</v>
      </c>
      <c r="C10" s="10">
        <v>0.03</v>
      </c>
      <c r="D10" s="40">
        <f>IFERROR(MID(VLOOKUP($C$2,المعلمين!$A$2:$AW$2600,31,0),FIND(".",VLOOKUP($C$2,المعلمين!$A$2:$AW$2600,31,0))+1,50)*1,0)</f>
        <v>56</v>
      </c>
      <c r="E10" s="32">
        <f>QUOTIENT(VLOOKUP($C$2,المعلمين!$A$2:$AW$2600,31,0),1)</f>
        <v>11782</v>
      </c>
      <c r="F10" s="10">
        <v>0.08</v>
      </c>
    </row>
    <row r="11" spans="1:6" ht="18.75" x14ac:dyDescent="0.25">
      <c r="A11" s="40">
        <f>IFERROR(MID(VLOOKUP($C$2,المعلمين!$A$2:$AW$2600,8,0),FIND(".",VLOOKUP($C$2,المعلمين!$A$2:$AW$2600,8,0))+1,50)*1,0)</f>
        <v>0</v>
      </c>
      <c r="B11" s="32">
        <f>QUOTIENT(VLOOKUP($C$2,المعلمين!$A$2:$AW$2600,8,0),1)</f>
        <v>3750</v>
      </c>
      <c r="C11" s="9" t="s">
        <v>3</v>
      </c>
      <c r="D11" s="40">
        <f>IFERROR(MID(VLOOKUP($C$2,المعلمين!$A$2:$AW$2600,32,0),FIND(".",VLOOKUP($C$2,المعلمين!$A$2:$AW$2600,32,0))+1,50)*1,0)</f>
        <v>2</v>
      </c>
      <c r="E11" s="32">
        <f>QUOTIENT(VLOOKUP($C$2,المعلمين!$A$2:$AW$2600,32,0),1)</f>
        <v>14728</v>
      </c>
      <c r="F11" s="10">
        <v>0.1</v>
      </c>
    </row>
    <row r="12" spans="1:6" ht="18.75" x14ac:dyDescent="0.25">
      <c r="A12" s="40">
        <f>IFERROR(MID(VLOOKUP($C$2,المعلمين!$A$2:$AW$2600,9,0),FIND(".",VLOOKUP($C$2,المعلمين!$A$2:$AW$2600,9,0))+1,50)*1,0)</f>
        <v>0</v>
      </c>
      <c r="B12" s="32">
        <f>QUOTIENT(VLOOKUP($C$2,المعلمين!$A$2:$AW$2600,9,0),1)</f>
        <v>30050</v>
      </c>
      <c r="C12" s="9" t="s">
        <v>4</v>
      </c>
      <c r="D12" s="40">
        <f>IFERROR(MID(VLOOKUP($C$2,المعلمين!$A$2:$AW$2600,33,0),FIND(".",VLOOKUP($C$2,المعلمين!$A$2:$AW$2600,33,0))+1,50)*1,0)</f>
        <v>82</v>
      </c>
      <c r="E12" s="32">
        <f>QUOTIENT(VLOOKUP($C$2,المعلمين!$A$2:$AW$2600,33,0),1)</f>
        <v>1472</v>
      </c>
      <c r="F12" s="10">
        <v>0.01</v>
      </c>
    </row>
    <row r="13" spans="1:6" ht="18.75" x14ac:dyDescent="0.25">
      <c r="A13" s="40">
        <f>IFERROR(MID(VLOOKUP($C$2,المعلمين!$A$2:$AW$2600,10,0),FIND(".",VLOOKUP($C$2,المعلمين!$A$2:$AW$2600,10,0))+1,50)*1,0)</f>
        <v>0</v>
      </c>
      <c r="B13" s="32">
        <f>QUOTIENT(VLOOKUP($C$2,المعلمين!$A$2:$AW$2600,10,0),1)</f>
        <v>105175</v>
      </c>
      <c r="C13" s="9" t="s">
        <v>5</v>
      </c>
      <c r="D13" s="40">
        <f>IFERROR(MID(VLOOKUP($C$2,المعلمين!$A$2:$AW$2600,34,0),FIND(".",VLOOKUP($C$2,المعلمين!$A$2:$AW$2600,34,0))+1,50)*1,0)</f>
        <v>6</v>
      </c>
      <c r="E13" s="32">
        <f>QUOTIENT(VLOOKUP($C$2,المعلمين!$A$2:$AW$2600,34,0),1)</f>
        <v>36273</v>
      </c>
      <c r="F13" s="10">
        <v>0.15</v>
      </c>
    </row>
    <row r="14" spans="1:6" ht="18.75" x14ac:dyDescent="0.25">
      <c r="A14" s="40">
        <f>IFERROR(MID(VLOOKUP($C$2,المعلمين!$A$2:$AW$2600,11,0),FIND(".",VLOOKUP($C$2,المعلمين!$A$2:$AW$2600,11,0))+1,50)*1,0)</f>
        <v>0</v>
      </c>
      <c r="B14" s="32">
        <f>QUOTIENT(VLOOKUP($C$2,المعلمين!$A$2:$AW$2600,11,0),1)</f>
        <v>15025</v>
      </c>
      <c r="C14" s="9" t="s">
        <v>6</v>
      </c>
      <c r="D14" s="40">
        <f>IFERROR(MID(VLOOKUP($C$2,المعلمين!$A$2:$AW$2600,35,0),FIND(".",VLOOKUP($C$2,المعلمين!$A$2:$AW$2600,35,0))+1,50)*1,0)</f>
        <v>24</v>
      </c>
      <c r="E14" s="32">
        <f>QUOTIENT(VLOOKUP($C$2,المعلمين!$A$2:$AW$2600,35,0),1)</f>
        <v>2418</v>
      </c>
      <c r="F14" s="10">
        <v>0.01</v>
      </c>
    </row>
    <row r="15" spans="1:6" ht="18.75" x14ac:dyDescent="0.25">
      <c r="A15" s="40">
        <f>IFERROR(MID(VLOOKUP($C$2,المعلمين!$A$2:$AW$2600,12,0),FIND(".",VLOOKUP($C$2,المعلمين!$A$2:$AW$2600,12,0))+1,50)*1,0)</f>
        <v>0</v>
      </c>
      <c r="B15" s="32">
        <f>QUOTIENT(VLOOKUP($C$2,المعلمين!$A$2:$AW$2600,12,0),1)</f>
        <v>15025</v>
      </c>
      <c r="C15" s="10">
        <v>0.25</v>
      </c>
      <c r="D15" s="40">
        <f>IFERROR(MID(VLOOKUP($C$2,المعلمين!$A$2:$AW$2600,36,0),FIND(".",VLOOKUP($C$2,المعلمين!$A$2:$AW$2600,36,0))+1,50)*1,0)</f>
        <v>4</v>
      </c>
      <c r="E15" s="32">
        <f>QUOTIENT(VLOOKUP($C$2,المعلمين!$A$2:$AW$2600,36,0),1)</f>
        <v>24182</v>
      </c>
      <c r="F15" s="13">
        <v>0.1</v>
      </c>
    </row>
    <row r="16" spans="1:6" ht="18.75" x14ac:dyDescent="0.25">
      <c r="A16" s="40">
        <f>IFERROR(MID(VLOOKUP($C$2,المعلمين!$A$2:$AW$2600,13,0),FIND(".",VLOOKUP($C$2,المعلمين!$A$2:$AW$26,13,0))+1,50)*1,0)</f>
        <v>0</v>
      </c>
      <c r="B16" s="32">
        <f>QUOTIENT(VLOOKUP($C$2,المعلمين!$A$2:$AW$2600,13,0),1)</f>
        <v>35000</v>
      </c>
      <c r="C16" s="9" t="s">
        <v>7</v>
      </c>
      <c r="D16" s="40">
        <f>IFERROR(MID(VLOOKUP($C$2,المعلمين!$A$2:$AW$2600,37,0),FIND(".",VLOOKUP($C$2,المعلمين!$A$2:$AW$2600,37,0))+1,50)*1,0)</f>
        <v>24</v>
      </c>
      <c r="E16" s="32">
        <f>QUOTIENT(VLOOKUP($C$2,المعلمين!$A$2:$AW$2600,37,0),1)</f>
        <v>2418</v>
      </c>
      <c r="F16" s="10">
        <v>0.01</v>
      </c>
    </row>
    <row r="17" spans="1:6" ht="18.75" x14ac:dyDescent="0.25">
      <c r="A17" s="40">
        <f>IFERROR(MID(VLOOKUP($C$2,المعلمين!$A$2:$AW$2600,14,0),FIND(".",VLOOKUP($C$2,المعلمين!$A$2:$AW$2600,14,0))+1,50)*1,0)</f>
        <v>0</v>
      </c>
      <c r="B17" s="32">
        <f>QUOTIENT(VLOOKUP($C$2,المعلمين!$A$2:$AW$2600,14,0),1)</f>
        <v>400</v>
      </c>
      <c r="C17" s="9" t="s">
        <v>8</v>
      </c>
      <c r="D17" s="40">
        <f>IFERROR(MID(VLOOKUP($C$2,المعلمين!$A$2:$AW$2600,38,0),FIND(".",VLOOKUP($C$2,المعلمين!$A$2:$AW$2600,38,0))+1,50)*1,0)</f>
        <v>72</v>
      </c>
      <c r="E17" s="32">
        <f>QUOTIENT(VLOOKUP($C$2,المعلمين!$A$2:$AW$2600,38,0),1)</f>
        <v>7254</v>
      </c>
      <c r="F17" s="10">
        <v>0.03</v>
      </c>
    </row>
    <row r="18" spans="1:6" ht="18.75" x14ac:dyDescent="0.25">
      <c r="A18" s="40">
        <f>IFERROR(MID(VLOOKUP($C$2,المعلمين!$A$2:$AW$2600,15,0),FIND(".",VLOOKUP($C$2,المعلمين!$A$2:$AW$2600,15,0))+1,50)*1,0)</f>
        <v>0</v>
      </c>
      <c r="B18" s="32">
        <f>QUOTIENT(VLOOKUP($C$2,المعلمين!$A$2:$AW$2600,15,0),1)</f>
        <v>600</v>
      </c>
      <c r="C18" s="11" t="s">
        <v>9</v>
      </c>
      <c r="D18" s="40">
        <f>IFERROR(MID(VLOOKUP($C$2,المعلمين!$A$2:$AW$2600,39,0),FIND(".",VLOOKUP($C$2,المعلمين!$A$2:$AW$2600,39,0))+1,50)*1,0)</f>
        <v>0</v>
      </c>
      <c r="E18" s="32">
        <f>QUOTIENT(VLOOKUP($C$2,المعلمين!$A$2:$AW$2600,39,0),1)</f>
        <v>450</v>
      </c>
      <c r="F18" s="9" t="s">
        <v>16</v>
      </c>
    </row>
    <row r="19" spans="1:6" ht="18.75" x14ac:dyDescent="0.25">
      <c r="A19" s="40">
        <f>IFERROR(MID(VLOOKUP($C$2,المعلمين!$A$2:$AW$2600,16,0),FIND(".",VLOOKUP($C$2,المعلمين!$A$2:$AW$2600,16,0))+1,50)*1,0)</f>
        <v>0</v>
      </c>
      <c r="B19" s="32">
        <f>QUOTIENT(VLOOKUP($C$2,المعلمين!$A$2:$AW$2600,16,0),1)</f>
        <v>10200</v>
      </c>
      <c r="C19" s="9" t="s">
        <v>10</v>
      </c>
      <c r="D19" s="40">
        <f>IFERROR(MID(VLOOKUP($C$2,المعلمين!$A$2:$AW$2600,40,0),FIND(".",VLOOKUP($C$2,المعلمين!$A$2:$AW$2600,40,0))+1,50)*1,0)</f>
        <v>0</v>
      </c>
      <c r="E19" s="32">
        <f>QUOTIENT(VLOOKUP($C$2,المعلمين!$A$2:$AW$2600,40,0),1)</f>
        <v>100</v>
      </c>
      <c r="F19" s="9" t="s">
        <v>17</v>
      </c>
    </row>
    <row r="20" spans="1:6" ht="18.75" x14ac:dyDescent="0.25">
      <c r="A20" s="40">
        <f>IFERROR(MID(VLOOKUP($C$2,المعلمين!$A$2:$AW$2600,17,0),FIND(".",VLOOKUP($C$2,المعلمين!$A$2:$AW$2600,17,0))+1,50)*1,0)</f>
        <v>0</v>
      </c>
      <c r="B20" s="32">
        <f>QUOTIENT(VLOOKUP($C$2,المعلمين!$A$2:$AW$2600,17,0),1)</f>
        <v>5589</v>
      </c>
      <c r="C20" s="9">
        <v>2014</v>
      </c>
      <c r="D20" s="40">
        <f>IFERROR(MID(VLOOKUP($C$2,المعلمين!$A$2:$AW$2600,41,0),FIND(".",VLOOKUP($C$2,المعلمين!$A$2:$AW$2600,41,0))+1,50)*1,0)</f>
        <v>0</v>
      </c>
      <c r="E20" s="32">
        <f>QUOTIENT(VLOOKUP($C$2,المعلمين!$A$2:$AW$2600,41,0),1)</f>
        <v>100</v>
      </c>
      <c r="F20" s="9" t="s">
        <v>18</v>
      </c>
    </row>
    <row r="21" spans="1:6" ht="18.75" x14ac:dyDescent="0.25">
      <c r="A21" s="40">
        <f>IFERROR(MID(VLOOKUP($C$2,المعلمين!$A$2:$AW$2600,18,0),FIND(".",VLOOKUP($C$2,المعلمين!$A$2:$AW$2600,18,0))+1,50)*1,0)</f>
        <v>0</v>
      </c>
      <c r="B21" s="32">
        <f>QUOTIENT(VLOOKUP($C$2,المعلمين!$A$2:$AW$2600,18,0),1)</f>
        <v>6010</v>
      </c>
      <c r="C21" s="9">
        <v>2015</v>
      </c>
      <c r="D21" s="40">
        <f>IFERROR(MID(VLOOKUP($C$2,المعلمين!$A$2:$AW$2600,42,0),FIND(".",VLOOKUP($C$2,المعلمين!$A$2:$AW$2600,42,0))+1,50)*1,0)</f>
        <v>0</v>
      </c>
      <c r="E21" s="32">
        <f>QUOTIENT(VLOOKUP($C$2,المعلمين!$A$2:$AW$2600,42,0),1)</f>
        <v>0</v>
      </c>
      <c r="F21" s="9" t="s">
        <v>19</v>
      </c>
    </row>
    <row r="22" spans="1:6" ht="18.75" x14ac:dyDescent="0.25">
      <c r="A22" s="40">
        <f>IFERROR(MID(VLOOKUP($C$2,المعلمين!$A$2:$AW$2600,19,0),FIND(".",VLOOKUP($C$2,المعلمين!$A$2:$AW$2600,19,0))+1,50)*1,0)</f>
        <v>0</v>
      </c>
      <c r="B22" s="32">
        <f>QUOTIENT(VLOOKUP($C$2,المعلمين!$A$2:$AW$2600,19,0),1)</f>
        <v>15000</v>
      </c>
      <c r="C22" s="9" t="s">
        <v>11</v>
      </c>
      <c r="D22" s="40">
        <f>IFERROR(MID(VLOOKUP($C$2,المعلمين!$A$2:$AW$2600,43,0),FIND(".",VLOOKUP($C$2,المعلمين!$A$2:$AW$2600,43,0))+1,50)*1,0)</f>
        <v>0</v>
      </c>
      <c r="E22" s="32">
        <f>QUOTIENT(VLOOKUP($C$2,المعلمين!$A$2:$AW$2600,43,0),1)</f>
        <v>25</v>
      </c>
      <c r="F22" s="9" t="s">
        <v>20</v>
      </c>
    </row>
    <row r="23" spans="1:6" ht="18.75" x14ac:dyDescent="0.25">
      <c r="A23" s="40">
        <f>IFERROR(MID(VLOOKUP($C$2,المعلمين!$A$2:$AW$2600,20,0),FIND(".",VLOOKUP($C$2,المعلمين!$A$2:$AW$2600,20,0))+1,50)*1,0)</f>
        <v>0</v>
      </c>
      <c r="B23" s="32">
        <f>QUOTIENT(VLOOKUP($C$2,المعلمين!$A$2:$AW$2600,20,0),1)</f>
        <v>1000</v>
      </c>
      <c r="C23" s="9" t="s">
        <v>12</v>
      </c>
      <c r="D23" s="40">
        <f>IFERROR(MID(VLOOKUP($C$2,المعلمين!$A$2:$AW$2600,44,0),FIND(".",VLOOKUP($C$2,المعلمين!$A$2:$AW$2600,44,0))+1,50)*1,0)</f>
        <v>74</v>
      </c>
      <c r="E23" s="32">
        <f>QUOTIENT(VLOOKUP($C$2,المعلمين!$A$2:$AW$2600,44,0),1)</f>
        <v>10309</v>
      </c>
      <c r="F23" s="10" t="s">
        <v>21</v>
      </c>
    </row>
    <row r="24" spans="1:6" ht="18.75" x14ac:dyDescent="0.25">
      <c r="A24" s="40">
        <f>IFERROR(MID(VLOOKUP($C$2,المعلمين!$A$2:$AW$2600,21,0),FIND(".",VLOOKUP($C$2,المعلمين!$A$2:$AW$2600,21,0))+1,50)*1,0)</f>
        <v>6</v>
      </c>
      <c r="B24" s="32">
        <f>QUOTIENT(VLOOKUP($C$2,المعلمين!$A$2:$AW$2600,21,0),1)</f>
        <v>36273</v>
      </c>
      <c r="C24" s="10">
        <v>0.15</v>
      </c>
      <c r="D24" s="40">
        <f>IFERROR(MID(VLOOKUP($C$2,المعلمين!$A$2:$AW$2600,45,0),FIND(".",VLOOKUP($C$2,المعلمين!$A$2:$AW$2600,45,0))+1,50)*1,0)</f>
        <v>0</v>
      </c>
      <c r="E24" s="32">
        <f>QUOTIENT(VLOOKUP($C$2,المعلمين!$A$2:$AW$2600,45,0),1)</f>
        <v>1500</v>
      </c>
      <c r="F24" s="9" t="s">
        <v>22</v>
      </c>
    </row>
    <row r="25" spans="1:6" ht="18.75" x14ac:dyDescent="0.25">
      <c r="A25" s="40">
        <f>IFERROR(MID(VLOOKUP($C$2,المعلمين!$A$2:$AW$2600,22,0),FIND(".",VLOOKUP($C$2,المعلمين!$A$2:$AW$2600,22,0))+1,50)*1,0)</f>
        <v>24</v>
      </c>
      <c r="B25" s="32">
        <f>QUOTIENT(VLOOKUP($C$2,المعلمين!$A$2:$AW$2600,22,0),1)</f>
        <v>2418</v>
      </c>
      <c r="C25" s="10">
        <v>0.01</v>
      </c>
      <c r="D25" s="40">
        <f>IFERROR(MID(VLOOKUP($C$2,المعلمين!$A$2:$AW$2600,46,0),FIND(".",VLOOKUP($C$2,المعلمين!$A$2:$AW$2600,46,0))+1,50)*1,0)</f>
        <v>0</v>
      </c>
      <c r="E25" s="32">
        <f>QUOTIENT(VLOOKUP($C$2,المعلمين!$A$2:$AW$2600,46,0),1)</f>
        <v>463</v>
      </c>
      <c r="F25" s="9" t="s">
        <v>23</v>
      </c>
    </row>
    <row r="26" spans="1:6" ht="18.75" x14ac:dyDescent="0.25">
      <c r="A26" s="40">
        <f>IFERROR(MID(VLOOKUP($C$2,المعلمين!$A$2:$AW$2600,23,0),FIND(".",VLOOKUP($C$2,المعلمين!$A$2:$AW$2600,23,0))+1,50)*1,0)</f>
        <v>72</v>
      </c>
      <c r="B26" s="32">
        <f>QUOTIENT(VLOOKUP($C$2,المعلمين!$A$2:$AW$2600,23,0),1)</f>
        <v>7254</v>
      </c>
      <c r="C26" s="10">
        <v>0.03</v>
      </c>
      <c r="D26" s="40">
        <f>IFERROR(MID(VLOOKUP($C$2,المعلمين!$A$2:$AW$2600,47,0),FIND(".",VLOOKUP($C$2,المعلمين!$A$2:$AW$2600,47,0))+1,50)*1,0)</f>
        <v>74</v>
      </c>
      <c r="E26" s="32">
        <f>QUOTIENT(VLOOKUP($C$2,المعلمين!$A$2:$AW$2600,47,0),1)</f>
        <v>144407</v>
      </c>
      <c r="F26" s="12" t="s">
        <v>24</v>
      </c>
    </row>
    <row r="27" spans="1:6" ht="18.75" x14ac:dyDescent="0.25">
      <c r="A27" s="40">
        <f>IFERROR(MID(VLOOKUP($C$2,المعلمين!$A$2:$AW$2600,24,0),FIND(".",VLOOKUP($C$2,المعلمين!$A$2:$AW$2600,24,0))+1,50)*1,0)</f>
        <v>78</v>
      </c>
      <c r="B27" s="32">
        <f>QUOTIENT(VLOOKUP($C$2,المعلمين!$A$2:$AW$2600,24,0),1)</f>
        <v>466981</v>
      </c>
      <c r="C27" s="9" t="s">
        <v>13</v>
      </c>
    </row>
    <row r="28" spans="1:6" ht="18.75" x14ac:dyDescent="0.25">
      <c r="A28" s="40">
        <f>IFERROR(MID(VLOOKUP($C$2,المعلمين!$A$2:$AW$2600,25,0),FIND(".",VLOOKUP($C$2,المعلمين!$A$2:$AW$2600,25,0))+1,50)*1,0)</f>
        <v>0</v>
      </c>
      <c r="B28" s="32">
        <f>QUOTIENT(VLOOKUP($C$2,المعلمين!$A$2:$AW$26,2,0),1)</f>
        <v>60100</v>
      </c>
      <c r="C28" s="9" t="s">
        <v>14</v>
      </c>
    </row>
    <row r="29" spans="1:6" ht="18.75" x14ac:dyDescent="0.25">
      <c r="A29" s="40">
        <f>IFERROR(MID(VLOOKUP($C$2,المعلمين!$A$2:$AW$2600,26,0),FIND(".",VLOOKUP($C$2,المعلمين!$A$2:$AW$2600,26,0))+1,50)*1,0)</f>
        <v>78</v>
      </c>
      <c r="B29" s="32">
        <f>QUOTIENT(VLOOKUP($C$2,المعلمين!$A$2:$AW$2600,26,0),1)</f>
        <v>515107</v>
      </c>
      <c r="C29" s="12" t="s">
        <v>15</v>
      </c>
    </row>
    <row r="30" spans="1:6" ht="18.75" x14ac:dyDescent="0.25">
      <c r="A30" s="40">
        <f>IFERROR(MID(VLOOKUP($C$2,المعلمين!$A$2:$AW$2600,47,0),FIND(".",VLOOKUP($C$2,المعلمين!$A$2:$AW$2600,47,0))+1,50)*1,0)</f>
        <v>74</v>
      </c>
      <c r="B30" s="32">
        <f>QUOTIENT(VLOOKUP($C$2,المعلمين!$A$2:$AW$2600,47,0),1)</f>
        <v>144407</v>
      </c>
      <c r="C30" s="12" t="s">
        <v>24</v>
      </c>
    </row>
    <row r="31" spans="1:6" ht="18.75" x14ac:dyDescent="0.25">
      <c r="A31" s="40">
        <f>IFERROR(MID(VLOOKUP($C$2,المعلمين!$A$2:$AW$2600,48,0),FIND(".",VLOOKUP($C$2,المعلمين!$A$2:$AW$2600,48,0))+1,50)*1,0)</f>
        <v>4</v>
      </c>
      <c r="B31" s="32">
        <f>QUOTIENT(VLOOKUP($C$2,المعلمين!$A$2:$AW$2600,48,0),1)</f>
        <v>370700</v>
      </c>
      <c r="C31" s="9" t="s">
        <v>33</v>
      </c>
    </row>
  </sheetData>
  <mergeCells count="5">
    <mergeCell ref="A4:B4"/>
    <mergeCell ref="C4:C5"/>
    <mergeCell ref="D4:E4"/>
    <mergeCell ref="F4:F5"/>
    <mergeCell ref="C2:D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OFFSET(المعلمين!$A$2,,,COUNTA(المعلمين!$A:$A)-1)</xm:f>
          </x14:formula1>
          <xm:sqref>C2:D2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المعلمين</vt:lpstr>
      <vt:lpstr>مفردات مرتب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Ali Ali</cp:lastModifiedBy>
  <dcterms:created xsi:type="dcterms:W3CDTF">2019-08-26T15:58:43Z</dcterms:created>
  <dcterms:modified xsi:type="dcterms:W3CDTF">2019-08-27T12:06:29Z</dcterms:modified>
</cp:coreProperties>
</file>