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4370" windowHeight="6825"/>
  </bookViews>
  <sheets>
    <sheet name="Sheet4" sheetId="4" r:id="rId1"/>
    <sheet name="Sheet1" sheetId="1" r:id="rId2"/>
  </sheets>
  <calcPr calcId="162913"/>
  <pivotCaches>
    <pivotCache cacheId="6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4" l="1"/>
  <c r="A2" i="1" l="1"/>
  <c r="R39" i="1" l="1"/>
  <c r="I39" i="1"/>
  <c r="J39" i="1" s="1"/>
  <c r="G39" i="1"/>
  <c r="R38" i="1"/>
  <c r="G38" i="1"/>
  <c r="I38" i="1" s="1"/>
  <c r="D38" i="1"/>
  <c r="C38" i="1"/>
  <c r="R37" i="1"/>
  <c r="I37" i="1"/>
  <c r="J37" i="1" s="1"/>
  <c r="C37" i="1"/>
  <c r="R36" i="1"/>
  <c r="C36" i="1"/>
  <c r="I36" i="1" s="1"/>
  <c r="R35" i="1"/>
  <c r="D35" i="1"/>
  <c r="C35" i="1"/>
  <c r="I35" i="1" s="1"/>
  <c r="R34" i="1"/>
  <c r="G34" i="1"/>
  <c r="D34" i="1"/>
  <c r="I34" i="1" s="1"/>
  <c r="C34" i="1"/>
  <c r="R33" i="1"/>
  <c r="G33" i="1"/>
  <c r="I33" i="1" s="1"/>
  <c r="C33" i="1"/>
  <c r="R32" i="1"/>
  <c r="G32" i="1"/>
  <c r="I32" i="1" s="1"/>
  <c r="R31" i="1"/>
  <c r="G31" i="1"/>
  <c r="D31" i="1"/>
  <c r="I31" i="1" s="1"/>
  <c r="R30" i="1"/>
  <c r="G30" i="1"/>
  <c r="C30" i="1"/>
  <c r="I30" i="1" s="1"/>
  <c r="R29" i="1"/>
  <c r="C29" i="1"/>
  <c r="I29" i="1" s="1"/>
  <c r="R28" i="1"/>
  <c r="J28" i="1"/>
  <c r="K28" i="1" s="1"/>
  <c r="I28" i="1"/>
  <c r="R27" i="1"/>
  <c r="G27" i="1"/>
  <c r="I27" i="1" s="1"/>
  <c r="R26" i="1"/>
  <c r="I26" i="1"/>
  <c r="R25" i="1"/>
  <c r="I25" i="1"/>
  <c r="J25" i="1" s="1"/>
  <c r="R24" i="1"/>
  <c r="D24" i="1"/>
  <c r="I24" i="1" s="1"/>
  <c r="R23" i="1"/>
  <c r="C23" i="1"/>
  <c r="I23" i="1" s="1"/>
  <c r="R22" i="1"/>
  <c r="I22" i="1"/>
  <c r="J22" i="1" s="1"/>
  <c r="R21" i="1"/>
  <c r="I21" i="1"/>
  <c r="R20" i="1"/>
  <c r="I20" i="1"/>
  <c r="J20" i="1" s="1"/>
  <c r="D20" i="1"/>
  <c r="C20" i="1"/>
  <c r="R19" i="1"/>
  <c r="I19" i="1"/>
  <c r="J19" i="1" s="1"/>
  <c r="R18" i="1"/>
  <c r="I18" i="1"/>
  <c r="R17" i="1"/>
  <c r="I17" i="1"/>
  <c r="J17" i="1" s="1"/>
  <c r="R16" i="1"/>
  <c r="D16" i="1"/>
  <c r="C16" i="1"/>
  <c r="I16" i="1" s="1"/>
  <c r="R15" i="1"/>
  <c r="I15" i="1"/>
  <c r="R14" i="1"/>
  <c r="I14" i="1"/>
  <c r="J14" i="1" s="1"/>
  <c r="C14" i="1"/>
  <c r="R13" i="1"/>
  <c r="J13" i="1"/>
  <c r="I13" i="1"/>
  <c r="K13" i="1" s="1"/>
  <c r="M13" i="1" s="1"/>
  <c r="S13" i="1" s="1"/>
  <c r="R12" i="1"/>
  <c r="D12" i="1"/>
  <c r="I12" i="1" s="1"/>
  <c r="R11" i="1"/>
  <c r="I11" i="1"/>
  <c r="J11" i="1" s="1"/>
  <c r="R10" i="1"/>
  <c r="I10" i="1"/>
  <c r="C10" i="1"/>
  <c r="R9" i="1"/>
  <c r="J9" i="1"/>
  <c r="I9" i="1"/>
  <c r="K9" i="1" s="1"/>
  <c r="R8" i="1"/>
  <c r="J8" i="1"/>
  <c r="I8" i="1"/>
  <c r="K8" i="1" s="1"/>
  <c r="M8" i="1" s="1"/>
  <c r="S8" i="1" s="1"/>
  <c r="R7" i="1"/>
  <c r="J7" i="1"/>
  <c r="I7" i="1"/>
  <c r="K7" i="1" s="1"/>
  <c r="R6" i="1"/>
  <c r="C6" i="1"/>
  <c r="I6" i="1" s="1"/>
  <c r="R5" i="1"/>
  <c r="K5" i="1"/>
  <c r="J5" i="1"/>
  <c r="I5" i="1"/>
  <c r="M5" i="1" s="1"/>
  <c r="S5" i="1" s="1"/>
  <c r="C5" i="1"/>
  <c r="R4" i="1"/>
  <c r="J4" i="1"/>
  <c r="I4" i="1"/>
  <c r="K4" i="1" s="1"/>
  <c r="U2" i="1"/>
  <c r="T2" i="1"/>
  <c r="Q2" i="1"/>
  <c r="P2" i="1"/>
  <c r="O2" i="1"/>
  <c r="N2" i="1"/>
  <c r="H2" i="1"/>
  <c r="G2" i="1"/>
  <c r="F2" i="1"/>
  <c r="E2" i="1"/>
  <c r="D2" i="1"/>
  <c r="I2" i="1" l="1"/>
  <c r="J6" i="1"/>
  <c r="J12" i="1"/>
  <c r="M29" i="1"/>
  <c r="S29" i="1" s="1"/>
  <c r="K29" i="1"/>
  <c r="J29" i="1"/>
  <c r="M32" i="1"/>
  <c r="S32" i="1" s="1"/>
  <c r="K32" i="1"/>
  <c r="J32" i="1"/>
  <c r="M36" i="1"/>
  <c r="K36" i="1"/>
  <c r="J36" i="1"/>
  <c r="M9" i="1"/>
  <c r="S9" i="1" s="1"/>
  <c r="K24" i="1"/>
  <c r="M24" i="1" s="1"/>
  <c r="S24" i="1" s="1"/>
  <c r="J24" i="1"/>
  <c r="J31" i="1"/>
  <c r="J35" i="1"/>
  <c r="S36" i="1"/>
  <c r="J16" i="1"/>
  <c r="K30" i="1"/>
  <c r="J30" i="1"/>
  <c r="M30" i="1" s="1"/>
  <c r="S30" i="1" s="1"/>
  <c r="J34" i="1"/>
  <c r="K23" i="1"/>
  <c r="J23" i="1"/>
  <c r="M23" i="1" s="1"/>
  <c r="S23" i="1" s="1"/>
  <c r="M27" i="1"/>
  <c r="S27" i="1" s="1"/>
  <c r="K27" i="1"/>
  <c r="J27" i="1"/>
  <c r="M33" i="1"/>
  <c r="S33" i="1" s="1"/>
  <c r="K33" i="1"/>
  <c r="J33" i="1"/>
  <c r="M38" i="1"/>
  <c r="S38" i="1" s="1"/>
  <c r="K38" i="1"/>
  <c r="J38" i="1"/>
  <c r="M4" i="1"/>
  <c r="M7" i="1"/>
  <c r="S7" i="1" s="1"/>
  <c r="K11" i="1"/>
  <c r="K14" i="1"/>
  <c r="K17" i="1"/>
  <c r="K19" i="1"/>
  <c r="M19" i="1" s="1"/>
  <c r="S19" i="1" s="1"/>
  <c r="K20" i="1"/>
  <c r="K22" i="1"/>
  <c r="K25" i="1"/>
  <c r="M25" i="1" s="1"/>
  <c r="S25" i="1" s="1"/>
  <c r="M28" i="1"/>
  <c r="S28" i="1" s="1"/>
  <c r="K37" i="1"/>
  <c r="K39" i="1"/>
  <c r="R2" i="1"/>
  <c r="J10" i="1"/>
  <c r="K10" i="1" s="1"/>
  <c r="M11" i="1"/>
  <c r="S11" i="1" s="1"/>
  <c r="M14" i="1"/>
  <c r="S14" i="1" s="1"/>
  <c r="J15" i="1"/>
  <c r="K15" i="1" s="1"/>
  <c r="M17" i="1"/>
  <c r="S17" i="1" s="1"/>
  <c r="J18" i="1"/>
  <c r="K18" i="1" s="1"/>
  <c r="M20" i="1"/>
  <c r="S20" i="1" s="1"/>
  <c r="J21" i="1"/>
  <c r="K21" i="1" s="1"/>
  <c r="M22" i="1"/>
  <c r="S22" i="1" s="1"/>
  <c r="J26" i="1"/>
  <c r="K26" i="1" s="1"/>
  <c r="M37" i="1"/>
  <c r="S37" i="1" s="1"/>
  <c r="M39" i="1"/>
  <c r="S39" i="1" s="1"/>
  <c r="C2" i="1"/>
  <c r="M31" i="1" l="1"/>
  <c r="S31" i="1" s="1"/>
  <c r="S4" i="1"/>
  <c r="M21" i="1"/>
  <c r="S21" i="1" s="1"/>
  <c r="M26" i="1"/>
  <c r="S26" i="1" s="1"/>
  <c r="M18" i="1"/>
  <c r="S18" i="1" s="1"/>
  <c r="K34" i="1"/>
  <c r="M34" i="1" s="1"/>
  <c r="S34" i="1" s="1"/>
  <c r="K16" i="1"/>
  <c r="M16" i="1" s="1"/>
  <c r="S16" i="1" s="1"/>
  <c r="K35" i="1"/>
  <c r="M35" i="1" s="1"/>
  <c r="S35" i="1" s="1"/>
  <c r="K31" i="1"/>
  <c r="K12" i="1"/>
  <c r="M12" i="1" s="1"/>
  <c r="S12" i="1" s="1"/>
  <c r="K6" i="1"/>
  <c r="K2" i="1" s="1"/>
  <c r="M15" i="1"/>
  <c r="S15" i="1" s="1"/>
  <c r="M10" i="1"/>
  <c r="S10" i="1" s="1"/>
  <c r="J2" i="1"/>
  <c r="M6" i="1" l="1"/>
  <c r="S6" i="1" l="1"/>
  <c r="S2" i="1" s="1"/>
  <c r="M2" i="1"/>
</calcChain>
</file>

<file path=xl/comments1.xml><?xml version="1.0" encoding="utf-8"?>
<comments xmlns="http://schemas.openxmlformats.org/spreadsheetml/2006/main">
  <authors>
    <author>Author</author>
  </authors>
  <commentList>
    <comment ref="H7" authorId="0" shapeId="0">
      <text>
        <r>
          <rPr>
            <b/>
            <sz val="9"/>
            <color indexed="81"/>
            <rFont val="Tahoma"/>
            <family val="2"/>
          </rPr>
          <t xml:space="preserve">
 تم خصم الاوفسر </t>
        </r>
      </text>
    </comment>
    <comment ref="P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تم عمل إيداع فى حساب البنك العربى الافريقى بقيمة إجمالية 258732 جنية يوم 1/2/2020</t>
        </r>
      </text>
    </comment>
    <comment ref="P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تم عمل إيداع فى حساب البنك العربى الافريقى بقيمة إجمالية 258732 جنية يوم 1/2/2020
</t>
        </r>
      </text>
    </comment>
    <comment ref="P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تم عمل إيداع فى حساب البنك العربى الافريقى بقيمة إجمالية 258732 جنية يوم 1/2/2020</t>
        </r>
      </text>
    </comment>
    <comment ref="P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تم عمل إيداع فى حساب البنك العربى الافريقى بقيمة إجمالية 258732 جنية يوم 1/2/2020</t>
        </r>
      </text>
    </comment>
  </commentList>
</comments>
</file>

<file path=xl/sharedStrings.xml><?xml version="1.0" encoding="utf-8"?>
<sst xmlns="http://schemas.openxmlformats.org/spreadsheetml/2006/main" count="66" uniqueCount="30">
  <si>
    <t xml:space="preserve">Dashboard Revenue _Katamya Restaurant   </t>
  </si>
  <si>
    <t>Date</t>
  </si>
  <si>
    <t>Location</t>
  </si>
  <si>
    <t xml:space="preserve"> Net food</t>
  </si>
  <si>
    <t>Net Beverage</t>
  </si>
  <si>
    <t>Net Misc</t>
  </si>
  <si>
    <t>Net Tobacco</t>
  </si>
  <si>
    <t>Comp</t>
  </si>
  <si>
    <t>Officer</t>
  </si>
  <si>
    <t>Net Income</t>
  </si>
  <si>
    <t>Service</t>
  </si>
  <si>
    <t>Tax</t>
  </si>
  <si>
    <t>Tips</t>
  </si>
  <si>
    <t>Gross Income(Total Debit)</t>
  </si>
  <si>
    <t>Visa</t>
  </si>
  <si>
    <t>City Ledg</t>
  </si>
  <si>
    <t>Cash</t>
  </si>
  <si>
    <t>Deposit</t>
  </si>
  <si>
    <t>Total Credit</t>
  </si>
  <si>
    <t>Diff</t>
  </si>
  <si>
    <t>CHQ.No</t>
  </si>
  <si>
    <t>Pax</t>
  </si>
  <si>
    <t>Katamya Rest.</t>
  </si>
  <si>
    <t>Grand Total</t>
  </si>
  <si>
    <t>Dec</t>
  </si>
  <si>
    <t xml:space="preserve"> Tax</t>
  </si>
  <si>
    <t xml:space="preserve"> Service</t>
  </si>
  <si>
    <t xml:space="preserve"> Visa</t>
  </si>
  <si>
    <t xml:space="preserve"> Cash</t>
  </si>
  <si>
    <t>Net Bev.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</si>
</sst>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010000]yyyy/mm/dd;@"/>
    <numFmt numFmtId="165" formatCode="dd/mm/yy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Berlin Sans FB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scheme val="minor"/>
    </font>
    <font>
      <b/>
      <sz val="12"/>
      <color rgb="FF002060"/>
      <name val="Calibri"/>
      <scheme val="minor"/>
    </font>
    <font>
      <b/>
      <sz val="12"/>
      <color rgb="FFFF0000"/>
      <name val="Calibri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FFC000"/>
        </stop>
      </gradient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64" fontId="1" fillId="0" borderId="0" xfId="0" applyNumberFormat="1" applyFont="1" applyFill="1" applyAlignment="1">
      <alignment horizontal="center"/>
    </xf>
    <xf numFmtId="14" fontId="1" fillId="0" borderId="0" xfId="0" applyNumberFormat="1" applyFont="1" applyFill="1" applyAlignment="1">
      <alignment horizontal="center" vertical="center"/>
    </xf>
    <xf numFmtId="40" fontId="1" fillId="0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/>
    <xf numFmtId="164" fontId="3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40" fontId="4" fillId="3" borderId="2" xfId="0" applyNumberFormat="1" applyFont="1" applyFill="1" applyBorder="1" applyAlignment="1">
      <alignment horizontal="left"/>
    </xf>
    <xf numFmtId="40" fontId="4" fillId="3" borderId="3" xfId="0" applyNumberFormat="1" applyFont="1" applyFill="1" applyBorder="1" applyAlignment="1">
      <alignment horizontal="left"/>
    </xf>
    <xf numFmtId="40" fontId="4" fillId="3" borderId="4" xfId="0" applyNumberFormat="1" applyFont="1" applyFill="1" applyBorder="1" applyAlignment="1">
      <alignment horizontal="left"/>
    </xf>
    <xf numFmtId="40" fontId="4" fillId="3" borderId="5" xfId="0" applyNumberFormat="1" applyFont="1" applyFill="1" applyBorder="1" applyAlignment="1">
      <alignment horizontal="left"/>
    </xf>
    <xf numFmtId="40" fontId="4" fillId="3" borderId="6" xfId="0" applyNumberFormat="1" applyFont="1" applyFill="1" applyBorder="1" applyAlignment="1">
      <alignment horizontal="left"/>
    </xf>
    <xf numFmtId="0" fontId="4" fillId="3" borderId="6" xfId="0" applyNumberFormat="1" applyFont="1" applyFill="1" applyBorder="1" applyAlignment="1">
      <alignment horizontal="center"/>
    </xf>
    <xf numFmtId="0" fontId="3" fillId="0" borderId="0" xfId="0" applyFont="1" applyFill="1"/>
    <xf numFmtId="164" fontId="5" fillId="4" borderId="0" xfId="0" applyNumberFormat="1" applyFont="1" applyFill="1" applyBorder="1" applyAlignment="1">
      <alignment horizontal="center" vertical="center"/>
    </xf>
    <xf numFmtId="14" fontId="5" fillId="4" borderId="0" xfId="0" applyNumberFormat="1" applyFont="1" applyFill="1" applyBorder="1" applyAlignment="1">
      <alignment horizontal="center" vertical="center"/>
    </xf>
    <xf numFmtId="40" fontId="5" fillId="4" borderId="0" xfId="0" applyNumberFormat="1" applyFont="1" applyFill="1" applyBorder="1" applyAlignment="1">
      <alignment horizontal="center" vertical="center"/>
    </xf>
    <xf numFmtId="40" fontId="5" fillId="4" borderId="7" xfId="0" applyNumberFormat="1" applyFont="1" applyFill="1" applyBorder="1" applyAlignment="1">
      <alignment horizontal="center" vertical="center"/>
    </xf>
    <xf numFmtId="40" fontId="5" fillId="4" borderId="8" xfId="0" applyNumberFormat="1" applyFont="1" applyFill="1" applyBorder="1" applyAlignment="1">
      <alignment horizontal="center" vertical="center"/>
    </xf>
    <xf numFmtId="40" fontId="5" fillId="4" borderId="9" xfId="0" applyNumberFormat="1" applyFont="1" applyFill="1" applyBorder="1" applyAlignment="1">
      <alignment horizontal="center" vertical="center"/>
    </xf>
    <xf numFmtId="40" fontId="5" fillId="4" borderId="10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40" fontId="1" fillId="0" borderId="11" xfId="0" applyNumberFormat="1" applyFont="1" applyFill="1" applyBorder="1" applyAlignment="1">
      <alignment horizontal="left" vertical="center"/>
    </xf>
    <xf numFmtId="40" fontId="1" fillId="0" borderId="0" xfId="0" applyNumberFormat="1" applyFont="1" applyFill="1" applyBorder="1" applyAlignment="1">
      <alignment horizontal="left" vertical="center"/>
    </xf>
    <xf numFmtId="40" fontId="6" fillId="0" borderId="11" xfId="0" applyNumberFormat="1" applyFont="1" applyFill="1" applyBorder="1" applyAlignment="1">
      <alignment horizontal="left" vertical="center"/>
    </xf>
    <xf numFmtId="40" fontId="7" fillId="0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/>
    <xf numFmtId="164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40" fontId="6" fillId="0" borderId="0" xfId="0" applyNumberFormat="1" applyFont="1" applyFill="1" applyBorder="1" applyAlignment="1">
      <alignment horizontal="left" vertical="center"/>
    </xf>
    <xf numFmtId="40" fontId="7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40" fontId="1" fillId="0" borderId="0" xfId="0" applyNumberFormat="1" applyFont="1" applyFill="1" applyAlignment="1">
      <alignment horizontal="left" vertical="center"/>
    </xf>
    <xf numFmtId="40" fontId="6" fillId="0" borderId="0" xfId="0" applyNumberFormat="1" applyFont="1" applyFill="1" applyAlignment="1">
      <alignment horizontal="left" vertical="center"/>
    </xf>
    <xf numFmtId="40" fontId="7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40" fontId="8" fillId="0" borderId="0" xfId="0" applyNumberFormat="1" applyFont="1" applyFill="1" applyAlignment="1">
      <alignment horizontal="left" vertical="center"/>
    </xf>
    <xf numFmtId="40" fontId="9" fillId="0" borderId="0" xfId="0" applyNumberFormat="1" applyFont="1" applyFill="1" applyAlignment="1">
      <alignment horizontal="left" vertical="center"/>
    </xf>
    <xf numFmtId="40" fontId="10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40" fontId="2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40" fontId="0" fillId="0" borderId="0" xfId="0" applyNumberForma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pivotButton="1" applyAlignment="1">
      <alignment horizontal="center"/>
    </xf>
  </cellXfs>
  <cellStyles count="1">
    <cellStyle name="Normal" xfId="0" builtinId="0"/>
  </cellStyles>
  <dxfs count="63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[$-2010000]yyyy/mm/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numFmt numFmtId="8" formatCode="#,##0.00_);[Red]\(#,##0.00\)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numFmt numFmtId="8" formatCode="#,##0.00_);[Red]\(#,##0.00\)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8" formatCode="#,##0.00_);[Red]\(#,##0.00\)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d/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[$-2010000]yyyy/mm/dd;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9BC2E6"/>
        </left>
        <right style="medium">
          <color rgb="FF000000"/>
        </right>
        <top style="thin">
          <color rgb="FF9BC2E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numFmt numFmtId="166" formatCode="#,##0.00\ _ج_._م_._‏;[Red]\-#,##0.00\ _ج_._م_._‏"/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846.552061342591" createdVersion="6" refreshedVersion="6" minRefreshableVersion="3" recordCount="36">
  <cacheSource type="worksheet">
    <worksheetSource name="Table54"/>
  </cacheSource>
  <cacheFields count="23">
    <cacheField name="Date" numFmtId="164">
      <sharedItems containsSemiMixedTypes="0" containsNonDate="0" containsDate="1" containsString="0" minDate="2019-12-11T00:00:00" maxDate="2020-01-16T00:00:00" count="36"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</sharedItems>
      <fieldGroup par="22" base="0">
        <rangePr groupBy="months" startDate="2019-12-11T00:00:00" endDate="2020-01-16T00:00:00"/>
        <groupItems count="14">
          <s v="&lt;11/12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6/1/2020"/>
        </groupItems>
      </fieldGroup>
    </cacheField>
    <cacheField name="Location" numFmtId="2">
      <sharedItems count="1">
        <s v="Katamya Rest."/>
      </sharedItems>
    </cacheField>
    <cacheField name=" Net food" numFmtId="40">
      <sharedItems containsSemiMixedTypes="0" containsString="0" containsNumber="1" minValue="4078" maxValue="79913"/>
    </cacheField>
    <cacheField name="Net Beverage" numFmtId="40">
      <sharedItems containsSemiMixedTypes="0" containsString="0" containsNumber="1" minValue="2134" maxValue="55641" count="36">
        <n v="23660.400000000001"/>
        <n v="45776.4"/>
        <n v="38598.400000000001"/>
        <n v="2576.4"/>
        <n v="15888.4"/>
        <n v="10736"/>
        <n v="41198"/>
        <n v="13974"/>
        <n v="43545.94"/>
        <n v="53787.8"/>
        <n v="15552"/>
        <n v="4200"/>
        <n v="14259.4"/>
        <n v="33526.400000000001"/>
        <n v="12364.4"/>
        <n v="25802"/>
        <n v="30847.8"/>
        <n v="14517"/>
        <n v="3854"/>
        <n v="5160"/>
        <n v="6519.4400000000005"/>
        <n v="2134"/>
        <n v="15525"/>
        <n v="39130.800000000003"/>
        <n v="8624"/>
        <n v="6451"/>
        <n v="27209.4"/>
        <n v="46153.8"/>
        <n v="13503.6"/>
        <n v="42733.8"/>
        <n v="55641"/>
        <n v="16739.8"/>
        <n v="9338.4"/>
        <n v="6998.8"/>
        <n v="36949.4"/>
        <n v="21632.400000000001"/>
      </sharedItems>
    </cacheField>
    <cacheField name="Net Misc" numFmtId="40">
      <sharedItems containsString="0" containsBlank="1" containsNumber="1" minValue="0" maxValue="195362.33"/>
    </cacheField>
    <cacheField name="Net Tobacco" numFmtId="40">
      <sharedItems containsString="0" containsBlank="1" containsNumber="1" minValue="0" maxValue="1347.11"/>
    </cacheField>
    <cacheField name="Comp" numFmtId="40">
      <sharedItems containsString="0" containsBlank="1" containsNumber="1" minValue="-8354.1299999999992" maxValue="0"/>
    </cacheField>
    <cacheField name="Officer" numFmtId="40">
      <sharedItems containsSemiMixedTypes="0" containsString="0" containsNumber="1" minValue="-8432" maxValue="-982"/>
    </cacheField>
    <cacheField name="Net Income" numFmtId="40">
      <sharedItems containsSemiMixedTypes="0" containsString="0" containsNumber="1" minValue="5486.4" maxValue="204698.21"/>
    </cacheField>
    <cacheField name="Service" numFmtId="40">
      <sharedItems containsSemiMixedTypes="0" containsString="0" containsNumber="1" minValue="658.36799999999994" maxValue="24563.785199999998" count="36">
        <n v="5866.5047999999997"/>
        <n v="17052.388800000001"/>
        <n v="14659.6248"/>
        <n v="658.36799999999994"/>
        <n v="4558.7232000000004"/>
        <n v="4285.8239999999996"/>
        <n v="12196.955999999998"/>
        <n v="5275.8684000000012"/>
        <n v="14909.443200000003"/>
        <n v="16487.8236"/>
        <n v="6797.3532000000005"/>
        <n v="2684.4360000000001"/>
        <n v="4973.6531999999997"/>
        <n v="8996.3843999999972"/>
        <n v="4312.1183999999994"/>
        <n v="9876.260400000001"/>
        <n v="10854.303599999999"/>
        <n v="6598.5336000000007"/>
        <n v="1196.1984"/>
        <n v="2153.7192"/>
        <n v="24563.785199999998"/>
        <n v="1490.172"/>
        <n v="7303.8528000000006"/>
        <n v="12435.742799999998"/>
        <n v="3071.2656000000002"/>
        <n v="3179.6255999999998"/>
        <n v="6620.3040000000001"/>
        <n v="9506.727600000002"/>
        <n v="4127.9772000000012"/>
        <n v="15031.465200000001"/>
        <n v="16802.797200000001"/>
        <n v="8333.5079999999998"/>
        <n v="4366.8540000000003"/>
        <n v="3292.4675999999999"/>
        <n v="11901.5208"/>
        <n v="9312.4763999999996"/>
      </sharedItems>
    </cacheField>
    <cacheField name="Tax" numFmtId="40">
      <sharedItems containsSemiMixedTypes="0" containsString="0" containsNumber="1" minValue="860.2675200000001" maxValue="32096.679328000002" count="36">
        <n v="7665.566272"/>
        <n v="22281.788032"/>
        <n v="19155.243071999997"/>
        <n v="860.2675200000001"/>
        <n v="5956.731648"/>
        <n v="5600.14336"/>
        <n v="15937.355839999998"/>
        <n v="6893.8013760000013"/>
        <n v="19481.672448000005"/>
        <n v="21544.089504"/>
        <n v="8881.8748479999995"/>
        <n v="3507.6630400000008"/>
        <n v="6498.9068480000005"/>
        <n v="11755.275615999997"/>
        <n v="5634.5013760000002"/>
        <n v="12904.980256000001"/>
        <n v="14182.956704"/>
        <n v="8622.083904000001"/>
        <n v="1563.0325759999998"/>
        <n v="2814.193088"/>
        <n v="32096.679328000002"/>
        <n v="1947.1580800000002"/>
        <n v="9543.700992"/>
        <n v="16249.370591999997"/>
        <n v="4013.1203840000003"/>
        <n v="4154.7107839999999"/>
        <n v="8650.5305599999992"/>
        <n v="12422.124064000001"/>
        <n v="5393.8902080000007"/>
        <n v="19641.114528000002"/>
        <n v="21955.655008000005"/>
        <n v="10889.117120000001"/>
        <n v="5706.0225600000003"/>
        <n v="4302.1576639999994"/>
        <n v="15551.320511999998"/>
        <n v="12168.302496"/>
      </sharedItems>
    </cacheField>
    <cacheField name="Tips" numFmtId="40">
      <sharedItems containsNonDate="0" containsString="0" containsBlank="1"/>
    </cacheField>
    <cacheField name="Gross Income(Total Debit)" numFmtId="40">
      <sharedItems containsSemiMixedTypes="0" containsString="0" containsNumber="1" minValue="7005.0355200000004" maxValue="261358.674528"/>
    </cacheField>
    <cacheField name="Visa" numFmtId="40">
      <sharedItems containsSemiMixedTypes="0" containsString="0" containsNumber="1" minValue="5894.22" maxValue="148663.92000000001" count="36">
        <n v="50153.63"/>
        <n v="79532.820000000007"/>
        <n v="129789.51"/>
        <n v="5894.22"/>
        <n v="48193.61"/>
        <n v="33323.81"/>
        <n v="83933.47"/>
        <n v="53543.77"/>
        <n v="127488.74"/>
        <n v="117803.07"/>
        <n v="58221.66"/>
        <n v="16853.43"/>
        <n v="40728.31"/>
        <n v="76830.7"/>
        <n v="45109.42"/>
        <n v="79987.53"/>
        <n v="89770.71"/>
        <n v="63238.2"/>
        <n v="10760.76"/>
        <n v="17517.099999999999"/>
        <n v="7349.32"/>
        <n v="9128.6299999999992"/>
        <n v="52652.47"/>
        <n v="95122.5"/>
        <n v="32466.799999999999"/>
        <n v="10056.6"/>
        <n v="49239.35"/>
        <n v="77663.429999999993"/>
        <n v="27422.89"/>
        <n v="137527.93"/>
        <n v="148663.92000000001"/>
        <n v="49638.63"/>
        <n v="32664.21"/>
        <n v="26697.96"/>
        <n v="75706.929999999993"/>
        <n v="93912.56"/>
      </sharedItems>
    </cacheField>
    <cacheField name="City Ledg" numFmtId="40">
      <sharedItems containsString="0" containsBlank="1" containsNumber="1" minValue="0" maxValue="58211.35"/>
    </cacheField>
    <cacheField name="Cash" numFmtId="40">
      <sharedItems containsSemiMixedTypes="0" containsString="0" containsNumber="1" minValue="211.49" maxValue="119401.13" count="36">
        <n v="12265.96"/>
        <n v="43693.26"/>
        <n v="25863.37"/>
        <n v="1110.82"/>
        <n v="311.23"/>
        <n v="12277.36"/>
        <n v="45842.1"/>
        <n v="1851.7"/>
        <n v="31147.78"/>
        <n v="57627.4"/>
        <n v="14102.19"/>
        <n v="6365.13"/>
        <n v="11896.43"/>
        <n v="18890.84"/>
        <n v="771.5"/>
        <n v="25095.89"/>
        <n v="24979.08"/>
        <n v="6970.18"/>
        <n v="1966.79"/>
        <n v="5343.55"/>
        <n v="119401.13"/>
        <n v="6726.8"/>
        <n v="25060.5"/>
        <n v="37193.82"/>
        <n v="211.49"/>
        <n v="23749.040000000001"/>
        <n v="19470.68"/>
        <n v="22438.21"/>
        <n v="16498.810000000001"/>
        <n v="22406.81"/>
        <n v="27552.76"/>
        <n v="34770.46"/>
        <n v="13659.93"/>
        <n v="8104.06"/>
        <n v="41917.019999999997"/>
        <n v="5172.17"/>
      </sharedItems>
    </cacheField>
    <cacheField name="Deposit" numFmtId="40">
      <sharedItems containsString="0" containsBlank="1" containsNumber="1" minValue="0" maxValue="103749.98"/>
    </cacheField>
    <cacheField name="Total Credit" numFmtId="40">
      <sharedItems containsSemiMixedTypes="0" containsString="0" containsNumber="1" minValue="7005.04" maxValue="261358.66999999998"/>
    </cacheField>
    <cacheField name="Diff" numFmtId="40">
      <sharedItems containsSemiMixedTypes="0" containsString="0" containsNumber="1" minValue="-4.9728000012692064E-2" maxValue="5.2127999981166795E-2"/>
    </cacheField>
    <cacheField name="CHQ.No" numFmtId="0">
      <sharedItems containsSemiMixedTypes="0" containsString="0" containsNumber="1" containsInteger="1" minValue="13" maxValue="115"/>
    </cacheField>
    <cacheField name="Pax" numFmtId="0">
      <sharedItems containsSemiMixedTypes="0" containsString="0" containsNumber="1" containsInteger="1" minValue="13" maxValue="198"/>
    </cacheField>
    <cacheField name="Quarters" numFmtId="0" databaseField="0">
      <fieldGroup base="0">
        <rangePr groupBy="quarters" startDate="2019-12-11T00:00:00" endDate="2020-01-16T00:00:00"/>
        <groupItems count="6">
          <s v="&lt;11/12/2019"/>
          <s v="Qtr1"/>
          <s v="Qtr2"/>
          <s v="Qtr3"/>
          <s v="Qtr4"/>
          <s v="&gt;16/1/2020"/>
        </groupItems>
      </fieldGroup>
    </cacheField>
    <cacheField name="Years" numFmtId="0" databaseField="0">
      <fieldGroup base="0">
        <rangePr groupBy="years" startDate="2019-12-11T00:00:00" endDate="2020-01-16T00:00:00"/>
        <groupItems count="4">
          <s v="&lt;11/12/2019"/>
          <s v="2019"/>
          <s v="2020"/>
          <s v="&gt;16/1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">
  <r>
    <x v="0"/>
    <x v="0"/>
    <n v="32022.82"/>
    <x v="0"/>
    <n v="3383.28"/>
    <n v="400"/>
    <n v="-5878.96"/>
    <n v="-4700"/>
    <n v="48887.54"/>
    <x v="0"/>
    <x v="0"/>
    <m/>
    <n v="62419.611072"/>
    <x v="0"/>
    <m/>
    <x v="0"/>
    <n v="0"/>
    <n v="62419.59"/>
    <n v="-2.1072000003186986E-2"/>
    <n v="46"/>
    <n v="50"/>
  </r>
  <r>
    <x v="1"/>
    <x v="0"/>
    <n v="79913"/>
    <x v="1"/>
    <n v="23541.84"/>
    <m/>
    <n v="-1420"/>
    <n v="-5708"/>
    <n v="142103.24"/>
    <x v="1"/>
    <x v="1"/>
    <m/>
    <n v="181437.41683200002"/>
    <x v="1"/>
    <n v="58211.35"/>
    <x v="1"/>
    <n v="0"/>
    <n v="181437.43"/>
    <n v="1.3167999975848943E-2"/>
    <n v="77"/>
    <n v="139"/>
  </r>
  <r>
    <x v="2"/>
    <x v="0"/>
    <n v="66802.820000000007"/>
    <x v="2"/>
    <n v="24528.720000000001"/>
    <m/>
    <n v="-3588.4"/>
    <n v="-4178"/>
    <n v="122163.54000000001"/>
    <x v="2"/>
    <x v="2"/>
    <m/>
    <n v="155978.40787200001"/>
    <x v="2"/>
    <n v="325.58"/>
    <x v="2"/>
    <n v="0"/>
    <n v="155978.46"/>
    <n v="5.2127999981166795E-2"/>
    <n v="103"/>
    <n v="171"/>
  </r>
  <r>
    <x v="3"/>
    <x v="0"/>
    <n v="4078"/>
    <x v="3"/>
    <m/>
    <m/>
    <m/>
    <n v="-1168"/>
    <n v="5486.4"/>
    <x v="3"/>
    <x v="3"/>
    <m/>
    <n v="7005.0355200000004"/>
    <x v="3"/>
    <m/>
    <x v="3"/>
    <m/>
    <n v="7005.04"/>
    <n v="4.4799999996030238E-3"/>
    <n v="13"/>
    <n v="13"/>
  </r>
  <r>
    <x v="4"/>
    <x v="0"/>
    <n v="22686"/>
    <x v="4"/>
    <n v="2466.96"/>
    <m/>
    <m/>
    <n v="-3052"/>
    <n v="37989.360000000001"/>
    <x v="4"/>
    <x v="4"/>
    <m/>
    <n v="48504.814848000002"/>
    <x v="4"/>
    <m/>
    <x v="4"/>
    <m/>
    <n v="48504.840000000004"/>
    <n v="2.5152000001980923E-2"/>
    <n v="26"/>
    <n v="47"/>
  </r>
  <r>
    <x v="5"/>
    <x v="0"/>
    <n v="22838"/>
    <x v="5"/>
    <n v="3853.2"/>
    <m/>
    <n v="-74"/>
    <n v="-1638"/>
    <n v="35715.199999999997"/>
    <x v="5"/>
    <x v="5"/>
    <m/>
    <n v="45601.167359999999"/>
    <x v="5"/>
    <m/>
    <x v="5"/>
    <m/>
    <n v="45601.17"/>
    <n v="2.639999998791609E-3"/>
    <n v="35"/>
    <n v="46"/>
  </r>
  <r>
    <x v="6"/>
    <x v="0"/>
    <n v="60899.43"/>
    <x v="6"/>
    <n v="11442"/>
    <m/>
    <n v="-8354.1299999999992"/>
    <n v="-3544"/>
    <n v="101641.29999999999"/>
    <x v="6"/>
    <x v="6"/>
    <m/>
    <n v="129775.61184"/>
    <x v="6"/>
    <n v="0"/>
    <x v="6"/>
    <m/>
    <n v="129775.57"/>
    <n v="-4.1839999990770593E-2"/>
    <n v="91"/>
    <n v="125"/>
  </r>
  <r>
    <x v="7"/>
    <x v="0"/>
    <n v="34873.410000000003"/>
    <x v="7"/>
    <n v="1574.16"/>
    <m/>
    <n v="-2962"/>
    <n v="-3494"/>
    <n v="43965.570000000007"/>
    <x v="7"/>
    <x v="7"/>
    <m/>
    <n v="56135.239776000009"/>
    <x v="7"/>
    <n v="739.79"/>
    <x v="7"/>
    <m/>
    <n v="56135.259999999995"/>
    <n v="2.0223999985319097E-2"/>
    <n v="32"/>
    <n v="90"/>
  </r>
  <r>
    <x v="8"/>
    <x v="0"/>
    <n v="68163.820000000007"/>
    <x v="8"/>
    <n v="16188"/>
    <m/>
    <n v="-1104.4000000000001"/>
    <n v="-2548"/>
    <n v="124245.36000000002"/>
    <x v="8"/>
    <x v="8"/>
    <m/>
    <n v="158636.47564800002"/>
    <x v="8"/>
    <m/>
    <x v="8"/>
    <m/>
    <n v="158636.52000000002"/>
    <n v="4.4351999997161329E-2"/>
    <n v="82"/>
    <n v="181"/>
  </r>
  <r>
    <x v="9"/>
    <x v="0"/>
    <n v="72016.41"/>
    <x v="9"/>
    <n v="19430.16"/>
    <n v="783.76"/>
    <n v="-3341.6"/>
    <n v="-5278"/>
    <n v="137398.53"/>
    <x v="9"/>
    <x v="9"/>
    <m/>
    <n v="175430.44310400001"/>
    <x v="9"/>
    <n v="0"/>
    <x v="9"/>
    <m/>
    <n v="175430.47"/>
    <n v="2.6895999995758757E-2"/>
    <n v="81"/>
    <n v="179"/>
  </r>
  <r>
    <x v="10"/>
    <x v="0"/>
    <n v="48133"/>
    <x v="10"/>
    <n v="3171.84"/>
    <n v="559.77"/>
    <n v="-2968"/>
    <n v="-7804"/>
    <n v="56644.61"/>
    <x v="10"/>
    <x v="10"/>
    <m/>
    <n v="72323.838048000005"/>
    <x v="10"/>
    <n v="0"/>
    <x v="10"/>
    <m/>
    <n v="72323.850000000006"/>
    <n v="1.1952000000746921E-2"/>
    <n v="54"/>
    <n v="119"/>
  </r>
  <r>
    <x v="11"/>
    <x v="0"/>
    <n v="19370"/>
    <x v="11"/>
    <n v="2044.08"/>
    <n v="1347.11"/>
    <n v="0"/>
    <n v="-4590.8900000000003"/>
    <n v="22370.300000000003"/>
    <x v="11"/>
    <x v="11"/>
    <m/>
    <n v="28562.399040000004"/>
    <x v="11"/>
    <n v="5343.86"/>
    <x v="11"/>
    <m/>
    <n v="28562.42"/>
    <n v="2.0959999994374812E-2"/>
    <n v="24"/>
    <n v="27"/>
  </r>
  <r>
    <x v="12"/>
    <x v="0"/>
    <n v="25867.41"/>
    <x v="12"/>
    <n v="4276.08"/>
    <n v="194.22"/>
    <n v="-308"/>
    <n v="-2842"/>
    <n v="41447.11"/>
    <x v="12"/>
    <x v="12"/>
    <m/>
    <n v="52919.670048"/>
    <x v="12"/>
    <n v="294.94"/>
    <x v="12"/>
    <m/>
    <n v="52919.68"/>
    <n v="9.9520000003394671E-3"/>
    <n v="38"/>
    <n v="73"/>
  </r>
  <r>
    <x v="13"/>
    <x v="0"/>
    <n v="43200"/>
    <x v="13"/>
    <n v="6743.04"/>
    <n v="1313.76"/>
    <n v="-2990"/>
    <n v="-6823.33"/>
    <n v="74969.869999999981"/>
    <x v="13"/>
    <x v="13"/>
    <m/>
    <n v="95721.530015999975"/>
    <x v="13"/>
    <n v="0"/>
    <x v="13"/>
    <m/>
    <n v="95721.54"/>
    <n v="9.9840000184485689E-3"/>
    <n v="76"/>
    <n v="147"/>
  </r>
  <r>
    <x v="14"/>
    <x v="0"/>
    <n v="23148"/>
    <x v="14"/>
    <n v="3148.32"/>
    <n v="130"/>
    <n v="-1108.4000000000001"/>
    <n v="-1748"/>
    <n v="35934.32"/>
    <x v="14"/>
    <x v="14"/>
    <m/>
    <n v="45880.939775999999"/>
    <x v="14"/>
    <n v="0"/>
    <x v="14"/>
    <m/>
    <n v="45880.92"/>
    <n v="-1.9776000001002103E-2"/>
    <n v="38"/>
    <n v="57"/>
  </r>
  <r>
    <x v="15"/>
    <x v="0"/>
    <n v="50273.82"/>
    <x v="15"/>
    <n v="9397.92"/>
    <n v="352.43"/>
    <n v="-1702"/>
    <n v="-1822"/>
    <n v="82302.17"/>
    <x v="15"/>
    <x v="15"/>
    <m/>
    <n v="105083.41065599999"/>
    <x v="15"/>
    <n v="0"/>
    <x v="15"/>
    <m/>
    <n v="105083.42"/>
    <n v="9.3440000055124983E-3"/>
    <n v="80"/>
    <n v="150"/>
  </r>
  <r>
    <x v="16"/>
    <x v="0"/>
    <n v="54096.800000000003"/>
    <x v="16"/>
    <n v="8082.24"/>
    <n v="156.65"/>
    <n v="-1590.96"/>
    <n v="-1140"/>
    <n v="90452.53"/>
    <x v="16"/>
    <x v="16"/>
    <m/>
    <n v="115489.79030399999"/>
    <x v="16"/>
    <n v="740"/>
    <x v="16"/>
    <m/>
    <n v="115489.79000000001"/>
    <n v="-3.0399998649954796E-4"/>
    <n v="74"/>
    <n v="152"/>
  </r>
  <r>
    <x v="17"/>
    <x v="0"/>
    <n v="37693.410000000003"/>
    <x v="17"/>
    <n v="3876.72"/>
    <n v="506.65"/>
    <n v="-566"/>
    <n v="-1040"/>
    <n v="54987.780000000006"/>
    <x v="17"/>
    <x v="17"/>
    <m/>
    <n v="70208.397504000008"/>
    <x v="17"/>
    <n v="0"/>
    <x v="17"/>
    <m/>
    <n v="70208.38"/>
    <n v="-1.7504000003100373E-2"/>
    <n v="43"/>
    <n v="91"/>
  </r>
  <r>
    <x v="18"/>
    <x v="0"/>
    <n v="7356"/>
    <x v="18"/>
    <n v="0"/>
    <n v="78.319999999999993"/>
    <n v="-178"/>
    <n v="-1142"/>
    <n v="9968.32"/>
    <x v="18"/>
    <x v="18"/>
    <m/>
    <n v="12727.550975999999"/>
    <x v="18"/>
    <m/>
    <x v="18"/>
    <m/>
    <n v="12727.55"/>
    <n v="-9.7599999935482629E-4"/>
    <n v="17"/>
    <n v="16"/>
  </r>
  <r>
    <x v="19"/>
    <x v="0"/>
    <n v="13491"/>
    <x v="19"/>
    <n v="234.96"/>
    <n v="43.7"/>
    <n v="0"/>
    <n v="-982"/>
    <n v="17947.66"/>
    <x v="19"/>
    <x v="19"/>
    <m/>
    <n v="22915.572287999999"/>
    <x v="19"/>
    <n v="54.9"/>
    <x v="19"/>
    <m/>
    <n v="22915.55"/>
    <n v="-2.2288000000116881E-2"/>
    <n v="18"/>
    <n v="34"/>
  </r>
  <r>
    <x v="20"/>
    <x v="0"/>
    <n v="5980"/>
    <x v="20"/>
    <n v="195362.33"/>
    <n v="130.44"/>
    <n v="-294"/>
    <n v="-3000"/>
    <n v="204698.21"/>
    <x v="20"/>
    <x v="20"/>
    <m/>
    <n v="261358.674528"/>
    <x v="20"/>
    <n v="30858.240000000002"/>
    <x v="20"/>
    <n v="103749.98"/>
    <n v="261358.66999999998"/>
    <n v="-4.5280000194907188E-3"/>
    <n v="61"/>
    <n v="195"/>
  </r>
  <r>
    <x v="21"/>
    <x v="0"/>
    <n v="11064"/>
    <x v="21"/>
    <n v="446.4"/>
    <n v="43.7"/>
    <n v="-128"/>
    <n v="-1142"/>
    <n v="12418.1"/>
    <x v="21"/>
    <x v="21"/>
    <m/>
    <n v="15855.430080000002"/>
    <x v="21"/>
    <n v="0"/>
    <x v="21"/>
    <n v="0"/>
    <n v="15855.43"/>
    <n v="-8.000000161700882E-5"/>
    <n v="14"/>
    <n v="23"/>
  </r>
  <r>
    <x v="22"/>
    <x v="0"/>
    <n v="43197.41"/>
    <x v="22"/>
    <n v="5826.72"/>
    <n v="392.31"/>
    <n v="-1902"/>
    <n v="-2174"/>
    <n v="60865.440000000002"/>
    <x v="22"/>
    <x v="22"/>
    <m/>
    <n v="77712.993791999994"/>
    <x v="22"/>
    <n v="0"/>
    <x v="22"/>
    <n v="0"/>
    <n v="77712.97"/>
    <n v="-2.3791999992681667E-2"/>
    <n v="36"/>
    <n v="110"/>
  </r>
  <r>
    <x v="23"/>
    <x v="0"/>
    <n v="53892.23"/>
    <x v="23"/>
    <n v="13650.48"/>
    <n v="735.68"/>
    <n v="-1338"/>
    <n v="-2440"/>
    <n v="103631.18999999999"/>
    <x v="23"/>
    <x v="23"/>
    <m/>
    <n v="132316.30339199997"/>
    <x v="23"/>
    <n v="0"/>
    <x v="23"/>
    <n v="0"/>
    <n v="132316.32"/>
    <n v="1.6608000034466386E-2"/>
    <n v="82"/>
    <n v="163"/>
  </r>
  <r>
    <x v="24"/>
    <x v="0"/>
    <n v="18388"/>
    <x v="24"/>
    <n v="704.88"/>
    <n v="400"/>
    <n v="-395"/>
    <n v="-2128"/>
    <n v="25593.88"/>
    <x v="24"/>
    <x v="24"/>
    <m/>
    <n v="32678.265984000001"/>
    <x v="24"/>
    <n v="0"/>
    <x v="24"/>
    <n v="0"/>
    <n v="32678.29"/>
    <n v="2.4015999999392079E-2"/>
    <n v="31"/>
    <n v="36"/>
  </r>
  <r>
    <x v="25"/>
    <x v="0"/>
    <n v="19736"/>
    <x v="25"/>
    <n v="2678.4"/>
    <n v="173.48"/>
    <n v="-156"/>
    <n v="-2386"/>
    <n v="26496.880000000001"/>
    <x v="25"/>
    <x v="25"/>
    <m/>
    <n v="33831.216383999999"/>
    <x v="25"/>
    <n v="25.54"/>
    <x v="25"/>
    <n v="0"/>
    <n v="33831.18"/>
    <n v="-3.6383999999088701E-2"/>
    <n v="31"/>
    <n v="48"/>
  </r>
  <r>
    <x v="26"/>
    <x v="0"/>
    <n v="35555.01"/>
    <x v="26"/>
    <n v="4017.6"/>
    <n v="303.58999999999997"/>
    <n v="-6114.4"/>
    <n v="-5802"/>
    <n v="55169.200000000004"/>
    <x v="26"/>
    <x v="26"/>
    <m/>
    <n v="70440.03456"/>
    <x v="26"/>
    <n v="1730.02"/>
    <x v="26"/>
    <n v="0"/>
    <n v="70440.05"/>
    <n v="1.5440000002854504E-2"/>
    <n v="51"/>
    <n v="75"/>
  </r>
  <r>
    <x v="27"/>
    <x v="0"/>
    <n v="32185.41"/>
    <x v="27"/>
    <n v="11442"/>
    <n v="303.92"/>
    <n v="-6596.4"/>
    <n v="-4266"/>
    <n v="79222.73000000001"/>
    <x v="27"/>
    <x v="27"/>
    <m/>
    <n v="101151.58166400001"/>
    <x v="27"/>
    <n v="1049.99"/>
    <x v="27"/>
    <n v="0"/>
    <n v="101151.62999999999"/>
    <n v="4.8335999978007749E-2"/>
    <n v="54"/>
    <n v="96"/>
  </r>
  <r>
    <x v="28"/>
    <x v="0"/>
    <n v="24263.41"/>
    <x v="28"/>
    <n v="3124.8"/>
    <n v="0"/>
    <n v="-1290"/>
    <n v="-5202"/>
    <n v="34399.810000000005"/>
    <x v="28"/>
    <x v="28"/>
    <m/>
    <n v="43921.677408000003"/>
    <x v="28"/>
    <n v="0"/>
    <x v="28"/>
    <n v="0"/>
    <n v="43921.7"/>
    <n v="2.2591999993892387E-2"/>
    <n v="33"/>
    <n v="66"/>
  </r>
  <r>
    <x v="29"/>
    <x v="0"/>
    <n v="74396.23"/>
    <x v="29"/>
    <n v="17033.759999999998"/>
    <n v="826.34"/>
    <n v="-5329.52"/>
    <n v="-4398.3999999999996"/>
    <n v="125262.21"/>
    <x v="29"/>
    <x v="29"/>
    <m/>
    <n v="159934.789728"/>
    <x v="29"/>
    <n v="0"/>
    <x v="29"/>
    <n v="0"/>
    <n v="159934.74"/>
    <n v="-4.9728000012692064E-2"/>
    <n v="98"/>
    <n v="198"/>
  </r>
  <r>
    <x v="30"/>
    <x v="0"/>
    <n v="77366"/>
    <x v="30"/>
    <n v="19152.32"/>
    <n v="478.39"/>
    <n v="-6672.4"/>
    <n v="-5942"/>
    <n v="140023.31000000003"/>
    <x v="30"/>
    <x v="30"/>
    <m/>
    <n v="178781.76220800003"/>
    <x v="30"/>
    <n v="2565.0700000000002"/>
    <x v="30"/>
    <n v="0"/>
    <n v="178781.75"/>
    <n v="-1.2208000029204413E-2"/>
    <n v="115"/>
    <n v="189"/>
  </r>
  <r>
    <x v="31"/>
    <x v="0"/>
    <n v="45028.41"/>
    <x v="31"/>
    <n v="12399.45"/>
    <n v="260.88"/>
    <n v="-2712.64"/>
    <n v="-2270"/>
    <n v="69445.900000000009"/>
    <x v="31"/>
    <x v="31"/>
    <m/>
    <n v="88668.525120000006"/>
    <x v="31"/>
    <n v="4259.41"/>
    <x v="31"/>
    <n v="0"/>
    <n v="88668.5"/>
    <n v="-2.5120000005699694E-2"/>
    <n v="53"/>
    <n v="125"/>
  </r>
  <r>
    <x v="32"/>
    <x v="0"/>
    <n v="26940.82"/>
    <x v="32"/>
    <n v="1574.16"/>
    <n v="87.07"/>
    <n v="-484"/>
    <n v="-1066"/>
    <n v="36390.450000000004"/>
    <x v="32"/>
    <x v="32"/>
    <m/>
    <n v="46463.326560000001"/>
    <x v="32"/>
    <n v="139.16999999999999"/>
    <x v="32"/>
    <n v="0"/>
    <n v="46463.31"/>
    <n v="-1.6560000003664754E-2"/>
    <n v="35"/>
    <n v="78"/>
  </r>
  <r>
    <x v="33"/>
    <x v="0"/>
    <n v="21138"/>
    <x v="33"/>
    <n v="681.36"/>
    <n v="87.07"/>
    <n v="0"/>
    <n v="-1468"/>
    <n v="27437.23"/>
    <x v="33"/>
    <x v="33"/>
    <m/>
    <n v="35031.855263999998"/>
    <x v="33"/>
    <n v="229.82"/>
    <x v="33"/>
    <n v="0"/>
    <n v="35031.839999999997"/>
    <n v="-1.5264000001479872E-2"/>
    <n v="24"/>
    <n v="47"/>
  </r>
  <r>
    <x v="34"/>
    <x v="0"/>
    <n v="67223.820000000007"/>
    <x v="34"/>
    <n v="4957.4399999999996"/>
    <n v="573.48"/>
    <n v="-2092.8000000000002"/>
    <n v="-8432"/>
    <n v="99179.34"/>
    <x v="34"/>
    <x v="34"/>
    <m/>
    <n v="126632.181312"/>
    <x v="34"/>
    <n v="9008.26"/>
    <x v="34"/>
    <n v="0"/>
    <n v="126632.20999999999"/>
    <n v="2.8687999991234392E-2"/>
    <n v="73"/>
    <n v="158"/>
  </r>
  <r>
    <x v="35"/>
    <x v="0"/>
    <n v="56757.64"/>
    <x v="35"/>
    <n v="2020.56"/>
    <n v="43.37"/>
    <n v="-1660"/>
    <n v="-1190"/>
    <n v="77603.97"/>
    <x v="35"/>
    <x v="35"/>
    <m/>
    <n v="99084.748896000005"/>
    <x v="35"/>
    <n v="0"/>
    <x v="35"/>
    <m/>
    <n v="99084.73"/>
    <n v="-1.8896000008680858E-2"/>
    <n v="44"/>
    <n v="1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6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Net Bev.">
  <location ref="A4:E26" firstHeaderRow="0" firstDataRow="1" firstDataCol="1" rowPageCount="1" colPageCount="1"/>
  <pivotFields count="23">
    <pivotField axis="axisPage" numFmtId="164" multipleItemSelectionAllowed="1" includeNewItemsInFilter="1" defaultSubtotal="0">
      <items count="1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x="12"/>
        <item h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2">
        <item x="0"/>
        <item t="default"/>
      </items>
    </pivotField>
    <pivotField numFmtId="40" showAll="0"/>
    <pivotField axis="axisRow" numFmtId="40" outline="0" showAll="0" includeNewItemsInFilter="1" defaultSubtotal="0">
      <items count="36">
        <item x="21"/>
        <item x="3"/>
        <item x="18"/>
        <item x="11"/>
        <item x="19"/>
        <item x="25"/>
        <item x="20"/>
        <item x="33"/>
        <item x="24"/>
        <item x="32"/>
        <item x="5"/>
        <item x="14"/>
        <item x="28"/>
        <item x="7"/>
        <item x="12"/>
        <item x="17"/>
        <item x="22"/>
        <item x="10"/>
        <item x="4"/>
        <item x="31"/>
        <item x="35"/>
        <item x="0"/>
        <item x="15"/>
        <item x="26"/>
        <item x="16"/>
        <item x="13"/>
        <item x="34"/>
        <item x="2"/>
        <item x="23"/>
        <item x="6"/>
        <item x="29"/>
        <item x="8"/>
        <item x="1"/>
        <item x="27"/>
        <item x="9"/>
        <item x="3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numFmtId="40" showAll="0"/>
    <pivotField numFmtId="40" showAll="0"/>
    <pivotField dataField="1" numFmtId="40" showAll="0">
      <items count="37">
        <item x="3"/>
        <item x="18"/>
        <item x="21"/>
        <item x="19"/>
        <item x="11"/>
        <item x="24"/>
        <item x="25"/>
        <item x="33"/>
        <item x="28"/>
        <item x="5"/>
        <item x="14"/>
        <item x="32"/>
        <item x="4"/>
        <item x="12"/>
        <item x="7"/>
        <item x="0"/>
        <item x="17"/>
        <item x="26"/>
        <item x="10"/>
        <item x="22"/>
        <item x="31"/>
        <item x="13"/>
        <item x="35"/>
        <item x="27"/>
        <item x="15"/>
        <item x="16"/>
        <item x="34"/>
        <item x="6"/>
        <item x="23"/>
        <item x="2"/>
        <item x="8"/>
        <item x="29"/>
        <item x="9"/>
        <item x="30"/>
        <item x="1"/>
        <item x="20"/>
        <item t="default"/>
      </items>
    </pivotField>
    <pivotField dataField="1" numFmtId="40" showAll="0">
      <items count="37">
        <item x="3"/>
        <item x="18"/>
        <item x="21"/>
        <item x="19"/>
        <item x="11"/>
        <item x="24"/>
        <item x="25"/>
        <item x="33"/>
        <item x="28"/>
        <item x="5"/>
        <item x="14"/>
        <item x="32"/>
        <item x="4"/>
        <item x="12"/>
        <item x="7"/>
        <item x="0"/>
        <item x="17"/>
        <item x="26"/>
        <item x="10"/>
        <item x="22"/>
        <item x="31"/>
        <item x="13"/>
        <item x="35"/>
        <item x="27"/>
        <item x="15"/>
        <item x="16"/>
        <item x="34"/>
        <item x="6"/>
        <item x="23"/>
        <item x="2"/>
        <item x="8"/>
        <item x="29"/>
        <item x="9"/>
        <item x="30"/>
        <item x="1"/>
        <item x="20"/>
        <item t="default"/>
      </items>
    </pivotField>
    <pivotField showAll="0"/>
    <pivotField numFmtId="40" showAll="0"/>
    <pivotField dataField="1" numFmtId="40" showAll="0">
      <items count="37">
        <item x="3"/>
        <item x="20"/>
        <item x="21"/>
        <item x="25"/>
        <item x="18"/>
        <item x="11"/>
        <item x="19"/>
        <item x="33"/>
        <item x="28"/>
        <item x="24"/>
        <item x="32"/>
        <item x="5"/>
        <item x="12"/>
        <item x="14"/>
        <item x="4"/>
        <item x="26"/>
        <item x="31"/>
        <item x="0"/>
        <item x="22"/>
        <item x="7"/>
        <item x="10"/>
        <item x="17"/>
        <item x="34"/>
        <item x="13"/>
        <item x="27"/>
        <item x="1"/>
        <item x="15"/>
        <item x="6"/>
        <item x="16"/>
        <item x="35"/>
        <item x="23"/>
        <item x="9"/>
        <item x="8"/>
        <item x="2"/>
        <item x="29"/>
        <item x="30"/>
        <item t="default"/>
      </items>
    </pivotField>
    <pivotField showAll="0"/>
    <pivotField dataField="1" numFmtId="40" showAll="0">
      <items count="37">
        <item x="24"/>
        <item x="4"/>
        <item x="14"/>
        <item x="3"/>
        <item x="7"/>
        <item x="18"/>
        <item x="35"/>
        <item x="19"/>
        <item x="11"/>
        <item x="21"/>
        <item x="17"/>
        <item x="33"/>
        <item x="12"/>
        <item x="0"/>
        <item x="5"/>
        <item x="32"/>
        <item x="10"/>
        <item x="28"/>
        <item x="13"/>
        <item x="26"/>
        <item x="29"/>
        <item x="27"/>
        <item x="25"/>
        <item x="16"/>
        <item x="22"/>
        <item x="15"/>
        <item x="2"/>
        <item x="30"/>
        <item x="8"/>
        <item x="31"/>
        <item x="23"/>
        <item x="34"/>
        <item x="1"/>
        <item x="6"/>
        <item x="9"/>
        <item x="20"/>
        <item t="default"/>
      </items>
    </pivotField>
    <pivotField showAll="0"/>
    <pivotField numFmtId="40" showAll="0"/>
    <pivotField numFmtId="40" showAll="0"/>
    <pivotField showAll="0"/>
    <pivotField showAll="0"/>
    <pivotField defaultSubtotal="0">
      <items count="6">
        <item sd="0" x="0"/>
        <item sd="0" x="1"/>
        <item sd="0" x="2"/>
        <item sd="0" x="3"/>
        <item sd="0" x="4"/>
        <item sd="0" x="5"/>
      </items>
    </pivotField>
    <pivotField includeNewItemsInFilter="1" defaultSubtotal="0">
      <items count="4">
        <item sd="0" x="0"/>
        <item sd="0" x="1"/>
        <item sd="0" x="2"/>
        <item sd="0" x="3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3"/>
  </rowFields>
  <rowItems count="22">
    <i>
      <x v="1"/>
    </i>
    <i>
      <x v="2"/>
    </i>
    <i>
      <x v="3"/>
    </i>
    <i>
      <x v="4"/>
    </i>
    <i>
      <x v="6"/>
    </i>
    <i>
      <x v="10"/>
    </i>
    <i>
      <x v="11"/>
    </i>
    <i>
      <x v="13"/>
    </i>
    <i>
      <x v="14"/>
    </i>
    <i>
      <x v="15"/>
    </i>
    <i>
      <x v="17"/>
    </i>
    <i>
      <x v="18"/>
    </i>
    <i>
      <x v="21"/>
    </i>
    <i>
      <x v="22"/>
    </i>
    <i>
      <x v="24"/>
    </i>
    <i>
      <x v="25"/>
    </i>
    <i>
      <x v="27"/>
    </i>
    <i>
      <x v="29"/>
    </i>
    <i>
      <x v="31"/>
    </i>
    <i>
      <x v="32"/>
    </i>
    <i>
      <x v="3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 Visa" fld="13" baseField="3" baseItem="0"/>
    <dataField name=" Cash" fld="15" baseField="0" baseItem="0"/>
    <dataField name=" Tax" fld="10" baseField="0" baseItem="0"/>
    <dataField name=" Service" fld="9" baseField="0" baseItem="0"/>
  </dataFields>
  <formats count="3">
    <format dxfId="1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7">
      <pivotArea field="3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54" displayName="Table54" ref="A3:U40" totalsRowCount="1" headerRowDxfId="62" dataDxfId="61" tableBorderDxfId="60">
  <autoFilter ref="A3:U39"/>
  <tableColumns count="21">
    <tableColumn id="1" name="Date" dataDxfId="59" totalsRowDxfId="38"/>
    <tableColumn id="21" name="Location" dataDxfId="58" totalsRowDxfId="37"/>
    <tableColumn id="3" name=" Net food" dataDxfId="57" totalsRowDxfId="36"/>
    <tableColumn id="4" name="Net Beverage" dataDxfId="56" totalsRowDxfId="35"/>
    <tableColumn id="5" name="Net Misc" dataDxfId="55" totalsRowDxfId="34"/>
    <tableColumn id="6" name="Net Tobacco" dataDxfId="54" totalsRowDxfId="33"/>
    <tableColumn id="23" name="Comp" dataDxfId="53" totalsRowDxfId="32"/>
    <tableColumn id="22" name="Officer" dataDxfId="52" totalsRowDxfId="31"/>
    <tableColumn id="7" name="Net Income" dataDxfId="51" totalsRowDxfId="30">
      <calculatedColumnFormula>C4+D4+F4+E4+G4+H4</calculatedColumnFormula>
    </tableColumn>
    <tableColumn id="8" name="Service" dataDxfId="50" totalsRowDxfId="29">
      <calculatedColumnFormula>I4*12/100</calculatedColumnFormula>
    </tableColumn>
    <tableColumn id="9" name="Tax" dataDxfId="49" totalsRowDxfId="28">
      <calculatedColumnFormula>(I4+J4)*14/100</calculatedColumnFormula>
    </tableColumn>
    <tableColumn id="16" name="Tips" dataDxfId="48" totalsRowDxfId="27"/>
    <tableColumn id="10" name="Gross Income(Total Debit)" dataDxfId="47" totalsRowDxfId="26">
      <calculatedColumnFormula>SUM(I4:K4)</calculatedColumnFormula>
    </tableColumn>
    <tableColumn id="11" name="Visa" dataDxfId="46" totalsRowDxfId="25"/>
    <tableColumn id="12" name="City Ledg" dataDxfId="45" totalsRowDxfId="24"/>
    <tableColumn id="13" name="Cash" dataDxfId="44" totalsRowDxfId="23"/>
    <tableColumn id="20" name="Deposit" dataDxfId="43" totalsRowDxfId="22"/>
    <tableColumn id="14" name="Total Credit" dataDxfId="42" totalsRowDxfId="21">
      <calculatedColumnFormula>P4+O4+N4+Table54[[#This Row],[Deposit]]</calculatedColumnFormula>
    </tableColumn>
    <tableColumn id="15" name="Diff" dataDxfId="41" totalsRowDxfId="20">
      <calculatedColumnFormula>R4-(M4+Table54[[#This Row],[Tips]])</calculatedColumnFormula>
    </tableColumn>
    <tableColumn id="17" name="CHQ.No" dataDxfId="40" totalsRowDxfId="19"/>
    <tableColumn id="18" name="Pax" dataDxfId="39" totalsRowDxfId="18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B16" sqref="B16"/>
    </sheetView>
  </sheetViews>
  <sheetFormatPr defaultRowHeight="15" x14ac:dyDescent="0.25"/>
  <cols>
    <col min="1" max="1" width="13.140625" customWidth="1"/>
    <col min="2" max="2" width="11" customWidth="1"/>
    <col min="3" max="3" width="10" customWidth="1"/>
    <col min="4" max="5" width="12" customWidth="1"/>
    <col min="6" max="6" width="14" customWidth="1"/>
    <col min="7" max="7" width="16.85546875" customWidth="1"/>
    <col min="8" max="8" width="11.7109375" customWidth="1"/>
    <col min="9" max="11" width="4.85546875" customWidth="1"/>
    <col min="12" max="12" width="10" customWidth="1"/>
    <col min="13" max="13" width="10.7109375" customWidth="1"/>
    <col min="14" max="14" width="11.7109375" customWidth="1"/>
    <col min="15" max="17" width="4.85546875" customWidth="1"/>
    <col min="18" max="18" width="12" customWidth="1"/>
    <col min="19" max="19" width="10.7109375" customWidth="1"/>
    <col min="20" max="20" width="11.7109375" customWidth="1"/>
    <col min="21" max="23" width="4.85546875" customWidth="1"/>
    <col min="24" max="24" width="12" customWidth="1"/>
    <col min="25" max="25" width="10.7109375" customWidth="1"/>
    <col min="26" max="26" width="14" customWidth="1"/>
    <col min="27" max="30" width="4.85546875" customWidth="1"/>
    <col min="31" max="31" width="10.7109375" customWidth="1"/>
    <col min="32" max="32" width="11" customWidth="1"/>
    <col min="33" max="33" width="10.42578125" customWidth="1"/>
    <col min="34" max="34" width="12" customWidth="1"/>
    <col min="35" max="35" width="12.7109375" customWidth="1"/>
    <col min="36" max="36" width="19" customWidth="1"/>
    <col min="37" max="84" width="16.28515625" customWidth="1"/>
    <col min="85" max="85" width="11" customWidth="1"/>
    <col min="86" max="86" width="10.42578125" customWidth="1"/>
    <col min="87" max="87" width="12" customWidth="1"/>
    <col min="88" max="88" width="12.7109375" customWidth="1"/>
    <col min="89" max="89" width="19.140625" bestFit="1" customWidth="1"/>
    <col min="90" max="93" width="12" bestFit="1" customWidth="1"/>
    <col min="94" max="94" width="11" bestFit="1" customWidth="1"/>
    <col min="95" max="96" width="12" bestFit="1" customWidth="1"/>
    <col min="97" max="98" width="11" bestFit="1" customWidth="1"/>
    <col min="99" max="107" width="12" bestFit="1" customWidth="1"/>
    <col min="108" max="108" width="11" bestFit="1" customWidth="1"/>
    <col min="109" max="109" width="12" bestFit="1" customWidth="1"/>
    <col min="110" max="110" width="14.140625" bestFit="1" customWidth="1"/>
    <col min="111" max="111" width="8.85546875" customWidth="1"/>
    <col min="112" max="112" width="10" bestFit="1" customWidth="1"/>
    <col min="113" max="113" width="9" customWidth="1"/>
    <col min="114" max="115" width="10" bestFit="1" customWidth="1"/>
    <col min="116" max="116" width="11" bestFit="1" customWidth="1"/>
    <col min="117" max="118" width="10" bestFit="1" customWidth="1"/>
    <col min="119" max="119" width="9" customWidth="1"/>
    <col min="120" max="120" width="9.85546875" bestFit="1" customWidth="1"/>
    <col min="121" max="128" width="10" bestFit="1" customWidth="1"/>
    <col min="129" max="129" width="9.85546875" bestFit="1" customWidth="1"/>
    <col min="130" max="132" width="10" bestFit="1" customWidth="1"/>
    <col min="133" max="133" width="9.85546875" bestFit="1" customWidth="1"/>
    <col min="134" max="134" width="11" bestFit="1" customWidth="1"/>
    <col min="135" max="135" width="10" bestFit="1" customWidth="1"/>
    <col min="136" max="138" width="11" bestFit="1" customWidth="1"/>
    <col min="139" max="139" width="10" bestFit="1" customWidth="1"/>
    <col min="140" max="142" width="11" bestFit="1" customWidth="1"/>
    <col min="143" max="143" width="10" bestFit="1" customWidth="1"/>
    <col min="144" max="145" width="11" bestFit="1" customWidth="1"/>
    <col min="146" max="146" width="19.42578125" bestFit="1" customWidth="1"/>
    <col min="147" max="147" width="16.7109375" bestFit="1" customWidth="1"/>
    <col min="148" max="148" width="15.5703125" bestFit="1" customWidth="1"/>
    <col min="149" max="149" width="19.140625" bestFit="1" customWidth="1"/>
  </cols>
  <sheetData>
    <row r="1" spans="1:6" x14ac:dyDescent="0.25">
      <c r="C1" s="53" t="str">
        <f>Sheet1!$C$1&amp; $B$2&amp;"_"&amp;YEAR(Sheet1!$A$4)</f>
        <v>Dashboard Revenue _Katamya Restaurant   Dec_2019</v>
      </c>
      <c r="D1" s="53"/>
      <c r="E1" s="53"/>
      <c r="F1" s="53"/>
    </row>
    <row r="2" spans="1:6" x14ac:dyDescent="0.25">
      <c r="A2" s="47" t="s">
        <v>1</v>
      </c>
      <c r="B2" s="50" t="s">
        <v>24</v>
      </c>
    </row>
    <row r="4" spans="1:6" x14ac:dyDescent="0.25">
      <c r="A4" s="54" t="s">
        <v>29</v>
      </c>
      <c r="B4" s="52" t="s">
        <v>27</v>
      </c>
      <c r="C4" s="52" t="s">
        <v>28</v>
      </c>
      <c r="D4" s="52" t="s">
        <v>25</v>
      </c>
      <c r="E4" s="52" t="s">
        <v>26</v>
      </c>
    </row>
    <row r="5" spans="1:6" x14ac:dyDescent="0.25">
      <c r="A5" s="51">
        <v>2576.4</v>
      </c>
      <c r="B5" s="48">
        <v>5894.22</v>
      </c>
      <c r="C5" s="48">
        <v>1110.82</v>
      </c>
      <c r="D5" s="48">
        <v>860.2675200000001</v>
      </c>
      <c r="E5" s="48">
        <v>658.36799999999994</v>
      </c>
    </row>
    <row r="6" spans="1:6" x14ac:dyDescent="0.25">
      <c r="A6" s="51">
        <v>3854</v>
      </c>
      <c r="B6" s="48">
        <v>10760.76</v>
      </c>
      <c r="C6" s="48">
        <v>1966.79</v>
      </c>
      <c r="D6" s="48">
        <v>1563.0325759999998</v>
      </c>
      <c r="E6" s="48">
        <v>1196.1984</v>
      </c>
    </row>
    <row r="7" spans="1:6" x14ac:dyDescent="0.25">
      <c r="A7" s="51">
        <v>4200</v>
      </c>
      <c r="B7" s="48">
        <v>16853.43</v>
      </c>
      <c r="C7" s="48">
        <v>6365.13</v>
      </c>
      <c r="D7" s="48">
        <v>3507.6630400000008</v>
      </c>
      <c r="E7" s="48">
        <v>2684.4360000000001</v>
      </c>
    </row>
    <row r="8" spans="1:6" x14ac:dyDescent="0.25">
      <c r="A8" s="51">
        <v>5160</v>
      </c>
      <c r="B8" s="48">
        <v>17517.099999999999</v>
      </c>
      <c r="C8" s="48">
        <v>5343.55</v>
      </c>
      <c r="D8" s="48">
        <v>2814.193088</v>
      </c>
      <c r="E8" s="48">
        <v>2153.7192</v>
      </c>
    </row>
    <row r="9" spans="1:6" x14ac:dyDescent="0.25">
      <c r="A9" s="51">
        <v>6519.4400000000005</v>
      </c>
      <c r="B9" s="48">
        <v>7349.32</v>
      </c>
      <c r="C9" s="48">
        <v>119401.13</v>
      </c>
      <c r="D9" s="48">
        <v>32096.679328000002</v>
      </c>
      <c r="E9" s="48">
        <v>24563.785199999998</v>
      </c>
    </row>
    <row r="10" spans="1:6" x14ac:dyDescent="0.25">
      <c r="A10" s="51">
        <v>10736</v>
      </c>
      <c r="B10" s="48">
        <v>33323.81</v>
      </c>
      <c r="C10" s="48">
        <v>12277.36</v>
      </c>
      <c r="D10" s="48">
        <v>5600.14336</v>
      </c>
      <c r="E10" s="48">
        <v>4285.8239999999996</v>
      </c>
    </row>
    <row r="11" spans="1:6" x14ac:dyDescent="0.25">
      <c r="A11" s="51">
        <v>12364.4</v>
      </c>
      <c r="B11" s="48">
        <v>45109.42</v>
      </c>
      <c r="C11" s="48">
        <v>771.5</v>
      </c>
      <c r="D11" s="48">
        <v>5634.5013760000002</v>
      </c>
      <c r="E11" s="48">
        <v>4312.1183999999994</v>
      </c>
    </row>
    <row r="12" spans="1:6" x14ac:dyDescent="0.25">
      <c r="A12" s="51">
        <v>13974</v>
      </c>
      <c r="B12" s="48">
        <v>53543.77</v>
      </c>
      <c r="C12" s="48">
        <v>1851.7</v>
      </c>
      <c r="D12" s="48">
        <v>6893.8013760000013</v>
      </c>
      <c r="E12" s="48">
        <v>5275.8684000000012</v>
      </c>
    </row>
    <row r="13" spans="1:6" x14ac:dyDescent="0.25">
      <c r="A13" s="51">
        <v>14259.4</v>
      </c>
      <c r="B13" s="48">
        <v>40728.31</v>
      </c>
      <c r="C13" s="48">
        <v>11896.43</v>
      </c>
      <c r="D13" s="48">
        <v>6498.9068480000005</v>
      </c>
      <c r="E13" s="48">
        <v>4973.6531999999997</v>
      </c>
    </row>
    <row r="14" spans="1:6" x14ac:dyDescent="0.25">
      <c r="A14" s="51">
        <v>14517</v>
      </c>
      <c r="B14" s="48">
        <v>63238.2</v>
      </c>
      <c r="C14" s="48">
        <v>6970.18</v>
      </c>
      <c r="D14" s="48">
        <v>8622.083904000001</v>
      </c>
      <c r="E14" s="48">
        <v>6598.5336000000007</v>
      </c>
    </row>
    <row r="15" spans="1:6" x14ac:dyDescent="0.25">
      <c r="A15" s="51">
        <v>15552</v>
      </c>
      <c r="B15" s="48">
        <v>58221.66</v>
      </c>
      <c r="C15" s="48">
        <v>14102.19</v>
      </c>
      <c r="D15" s="48">
        <v>8881.8748479999995</v>
      </c>
      <c r="E15" s="48">
        <v>6797.3532000000005</v>
      </c>
    </row>
    <row r="16" spans="1:6" x14ac:dyDescent="0.25">
      <c r="A16" s="51">
        <v>15888.4</v>
      </c>
      <c r="B16" s="48">
        <v>48193.61</v>
      </c>
      <c r="C16" s="48">
        <v>311.23</v>
      </c>
      <c r="D16" s="48">
        <v>5956.731648</v>
      </c>
      <c r="E16" s="48">
        <v>4558.7232000000004</v>
      </c>
    </row>
    <row r="17" spans="1:5" x14ac:dyDescent="0.25">
      <c r="A17" s="51">
        <v>23660.400000000001</v>
      </c>
      <c r="B17" s="48">
        <v>50153.63</v>
      </c>
      <c r="C17" s="48">
        <v>12265.96</v>
      </c>
      <c r="D17" s="48">
        <v>7665.566272</v>
      </c>
      <c r="E17" s="48">
        <v>5866.5047999999997</v>
      </c>
    </row>
    <row r="18" spans="1:5" x14ac:dyDescent="0.25">
      <c r="A18" s="51">
        <v>25802</v>
      </c>
      <c r="B18" s="48">
        <v>79987.53</v>
      </c>
      <c r="C18" s="48">
        <v>25095.89</v>
      </c>
      <c r="D18" s="48">
        <v>12904.980256000001</v>
      </c>
      <c r="E18" s="48">
        <v>9876.260400000001</v>
      </c>
    </row>
    <row r="19" spans="1:5" x14ac:dyDescent="0.25">
      <c r="A19" s="51">
        <v>30847.8</v>
      </c>
      <c r="B19" s="48">
        <v>89770.71</v>
      </c>
      <c r="C19" s="48">
        <v>24979.08</v>
      </c>
      <c r="D19" s="48">
        <v>14182.956704</v>
      </c>
      <c r="E19" s="48">
        <v>10854.303599999999</v>
      </c>
    </row>
    <row r="20" spans="1:5" x14ac:dyDescent="0.25">
      <c r="A20" s="51">
        <v>33526.400000000001</v>
      </c>
      <c r="B20" s="48">
        <v>76830.7</v>
      </c>
      <c r="C20" s="48">
        <v>18890.84</v>
      </c>
      <c r="D20" s="48">
        <v>11755.275615999997</v>
      </c>
      <c r="E20" s="48">
        <v>8996.3843999999972</v>
      </c>
    </row>
    <row r="21" spans="1:5" x14ac:dyDescent="0.25">
      <c r="A21" s="51">
        <v>38598.400000000001</v>
      </c>
      <c r="B21" s="48">
        <v>129789.51</v>
      </c>
      <c r="C21" s="48">
        <v>25863.37</v>
      </c>
      <c r="D21" s="48">
        <v>19155.243071999997</v>
      </c>
      <c r="E21" s="48">
        <v>14659.6248</v>
      </c>
    </row>
    <row r="22" spans="1:5" x14ac:dyDescent="0.25">
      <c r="A22" s="51">
        <v>41198</v>
      </c>
      <c r="B22" s="48">
        <v>83933.47</v>
      </c>
      <c r="C22" s="48">
        <v>45842.1</v>
      </c>
      <c r="D22" s="48">
        <v>15937.355839999998</v>
      </c>
      <c r="E22" s="48">
        <v>12196.955999999998</v>
      </c>
    </row>
    <row r="23" spans="1:5" x14ac:dyDescent="0.25">
      <c r="A23" s="51">
        <v>43545.94</v>
      </c>
      <c r="B23" s="48">
        <v>127488.74</v>
      </c>
      <c r="C23" s="48">
        <v>31147.78</v>
      </c>
      <c r="D23" s="48">
        <v>19481.672448000005</v>
      </c>
      <c r="E23" s="48">
        <v>14909.443200000003</v>
      </c>
    </row>
    <row r="24" spans="1:5" x14ac:dyDescent="0.25">
      <c r="A24" s="51">
        <v>45776.4</v>
      </c>
      <c r="B24" s="48">
        <v>79532.820000000007</v>
      </c>
      <c r="C24" s="48">
        <v>43693.26</v>
      </c>
      <c r="D24" s="48">
        <v>22281.788032</v>
      </c>
      <c r="E24" s="48">
        <v>17052.388800000001</v>
      </c>
    </row>
    <row r="25" spans="1:5" x14ac:dyDescent="0.25">
      <c r="A25" s="51">
        <v>53787.8</v>
      </c>
      <c r="B25" s="48">
        <v>117803.07</v>
      </c>
      <c r="C25" s="48">
        <v>57627.4</v>
      </c>
      <c r="D25" s="48">
        <v>21544.089504</v>
      </c>
      <c r="E25" s="48">
        <v>16487.8236</v>
      </c>
    </row>
    <row r="26" spans="1:5" x14ac:dyDescent="0.25">
      <c r="A26" s="51" t="s">
        <v>23</v>
      </c>
      <c r="B26" s="48">
        <v>1236023.79</v>
      </c>
      <c r="C26" s="48">
        <v>467773.69000000006</v>
      </c>
      <c r="D26" s="48">
        <v>233838.80665599997</v>
      </c>
      <c r="E26" s="48">
        <v>178958.27039999998</v>
      </c>
    </row>
  </sheetData>
  <mergeCells count="1">
    <mergeCell ref="C1:F1"/>
  </mergeCells>
  <dataValidations count="1">
    <dataValidation type="custom" allowBlank="1" showInputMessage="1" showErrorMessage="1" sqref="E1:F1">
      <formula1>CHAR(156)</formula1>
    </dataValidation>
  </dataValidation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U40"/>
  <sheetViews>
    <sheetView showGridLines="0" topLeftCell="A10" workbookViewId="0">
      <selection activeCell="B25" sqref="B25:B39"/>
    </sheetView>
  </sheetViews>
  <sheetFormatPr defaultColWidth="9.140625" defaultRowHeight="15.75" x14ac:dyDescent="0.25"/>
  <cols>
    <col min="1" max="1" width="14.85546875" style="1" bestFit="1" customWidth="1"/>
    <col min="2" max="2" width="21.5703125" style="2" bestFit="1" customWidth="1"/>
    <col min="3" max="3" width="22.140625" style="3" customWidth="1"/>
    <col min="4" max="4" width="22" style="3" bestFit="1" customWidth="1"/>
    <col min="5" max="5" width="19.85546875" style="3" bestFit="1" customWidth="1"/>
    <col min="6" max="6" width="20.42578125" style="3" bestFit="1" customWidth="1"/>
    <col min="7" max="8" width="20.42578125" style="3" customWidth="1"/>
    <col min="9" max="9" width="21.85546875" style="3" bestFit="1" customWidth="1"/>
    <col min="10" max="10" width="19.85546875" style="3" bestFit="1" customWidth="1"/>
    <col min="11" max="11" width="21.7109375" style="3" bestFit="1" customWidth="1"/>
    <col min="12" max="12" width="11" style="3" bestFit="1" customWidth="1"/>
    <col min="13" max="13" width="36.42578125" style="3" bestFit="1" customWidth="1"/>
    <col min="14" max="14" width="21.85546875" style="3" bestFit="1" customWidth="1"/>
    <col min="15" max="15" width="19.85546875" style="3" bestFit="1" customWidth="1"/>
    <col min="16" max="16" width="21.85546875" style="3" bestFit="1" customWidth="1"/>
    <col min="17" max="17" width="18.28515625" style="3" bestFit="1" customWidth="1"/>
    <col min="18" max="18" width="21.85546875" style="3" bestFit="1" customWidth="1"/>
    <col min="19" max="19" width="16.28515625" style="3" bestFit="1" customWidth="1"/>
    <col min="20" max="20" width="15.5703125" style="5" bestFit="1" customWidth="1"/>
    <col min="21" max="21" width="12.140625" style="5" bestFit="1" customWidth="1"/>
    <col min="22" max="16384" width="9.140625" style="6"/>
  </cols>
  <sheetData>
    <row r="1" spans="1:21" x14ac:dyDescent="0.25">
      <c r="C1" s="49" t="s">
        <v>0</v>
      </c>
      <c r="D1" s="49"/>
      <c r="T1" s="4"/>
    </row>
    <row r="2" spans="1:21" s="15" customFormat="1" ht="18.75" x14ac:dyDescent="0.3">
      <c r="A2" s="7">
        <f ca="1">TODAY()</f>
        <v>43846</v>
      </c>
      <c r="B2" s="8"/>
      <c r="C2" s="9">
        <f t="shared" ref="C2:K2" si="0">SUBTOTAL(109,C4:C850)</f>
        <v>1400035.54</v>
      </c>
      <c r="D2" s="9">
        <f t="shared" si="0"/>
        <v>805109.38000000024</v>
      </c>
      <c r="E2" s="9">
        <f t="shared" si="0"/>
        <v>442456.17999999993</v>
      </c>
      <c r="F2" s="9">
        <f t="shared" si="0"/>
        <v>10706.089999999997</v>
      </c>
      <c r="G2" s="9">
        <f t="shared" si="0"/>
        <v>-75300.009999999995</v>
      </c>
      <c r="H2" s="9">
        <f t="shared" si="0"/>
        <v>-118548.62</v>
      </c>
      <c r="I2" s="9">
        <f t="shared" si="0"/>
        <v>2464458.5599999996</v>
      </c>
      <c r="J2" s="10">
        <f t="shared" si="0"/>
        <v>295735.02719999995</v>
      </c>
      <c r="K2" s="11">
        <f t="shared" si="0"/>
        <v>386427.10220800008</v>
      </c>
      <c r="L2" s="11"/>
      <c r="M2" s="12">
        <f t="shared" ref="M2:U2" si="1">SUBTOTAL(109,M4:M850)</f>
        <v>3146620.6894080006</v>
      </c>
      <c r="N2" s="9">
        <f t="shared" si="1"/>
        <v>2154588.5999999996</v>
      </c>
      <c r="O2" s="9">
        <f t="shared" si="1"/>
        <v>115575.94000000002</v>
      </c>
      <c r="P2" s="9">
        <f t="shared" si="1"/>
        <v>772706.25000000035</v>
      </c>
      <c r="Q2" s="9">
        <f t="shared" si="1"/>
        <v>103749.98</v>
      </c>
      <c r="R2" s="13">
        <f t="shared" si="1"/>
        <v>3146620.7699999996</v>
      </c>
      <c r="S2" s="13">
        <f t="shared" si="1"/>
        <v>8.0591999896569178E-2</v>
      </c>
      <c r="T2" s="14">
        <f t="shared" si="1"/>
        <v>1883</v>
      </c>
      <c r="U2" s="14">
        <f t="shared" si="1"/>
        <v>3633</v>
      </c>
    </row>
    <row r="3" spans="1:21" s="24" customFormat="1" ht="18.75" x14ac:dyDescent="0.25">
      <c r="A3" s="16" t="s">
        <v>1</v>
      </c>
      <c r="B3" s="17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9" t="s">
        <v>8</v>
      </c>
      <c r="I3" s="18" t="s">
        <v>9</v>
      </c>
      <c r="J3" s="20" t="s">
        <v>10</v>
      </c>
      <c r="K3" s="19" t="s">
        <v>11</v>
      </c>
      <c r="L3" s="19" t="s">
        <v>12</v>
      </c>
      <c r="M3" s="21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22" t="s">
        <v>18</v>
      </c>
      <c r="S3" s="20" t="s">
        <v>19</v>
      </c>
      <c r="T3" s="23" t="s">
        <v>20</v>
      </c>
      <c r="U3" s="23" t="s">
        <v>21</v>
      </c>
    </row>
    <row r="4" spans="1:21" s="32" customFormat="1" x14ac:dyDescent="0.25">
      <c r="A4" s="25">
        <v>43810</v>
      </c>
      <c r="B4" s="26" t="s">
        <v>22</v>
      </c>
      <c r="C4" s="27">
        <v>32022.82</v>
      </c>
      <c r="D4" s="27">
        <v>23660.400000000001</v>
      </c>
      <c r="E4" s="27">
        <v>3383.28</v>
      </c>
      <c r="F4" s="27">
        <v>400</v>
      </c>
      <c r="G4" s="27">
        <v>-5878.96</v>
      </c>
      <c r="H4" s="27">
        <v>-4700</v>
      </c>
      <c r="I4" s="28">
        <f t="shared" ref="I4:I39" si="2">C4+D4+F4+E4+G4+H4</f>
        <v>48887.54</v>
      </c>
      <c r="J4" s="27">
        <f>I4*12/100</f>
        <v>5866.5047999999997</v>
      </c>
      <c r="K4" s="27">
        <f t="shared" ref="K4:K21" si="3">(I4+J4)*14/100</f>
        <v>7665.566272</v>
      </c>
      <c r="L4" s="27"/>
      <c r="M4" s="29">
        <f t="shared" ref="M4:M23" si="4">SUM(I4:K4)</f>
        <v>62419.611072</v>
      </c>
      <c r="N4" s="27">
        <v>50153.63</v>
      </c>
      <c r="O4" s="27"/>
      <c r="P4" s="27">
        <v>12265.96</v>
      </c>
      <c r="Q4" s="27">
        <v>0</v>
      </c>
      <c r="R4" s="30">
        <f>P4+O4+N4+Table54[[#This Row],[Deposit]]</f>
        <v>62419.59</v>
      </c>
      <c r="S4" s="30">
        <f>R4-(M4+Table54[[#This Row],[Tips]])</f>
        <v>-2.1072000003186986E-2</v>
      </c>
      <c r="T4" s="31">
        <v>46</v>
      </c>
      <c r="U4" s="31">
        <v>50</v>
      </c>
    </row>
    <row r="5" spans="1:21" x14ac:dyDescent="0.25">
      <c r="A5" s="33">
        <v>43811</v>
      </c>
      <c r="B5" s="34" t="s">
        <v>22</v>
      </c>
      <c r="C5" s="28">
        <f>80073-160</f>
        <v>79913</v>
      </c>
      <c r="D5" s="28">
        <v>45776.4</v>
      </c>
      <c r="E5" s="28">
        <v>23541.84</v>
      </c>
      <c r="F5" s="28"/>
      <c r="G5" s="28">
        <v>-1420</v>
      </c>
      <c r="H5" s="28">
        <v>-5708</v>
      </c>
      <c r="I5" s="28">
        <f t="shared" si="2"/>
        <v>142103.24</v>
      </c>
      <c r="J5" s="28">
        <f t="shared" ref="J5:J21" si="5">I5*12/100</f>
        <v>17052.388800000001</v>
      </c>
      <c r="K5" s="28">
        <f t="shared" si="3"/>
        <v>22281.788032</v>
      </c>
      <c r="L5" s="28"/>
      <c r="M5" s="35">
        <f t="shared" si="4"/>
        <v>181437.41683200002</v>
      </c>
      <c r="N5" s="28">
        <v>79532.820000000007</v>
      </c>
      <c r="O5" s="28">
        <v>58211.35</v>
      </c>
      <c r="P5" s="28">
        <v>43693.26</v>
      </c>
      <c r="Q5" s="28">
        <v>0</v>
      </c>
      <c r="R5" s="36">
        <f>P5+O5+N5+Table54[[#This Row],[Deposit]]</f>
        <v>181437.43</v>
      </c>
      <c r="S5" s="36">
        <f>R5-(M5+Table54[[#This Row],[Tips]])</f>
        <v>1.3167999975848943E-2</v>
      </c>
      <c r="T5" s="37">
        <v>77</v>
      </c>
      <c r="U5" s="37">
        <v>139</v>
      </c>
    </row>
    <row r="6" spans="1:21" x14ac:dyDescent="0.25">
      <c r="A6" s="33">
        <v>43812</v>
      </c>
      <c r="B6" s="34" t="s">
        <v>22</v>
      </c>
      <c r="C6" s="28">
        <f>66887.82-85</f>
        <v>66802.820000000007</v>
      </c>
      <c r="D6" s="28">
        <v>38598.400000000001</v>
      </c>
      <c r="E6" s="28">
        <v>24528.720000000001</v>
      </c>
      <c r="F6" s="28"/>
      <c r="G6" s="28">
        <v>-3588.4</v>
      </c>
      <c r="H6" s="28">
        <v>-4178</v>
      </c>
      <c r="I6" s="28">
        <f t="shared" si="2"/>
        <v>122163.54000000001</v>
      </c>
      <c r="J6" s="28">
        <f t="shared" si="5"/>
        <v>14659.6248</v>
      </c>
      <c r="K6" s="28">
        <f t="shared" si="3"/>
        <v>19155.243071999997</v>
      </c>
      <c r="L6" s="28"/>
      <c r="M6" s="35">
        <f t="shared" si="4"/>
        <v>155978.40787200001</v>
      </c>
      <c r="N6" s="28">
        <v>129789.51</v>
      </c>
      <c r="O6" s="28">
        <v>325.58</v>
      </c>
      <c r="P6" s="28">
        <v>25863.37</v>
      </c>
      <c r="Q6" s="28">
        <v>0</v>
      </c>
      <c r="R6" s="36">
        <f>P6+O6+N6+Table54[[#This Row],[Deposit]]</f>
        <v>155978.46</v>
      </c>
      <c r="S6" s="36">
        <f>R6-(M6+Table54[[#This Row],[Tips]])</f>
        <v>5.2127999981166795E-2</v>
      </c>
      <c r="T6" s="37">
        <v>103</v>
      </c>
      <c r="U6" s="37">
        <v>171</v>
      </c>
    </row>
    <row r="7" spans="1:21" x14ac:dyDescent="0.25">
      <c r="A7" s="33">
        <v>43813</v>
      </c>
      <c r="B7" s="34" t="s">
        <v>22</v>
      </c>
      <c r="C7" s="28">
        <v>4078</v>
      </c>
      <c r="D7" s="28">
        <v>2576.4</v>
      </c>
      <c r="E7" s="28"/>
      <c r="F7" s="28"/>
      <c r="G7" s="28"/>
      <c r="H7" s="28">
        <v>-1168</v>
      </c>
      <c r="I7" s="28">
        <f t="shared" si="2"/>
        <v>5486.4</v>
      </c>
      <c r="J7" s="28">
        <f t="shared" si="5"/>
        <v>658.36799999999994</v>
      </c>
      <c r="K7" s="28">
        <f t="shared" si="3"/>
        <v>860.2675200000001</v>
      </c>
      <c r="L7" s="28"/>
      <c r="M7" s="35">
        <f t="shared" si="4"/>
        <v>7005.0355200000004</v>
      </c>
      <c r="N7" s="28">
        <v>5894.22</v>
      </c>
      <c r="O7" s="28"/>
      <c r="P7" s="28">
        <v>1110.82</v>
      </c>
      <c r="Q7" s="28"/>
      <c r="R7" s="36">
        <f>P7+O7+N7+Table54[[#This Row],[Deposit]]</f>
        <v>7005.04</v>
      </c>
      <c r="S7" s="36">
        <f>R7-(M7+Table54[[#This Row],[Tips]])</f>
        <v>4.4799999996030238E-3</v>
      </c>
      <c r="T7" s="37">
        <v>13</v>
      </c>
      <c r="U7" s="37">
        <v>13</v>
      </c>
    </row>
    <row r="8" spans="1:21" x14ac:dyDescent="0.25">
      <c r="A8" s="33">
        <v>43814</v>
      </c>
      <c r="B8" s="34" t="s">
        <v>22</v>
      </c>
      <c r="C8" s="28">
        <v>22686</v>
      </c>
      <c r="D8" s="28">
        <v>15888.4</v>
      </c>
      <c r="E8" s="28">
        <v>2466.96</v>
      </c>
      <c r="F8" s="28"/>
      <c r="G8" s="28"/>
      <c r="H8" s="28">
        <v>-3052</v>
      </c>
      <c r="I8" s="28">
        <f t="shared" si="2"/>
        <v>37989.360000000001</v>
      </c>
      <c r="J8" s="28">
        <f t="shared" si="5"/>
        <v>4558.7232000000004</v>
      </c>
      <c r="K8" s="28">
        <f t="shared" si="3"/>
        <v>5956.731648</v>
      </c>
      <c r="L8" s="28"/>
      <c r="M8" s="35">
        <f t="shared" si="4"/>
        <v>48504.814848000002</v>
      </c>
      <c r="N8" s="28">
        <v>48193.61</v>
      </c>
      <c r="O8" s="28"/>
      <c r="P8" s="28">
        <v>311.23</v>
      </c>
      <c r="Q8" s="28"/>
      <c r="R8" s="36">
        <f>P8+O8+N8+Table54[[#This Row],[Deposit]]</f>
        <v>48504.840000000004</v>
      </c>
      <c r="S8" s="36">
        <f>R8-(M8+Table54[[#This Row],[Tips]])</f>
        <v>2.5152000001980923E-2</v>
      </c>
      <c r="T8" s="37">
        <v>26</v>
      </c>
      <c r="U8" s="37">
        <v>47</v>
      </c>
    </row>
    <row r="9" spans="1:21" x14ac:dyDescent="0.25">
      <c r="A9" s="33">
        <v>43815</v>
      </c>
      <c r="B9" s="34" t="s">
        <v>22</v>
      </c>
      <c r="C9" s="28">
        <v>22838</v>
      </c>
      <c r="D9" s="28">
        <v>10736</v>
      </c>
      <c r="E9" s="28">
        <v>3853.2</v>
      </c>
      <c r="F9" s="28"/>
      <c r="G9" s="28">
        <v>-74</v>
      </c>
      <c r="H9" s="28">
        <v>-1638</v>
      </c>
      <c r="I9" s="28">
        <f t="shared" si="2"/>
        <v>35715.199999999997</v>
      </c>
      <c r="J9" s="28">
        <f t="shared" si="5"/>
        <v>4285.8239999999996</v>
      </c>
      <c r="K9" s="28">
        <f t="shared" si="3"/>
        <v>5600.14336</v>
      </c>
      <c r="L9" s="28"/>
      <c r="M9" s="35">
        <f t="shared" si="4"/>
        <v>45601.167359999999</v>
      </c>
      <c r="N9" s="28">
        <v>33323.81</v>
      </c>
      <c r="O9" s="28"/>
      <c r="P9" s="28">
        <v>12277.36</v>
      </c>
      <c r="Q9" s="28"/>
      <c r="R9" s="36">
        <f>P9+O9+N9+Table54[[#This Row],[Deposit]]</f>
        <v>45601.17</v>
      </c>
      <c r="S9" s="36">
        <f>R9-(M9+Table54[[#This Row],[Tips]])</f>
        <v>2.639999998791609E-3</v>
      </c>
      <c r="T9" s="37">
        <v>35</v>
      </c>
      <c r="U9" s="37">
        <v>46</v>
      </c>
    </row>
    <row r="10" spans="1:21" x14ac:dyDescent="0.25">
      <c r="A10" s="33">
        <v>43816</v>
      </c>
      <c r="B10" s="34" t="s">
        <v>22</v>
      </c>
      <c r="C10" s="28">
        <f>61200.23-300.8</f>
        <v>60899.43</v>
      </c>
      <c r="D10" s="28">
        <v>41198</v>
      </c>
      <c r="E10" s="28">
        <v>11442</v>
      </c>
      <c r="F10" s="28"/>
      <c r="G10" s="28">
        <v>-8354.1299999999992</v>
      </c>
      <c r="H10" s="28">
        <v>-3544</v>
      </c>
      <c r="I10" s="28">
        <f t="shared" si="2"/>
        <v>101641.29999999999</v>
      </c>
      <c r="J10" s="28">
        <f t="shared" si="5"/>
        <v>12196.955999999998</v>
      </c>
      <c r="K10" s="28">
        <f t="shared" si="3"/>
        <v>15937.355839999998</v>
      </c>
      <c r="L10" s="28"/>
      <c r="M10" s="35">
        <f t="shared" si="4"/>
        <v>129775.61184</v>
      </c>
      <c r="N10" s="28">
        <v>83933.47</v>
      </c>
      <c r="O10" s="28">
        <v>0</v>
      </c>
      <c r="P10" s="28">
        <v>45842.1</v>
      </c>
      <c r="Q10" s="28"/>
      <c r="R10" s="36">
        <f>P10+O10+N10+Table54[[#This Row],[Deposit]]</f>
        <v>129775.57</v>
      </c>
      <c r="S10" s="36">
        <f>R10-(M10+Table54[[#This Row],[Tips]])</f>
        <v>-4.1839999990770593E-2</v>
      </c>
      <c r="T10" s="37">
        <v>91</v>
      </c>
      <c r="U10" s="37">
        <v>125</v>
      </c>
    </row>
    <row r="11" spans="1:21" x14ac:dyDescent="0.25">
      <c r="A11" s="33">
        <v>43817</v>
      </c>
      <c r="B11" s="34" t="s">
        <v>22</v>
      </c>
      <c r="C11" s="38">
        <v>34873.410000000003</v>
      </c>
      <c r="D11" s="38">
        <v>13974</v>
      </c>
      <c r="E11" s="38">
        <v>1574.16</v>
      </c>
      <c r="F11" s="38"/>
      <c r="G11" s="38">
        <v>-2962</v>
      </c>
      <c r="H11" s="38">
        <v>-3494</v>
      </c>
      <c r="I11" s="28">
        <f t="shared" si="2"/>
        <v>43965.570000000007</v>
      </c>
      <c r="J11" s="38">
        <f t="shared" si="5"/>
        <v>5275.8684000000012</v>
      </c>
      <c r="K11" s="38">
        <f t="shared" si="3"/>
        <v>6893.8013760000013</v>
      </c>
      <c r="L11" s="38"/>
      <c r="M11" s="39">
        <f t="shared" si="4"/>
        <v>56135.239776000009</v>
      </c>
      <c r="N11" s="38">
        <v>53543.77</v>
      </c>
      <c r="O11" s="38">
        <v>739.79</v>
      </c>
      <c r="P11" s="38">
        <v>1851.7</v>
      </c>
      <c r="Q11" s="38"/>
      <c r="R11" s="40">
        <f>P11+O11+N11+Table54[[#This Row],[Deposit]]</f>
        <v>56135.259999999995</v>
      </c>
      <c r="S11" s="40">
        <f>R11-(M11+Table54[[#This Row],[Tips]])</f>
        <v>2.0223999985319097E-2</v>
      </c>
      <c r="T11" s="41">
        <v>32</v>
      </c>
      <c r="U11" s="41">
        <v>90</v>
      </c>
    </row>
    <row r="12" spans="1:21" x14ac:dyDescent="0.25">
      <c r="A12" s="33">
        <v>43818</v>
      </c>
      <c r="B12" s="34" t="s">
        <v>22</v>
      </c>
      <c r="C12" s="38">
        <v>68163.820000000007</v>
      </c>
      <c r="D12" s="38">
        <f>44105.3-559.36</f>
        <v>43545.94</v>
      </c>
      <c r="E12" s="38">
        <v>16188</v>
      </c>
      <c r="F12" s="38"/>
      <c r="G12" s="38">
        <v>-1104.4000000000001</v>
      </c>
      <c r="H12" s="38">
        <v>-2548</v>
      </c>
      <c r="I12" s="28">
        <f t="shared" si="2"/>
        <v>124245.36000000002</v>
      </c>
      <c r="J12" s="38">
        <f t="shared" si="5"/>
        <v>14909.443200000003</v>
      </c>
      <c r="K12" s="38">
        <f t="shared" si="3"/>
        <v>19481.672448000005</v>
      </c>
      <c r="L12" s="38"/>
      <c r="M12" s="39">
        <f t="shared" si="4"/>
        <v>158636.47564800002</v>
      </c>
      <c r="N12" s="38">
        <v>127488.74</v>
      </c>
      <c r="O12" s="38"/>
      <c r="P12" s="38">
        <v>31147.78</v>
      </c>
      <c r="Q12" s="38"/>
      <c r="R12" s="40">
        <f>P12+O12+N12+Table54[[#This Row],[Deposit]]</f>
        <v>158636.52000000002</v>
      </c>
      <c r="S12" s="40">
        <f>R12-(M12+Table54[[#This Row],[Tips]])</f>
        <v>4.4351999997161329E-2</v>
      </c>
      <c r="T12" s="41">
        <v>82</v>
      </c>
      <c r="U12" s="41">
        <v>181</v>
      </c>
    </row>
    <row r="13" spans="1:21" x14ac:dyDescent="0.25">
      <c r="A13" s="33">
        <v>43819</v>
      </c>
      <c r="B13" s="34" t="s">
        <v>22</v>
      </c>
      <c r="C13" s="38">
        <v>72016.41</v>
      </c>
      <c r="D13" s="38">
        <v>53787.8</v>
      </c>
      <c r="E13" s="38">
        <v>19430.16</v>
      </c>
      <c r="F13" s="38">
        <v>783.76</v>
      </c>
      <c r="G13" s="38">
        <v>-3341.6</v>
      </c>
      <c r="H13" s="38">
        <v>-5278</v>
      </c>
      <c r="I13" s="28">
        <f t="shared" si="2"/>
        <v>137398.53</v>
      </c>
      <c r="J13" s="38">
        <f t="shared" si="5"/>
        <v>16487.8236</v>
      </c>
      <c r="K13" s="38">
        <f t="shared" si="3"/>
        <v>21544.089504</v>
      </c>
      <c r="L13" s="38"/>
      <c r="M13" s="39">
        <f t="shared" si="4"/>
        <v>175430.44310400001</v>
      </c>
      <c r="N13" s="38">
        <v>117803.07</v>
      </c>
      <c r="O13" s="38">
        <v>0</v>
      </c>
      <c r="P13" s="38">
        <v>57627.4</v>
      </c>
      <c r="Q13" s="38"/>
      <c r="R13" s="40">
        <f>P13+O13+N13+Table54[[#This Row],[Deposit]]</f>
        <v>175430.47</v>
      </c>
      <c r="S13" s="40">
        <f>R13-(M13+Table54[[#This Row],[Tips]])</f>
        <v>2.6895999995758757E-2</v>
      </c>
      <c r="T13" s="41">
        <v>81</v>
      </c>
      <c r="U13" s="41">
        <v>179</v>
      </c>
    </row>
    <row r="14" spans="1:21" s="3" customFormat="1" x14ac:dyDescent="0.25">
      <c r="A14" s="33">
        <v>43820</v>
      </c>
      <c r="B14" s="34" t="s">
        <v>22</v>
      </c>
      <c r="C14" s="38">
        <f>48414-281</f>
        <v>48133</v>
      </c>
      <c r="D14" s="38">
        <v>15552</v>
      </c>
      <c r="E14" s="38">
        <v>3171.84</v>
      </c>
      <c r="F14" s="38">
        <v>559.77</v>
      </c>
      <c r="G14" s="38">
        <v>-2968</v>
      </c>
      <c r="H14" s="38">
        <v>-7804</v>
      </c>
      <c r="I14" s="28">
        <f t="shared" si="2"/>
        <v>56644.61</v>
      </c>
      <c r="J14" s="38">
        <f t="shared" si="5"/>
        <v>6797.3532000000005</v>
      </c>
      <c r="K14" s="38">
        <f t="shared" si="3"/>
        <v>8881.8748479999995</v>
      </c>
      <c r="L14" s="38"/>
      <c r="M14" s="39">
        <f t="shared" si="4"/>
        <v>72323.838048000005</v>
      </c>
      <c r="N14" s="38">
        <v>58221.66</v>
      </c>
      <c r="O14" s="38">
        <v>0</v>
      </c>
      <c r="P14" s="38">
        <v>14102.19</v>
      </c>
      <c r="Q14" s="38"/>
      <c r="R14" s="40">
        <f>P14+O14+N14+Table54[[#This Row],[Deposit]]</f>
        <v>72323.850000000006</v>
      </c>
      <c r="S14" s="40">
        <f>R14-(M14+Table54[[#This Row],[Tips]])</f>
        <v>1.1952000000746921E-2</v>
      </c>
      <c r="T14" s="41">
        <v>54</v>
      </c>
      <c r="U14" s="41">
        <v>119</v>
      </c>
    </row>
    <row r="15" spans="1:21" s="3" customFormat="1" x14ac:dyDescent="0.25">
      <c r="A15" s="33">
        <v>43821</v>
      </c>
      <c r="B15" s="34" t="s">
        <v>22</v>
      </c>
      <c r="C15" s="38">
        <v>19370</v>
      </c>
      <c r="D15" s="38">
        <v>4200</v>
      </c>
      <c r="E15" s="38">
        <v>2044.08</v>
      </c>
      <c r="F15" s="38">
        <v>1347.11</v>
      </c>
      <c r="G15" s="38">
        <v>0</v>
      </c>
      <c r="H15" s="38">
        <v>-4590.8900000000003</v>
      </c>
      <c r="I15" s="28">
        <f t="shared" si="2"/>
        <v>22370.300000000003</v>
      </c>
      <c r="J15" s="38">
        <f t="shared" si="5"/>
        <v>2684.4360000000001</v>
      </c>
      <c r="K15" s="38">
        <f t="shared" si="3"/>
        <v>3507.6630400000008</v>
      </c>
      <c r="L15" s="38"/>
      <c r="M15" s="39">
        <f t="shared" si="4"/>
        <v>28562.399040000004</v>
      </c>
      <c r="N15" s="38">
        <v>16853.43</v>
      </c>
      <c r="O15" s="38">
        <v>5343.86</v>
      </c>
      <c r="P15" s="38">
        <v>6365.13</v>
      </c>
      <c r="Q15" s="38"/>
      <c r="R15" s="40">
        <f>P15+O15+N15+Table54[[#This Row],[Deposit]]</f>
        <v>28562.42</v>
      </c>
      <c r="S15" s="40">
        <f>R15-(M15+Table54[[#This Row],[Tips]])</f>
        <v>2.0959999994374812E-2</v>
      </c>
      <c r="T15" s="41">
        <v>24</v>
      </c>
      <c r="U15" s="41">
        <v>27</v>
      </c>
    </row>
    <row r="16" spans="1:21" s="3" customFormat="1" x14ac:dyDescent="0.25">
      <c r="A16" s="33">
        <v>43822</v>
      </c>
      <c r="B16" s="34" t="s">
        <v>22</v>
      </c>
      <c r="C16" s="38">
        <f>26061.41-194</f>
        <v>25867.41</v>
      </c>
      <c r="D16" s="38">
        <f>14296.4-37</f>
        <v>14259.4</v>
      </c>
      <c r="E16" s="38">
        <v>4276.08</v>
      </c>
      <c r="F16" s="38">
        <v>194.22</v>
      </c>
      <c r="G16" s="38">
        <v>-308</v>
      </c>
      <c r="H16" s="38">
        <v>-2842</v>
      </c>
      <c r="I16" s="28">
        <f t="shared" si="2"/>
        <v>41447.11</v>
      </c>
      <c r="J16" s="38">
        <f t="shared" si="5"/>
        <v>4973.6531999999997</v>
      </c>
      <c r="K16" s="38">
        <f t="shared" si="3"/>
        <v>6498.9068480000005</v>
      </c>
      <c r="L16" s="38"/>
      <c r="M16" s="39">
        <f t="shared" si="4"/>
        <v>52919.670048</v>
      </c>
      <c r="N16" s="38">
        <v>40728.31</v>
      </c>
      <c r="O16" s="38">
        <v>294.94</v>
      </c>
      <c r="P16" s="38">
        <v>11896.43</v>
      </c>
      <c r="Q16" s="38"/>
      <c r="R16" s="40">
        <f>P16+O16+N16+Table54[[#This Row],[Deposit]]</f>
        <v>52919.68</v>
      </c>
      <c r="S16" s="40">
        <f>R16-(M16+Table54[[#This Row],[Tips]])</f>
        <v>9.9520000003394671E-3</v>
      </c>
      <c r="T16" s="41">
        <v>38</v>
      </c>
      <c r="U16" s="41">
        <v>73</v>
      </c>
    </row>
    <row r="17" spans="1:21" s="3" customFormat="1" x14ac:dyDescent="0.25">
      <c r="A17" s="33">
        <v>43823</v>
      </c>
      <c r="B17" s="34" t="s">
        <v>22</v>
      </c>
      <c r="C17" s="38">
        <v>43200</v>
      </c>
      <c r="D17" s="38">
        <v>33526.400000000001</v>
      </c>
      <c r="E17" s="38">
        <v>6743.04</v>
      </c>
      <c r="F17" s="38">
        <v>1313.76</v>
      </c>
      <c r="G17" s="38">
        <v>-2990</v>
      </c>
      <c r="H17" s="38">
        <v>-6823.33</v>
      </c>
      <c r="I17" s="28">
        <f t="shared" si="2"/>
        <v>74969.869999999981</v>
      </c>
      <c r="J17" s="38">
        <f t="shared" si="5"/>
        <v>8996.3843999999972</v>
      </c>
      <c r="K17" s="38">
        <f t="shared" si="3"/>
        <v>11755.275615999997</v>
      </c>
      <c r="L17" s="38"/>
      <c r="M17" s="39">
        <f t="shared" si="4"/>
        <v>95721.530015999975</v>
      </c>
      <c r="N17" s="38">
        <v>76830.7</v>
      </c>
      <c r="O17" s="38">
        <v>0</v>
      </c>
      <c r="P17" s="38">
        <v>18890.84</v>
      </c>
      <c r="Q17" s="38"/>
      <c r="R17" s="40">
        <f>P17+O17+N17+Table54[[#This Row],[Deposit]]</f>
        <v>95721.54</v>
      </c>
      <c r="S17" s="40">
        <f>R17-(M17+Table54[[#This Row],[Tips]])</f>
        <v>9.9840000184485689E-3</v>
      </c>
      <c r="T17" s="41">
        <v>76</v>
      </c>
      <c r="U17" s="41">
        <v>147</v>
      </c>
    </row>
    <row r="18" spans="1:21" s="3" customFormat="1" x14ac:dyDescent="0.25">
      <c r="A18" s="33">
        <v>43824</v>
      </c>
      <c r="B18" s="34" t="s">
        <v>22</v>
      </c>
      <c r="C18" s="38">
        <v>23148</v>
      </c>
      <c r="D18" s="38">
        <v>12364.4</v>
      </c>
      <c r="E18" s="38">
        <v>3148.32</v>
      </c>
      <c r="F18" s="38">
        <v>130</v>
      </c>
      <c r="G18" s="38">
        <v>-1108.4000000000001</v>
      </c>
      <c r="H18" s="38">
        <v>-1748</v>
      </c>
      <c r="I18" s="28">
        <f t="shared" si="2"/>
        <v>35934.32</v>
      </c>
      <c r="J18" s="38">
        <f t="shared" si="5"/>
        <v>4312.1183999999994</v>
      </c>
      <c r="K18" s="38">
        <f t="shared" si="3"/>
        <v>5634.5013760000002</v>
      </c>
      <c r="L18" s="38"/>
      <c r="M18" s="39">
        <f t="shared" si="4"/>
        <v>45880.939775999999</v>
      </c>
      <c r="N18" s="38">
        <v>45109.42</v>
      </c>
      <c r="O18" s="38">
        <v>0</v>
      </c>
      <c r="P18" s="38">
        <v>771.5</v>
      </c>
      <c r="Q18" s="38"/>
      <c r="R18" s="40">
        <f>P18+O18+N18+Table54[[#This Row],[Deposit]]</f>
        <v>45880.92</v>
      </c>
      <c r="S18" s="40">
        <f>R18-(M18+Table54[[#This Row],[Tips]])</f>
        <v>-1.9776000001002103E-2</v>
      </c>
      <c r="T18" s="41">
        <v>38</v>
      </c>
      <c r="U18" s="41">
        <v>57</v>
      </c>
    </row>
    <row r="19" spans="1:21" s="3" customFormat="1" x14ac:dyDescent="0.25">
      <c r="A19" s="33">
        <v>43825</v>
      </c>
      <c r="B19" s="34" t="s">
        <v>22</v>
      </c>
      <c r="C19" s="38">
        <v>50273.82</v>
      </c>
      <c r="D19" s="38">
        <v>25802</v>
      </c>
      <c r="E19" s="38">
        <v>9397.92</v>
      </c>
      <c r="F19" s="38">
        <v>352.43</v>
      </c>
      <c r="G19" s="38">
        <v>-1702</v>
      </c>
      <c r="H19" s="38">
        <v>-1822</v>
      </c>
      <c r="I19" s="28">
        <f t="shared" si="2"/>
        <v>82302.17</v>
      </c>
      <c r="J19" s="38">
        <f t="shared" si="5"/>
        <v>9876.260400000001</v>
      </c>
      <c r="K19" s="38">
        <f t="shared" si="3"/>
        <v>12904.980256000001</v>
      </c>
      <c r="L19" s="38"/>
      <c r="M19" s="39">
        <f t="shared" si="4"/>
        <v>105083.41065599999</v>
      </c>
      <c r="N19" s="38">
        <v>79987.53</v>
      </c>
      <c r="O19" s="38">
        <v>0</v>
      </c>
      <c r="P19" s="38">
        <v>25095.89</v>
      </c>
      <c r="Q19" s="38"/>
      <c r="R19" s="40">
        <f>P19+O19+N19+Table54[[#This Row],[Deposit]]</f>
        <v>105083.42</v>
      </c>
      <c r="S19" s="40">
        <f>R19-(M19+Table54[[#This Row],[Tips]])</f>
        <v>9.3440000055124983E-3</v>
      </c>
      <c r="T19" s="41">
        <v>80</v>
      </c>
      <c r="U19" s="41">
        <v>150</v>
      </c>
    </row>
    <row r="20" spans="1:21" x14ac:dyDescent="0.25">
      <c r="A20" s="33">
        <v>43826</v>
      </c>
      <c r="B20" s="34" t="s">
        <v>22</v>
      </c>
      <c r="C20" s="38">
        <f>54272-175.2</f>
        <v>54096.800000000003</v>
      </c>
      <c r="D20" s="38">
        <f>30921-73.2</f>
        <v>30847.8</v>
      </c>
      <c r="E20" s="38">
        <v>8082.24</v>
      </c>
      <c r="F20" s="38">
        <v>156.65</v>
      </c>
      <c r="G20" s="38">
        <v>-1590.96</v>
      </c>
      <c r="H20" s="38">
        <v>-1140</v>
      </c>
      <c r="I20" s="28">
        <f t="shared" si="2"/>
        <v>90452.53</v>
      </c>
      <c r="J20" s="38">
        <f t="shared" si="5"/>
        <v>10854.303599999999</v>
      </c>
      <c r="K20" s="38">
        <f t="shared" si="3"/>
        <v>14182.956704</v>
      </c>
      <c r="L20" s="38"/>
      <c r="M20" s="39">
        <f t="shared" si="4"/>
        <v>115489.79030399999</v>
      </c>
      <c r="N20" s="38">
        <v>89770.71</v>
      </c>
      <c r="O20" s="38">
        <v>740</v>
      </c>
      <c r="P20" s="38">
        <v>24979.08</v>
      </c>
      <c r="Q20" s="38"/>
      <c r="R20" s="40">
        <f>P20+O20+N20+Table54[[#This Row],[Deposit]]</f>
        <v>115489.79000000001</v>
      </c>
      <c r="S20" s="40">
        <f>R20-(M20+Table54[[#This Row],[Tips]])</f>
        <v>-3.0399998649954796E-4</v>
      </c>
      <c r="T20" s="41">
        <v>74</v>
      </c>
      <c r="U20" s="41">
        <v>152</v>
      </c>
    </row>
    <row r="21" spans="1:21" x14ac:dyDescent="0.25">
      <c r="A21" s="33">
        <v>43827</v>
      </c>
      <c r="B21" s="34" t="s">
        <v>22</v>
      </c>
      <c r="C21" s="38">
        <v>37693.410000000003</v>
      </c>
      <c r="D21" s="38">
        <v>14517</v>
      </c>
      <c r="E21" s="38">
        <v>3876.72</v>
      </c>
      <c r="F21" s="38">
        <v>506.65</v>
      </c>
      <c r="G21" s="38">
        <v>-566</v>
      </c>
      <c r="H21" s="38">
        <v>-1040</v>
      </c>
      <c r="I21" s="28">
        <f t="shared" si="2"/>
        <v>54987.780000000006</v>
      </c>
      <c r="J21" s="38">
        <f t="shared" si="5"/>
        <v>6598.5336000000007</v>
      </c>
      <c r="K21" s="38">
        <f t="shared" si="3"/>
        <v>8622.083904000001</v>
      </c>
      <c r="L21" s="38"/>
      <c r="M21" s="39">
        <f t="shared" si="4"/>
        <v>70208.397504000008</v>
      </c>
      <c r="N21" s="38">
        <v>63238.2</v>
      </c>
      <c r="O21" s="38">
        <v>0</v>
      </c>
      <c r="P21" s="38">
        <v>6970.18</v>
      </c>
      <c r="Q21" s="38"/>
      <c r="R21" s="40">
        <f>P21+O21+N21+Table54[[#This Row],[Deposit]]</f>
        <v>70208.38</v>
      </c>
      <c r="S21" s="40">
        <f>R21-(M21+Table54[[#This Row],[Tips]])</f>
        <v>-1.7504000003100373E-2</v>
      </c>
      <c r="T21" s="41">
        <v>43</v>
      </c>
      <c r="U21" s="41">
        <v>91</v>
      </c>
    </row>
    <row r="22" spans="1:21" x14ac:dyDescent="0.25">
      <c r="A22" s="33">
        <v>43828</v>
      </c>
      <c r="B22" s="34" t="s">
        <v>22</v>
      </c>
      <c r="C22" s="38">
        <v>7356</v>
      </c>
      <c r="D22" s="38">
        <v>3854</v>
      </c>
      <c r="E22" s="38">
        <v>0</v>
      </c>
      <c r="F22" s="38">
        <v>78.319999999999993</v>
      </c>
      <c r="G22" s="38">
        <v>-178</v>
      </c>
      <c r="H22" s="38">
        <v>-1142</v>
      </c>
      <c r="I22" s="28">
        <f t="shared" si="2"/>
        <v>9968.32</v>
      </c>
      <c r="J22" s="38">
        <f>I22*12/100</f>
        <v>1196.1984</v>
      </c>
      <c r="K22" s="38">
        <f>(I22+J22)*14/100</f>
        <v>1563.0325759999998</v>
      </c>
      <c r="L22" s="38"/>
      <c r="M22" s="39">
        <f t="shared" si="4"/>
        <v>12727.550975999999</v>
      </c>
      <c r="N22" s="38">
        <v>10760.76</v>
      </c>
      <c r="O22" s="38"/>
      <c r="P22" s="38">
        <v>1966.79</v>
      </c>
      <c r="Q22" s="38"/>
      <c r="R22" s="40">
        <f>P22+O22+N22+Table54[[#This Row],[Deposit]]</f>
        <v>12727.55</v>
      </c>
      <c r="S22" s="40">
        <f>R22-(M22+Table54[[#This Row],[Tips]])</f>
        <v>-9.7599999935482629E-4</v>
      </c>
      <c r="T22" s="41">
        <v>17</v>
      </c>
      <c r="U22" s="41">
        <v>16</v>
      </c>
    </row>
    <row r="23" spans="1:21" x14ac:dyDescent="0.25">
      <c r="A23" s="33">
        <v>43829</v>
      </c>
      <c r="B23" s="34" t="s">
        <v>22</v>
      </c>
      <c r="C23" s="38">
        <f>13534-43</f>
        <v>13491</v>
      </c>
      <c r="D23" s="38">
        <v>5160</v>
      </c>
      <c r="E23" s="38">
        <v>234.96</v>
      </c>
      <c r="F23" s="38">
        <v>43.7</v>
      </c>
      <c r="G23" s="38">
        <v>0</v>
      </c>
      <c r="H23" s="38">
        <v>-982</v>
      </c>
      <c r="I23" s="28">
        <f t="shared" si="2"/>
        <v>17947.66</v>
      </c>
      <c r="J23" s="38">
        <f>I23*12/100</f>
        <v>2153.7192</v>
      </c>
      <c r="K23" s="38">
        <f>(I23+J23)*14/100</f>
        <v>2814.193088</v>
      </c>
      <c r="L23" s="38"/>
      <c r="M23" s="39">
        <f t="shared" si="4"/>
        <v>22915.572287999999</v>
      </c>
      <c r="N23" s="38">
        <v>17517.099999999999</v>
      </c>
      <c r="O23" s="38">
        <v>54.9</v>
      </c>
      <c r="P23" s="38">
        <v>5343.55</v>
      </c>
      <c r="Q23" s="38"/>
      <c r="R23" s="40">
        <f>P23+O23+N23+Table54[[#This Row],[Deposit]]</f>
        <v>22915.55</v>
      </c>
      <c r="S23" s="40">
        <f>R23-(M23+Table54[[#This Row],[Tips]])</f>
        <v>-2.2288000000116881E-2</v>
      </c>
      <c r="T23" s="41">
        <v>18</v>
      </c>
      <c r="U23" s="41">
        <v>34</v>
      </c>
    </row>
    <row r="24" spans="1:21" x14ac:dyDescent="0.25">
      <c r="A24" s="33">
        <v>43830</v>
      </c>
      <c r="B24" s="34" t="s">
        <v>22</v>
      </c>
      <c r="C24" s="38">
        <v>5980</v>
      </c>
      <c r="D24" s="38">
        <f>7424-904.56</f>
        <v>6519.4400000000005</v>
      </c>
      <c r="E24" s="38">
        <v>195362.33</v>
      </c>
      <c r="F24" s="38">
        <v>130.44</v>
      </c>
      <c r="G24" s="38">
        <v>-294</v>
      </c>
      <c r="H24" s="38">
        <v>-3000</v>
      </c>
      <c r="I24" s="28">
        <f t="shared" si="2"/>
        <v>204698.21</v>
      </c>
      <c r="J24" s="38">
        <f>I24*12/100</f>
        <v>24563.785199999998</v>
      </c>
      <c r="K24" s="38">
        <f>(I24+J24)*14/100</f>
        <v>32096.679328000002</v>
      </c>
      <c r="L24" s="38"/>
      <c r="M24" s="39">
        <f>SUM(I24:K24)</f>
        <v>261358.674528</v>
      </c>
      <c r="N24" s="38">
        <v>7349.32</v>
      </c>
      <c r="O24" s="38">
        <v>30858.240000000002</v>
      </c>
      <c r="P24" s="38">
        <v>119401.13</v>
      </c>
      <c r="Q24" s="38">
        <v>103749.98</v>
      </c>
      <c r="R24" s="40">
        <f>P24+O24+N24+Table54[[#This Row],[Deposit]]</f>
        <v>261358.66999999998</v>
      </c>
      <c r="S24" s="40">
        <f>R24-(M24+Table54[[#This Row],[Tips]])</f>
        <v>-4.5280000194907188E-3</v>
      </c>
      <c r="T24" s="41">
        <v>61</v>
      </c>
      <c r="U24" s="41">
        <v>195</v>
      </c>
    </row>
    <row r="25" spans="1:21" x14ac:dyDescent="0.25">
      <c r="A25" s="33">
        <v>43831</v>
      </c>
      <c r="B25" s="34" t="s">
        <v>22</v>
      </c>
      <c r="C25" s="38">
        <v>11064</v>
      </c>
      <c r="D25" s="38">
        <v>2134</v>
      </c>
      <c r="E25" s="38">
        <v>446.4</v>
      </c>
      <c r="F25" s="38">
        <v>43.7</v>
      </c>
      <c r="G25" s="38">
        <v>-128</v>
      </c>
      <c r="H25" s="38">
        <v>-1142</v>
      </c>
      <c r="I25" s="28">
        <f t="shared" si="2"/>
        <v>12418.1</v>
      </c>
      <c r="J25" s="38">
        <f t="shared" ref="J25:J28" si="6">I25*12/100</f>
        <v>1490.172</v>
      </c>
      <c r="K25" s="38">
        <f t="shared" ref="K25:K28" si="7">(I25+J25)*14/100</f>
        <v>1947.1580800000002</v>
      </c>
      <c r="L25" s="38"/>
      <c r="M25" s="39">
        <f t="shared" ref="M25:M28" si="8">SUM(I25:K25)</f>
        <v>15855.430080000002</v>
      </c>
      <c r="N25" s="38">
        <v>9128.6299999999992</v>
      </c>
      <c r="O25" s="38">
        <v>0</v>
      </c>
      <c r="P25" s="38">
        <v>6726.8</v>
      </c>
      <c r="Q25" s="38">
        <v>0</v>
      </c>
      <c r="R25" s="40">
        <f>P25+O25+N25+Table54[[#This Row],[Deposit]]</f>
        <v>15855.43</v>
      </c>
      <c r="S25" s="40">
        <f>R25-(M25+Table54[[#This Row],[Tips]])</f>
        <v>-8.000000161700882E-5</v>
      </c>
      <c r="T25" s="41">
        <v>14</v>
      </c>
      <c r="U25" s="41">
        <v>23</v>
      </c>
    </row>
    <row r="26" spans="1:21" x14ac:dyDescent="0.25">
      <c r="A26" s="33">
        <v>43832</v>
      </c>
      <c r="B26" s="34" t="s">
        <v>22</v>
      </c>
      <c r="C26" s="38">
        <v>43197.41</v>
      </c>
      <c r="D26" s="38">
        <v>15525</v>
      </c>
      <c r="E26" s="38">
        <v>5826.72</v>
      </c>
      <c r="F26" s="38">
        <v>392.31</v>
      </c>
      <c r="G26" s="38">
        <v>-1902</v>
      </c>
      <c r="H26" s="38">
        <v>-2174</v>
      </c>
      <c r="I26" s="28">
        <f t="shared" si="2"/>
        <v>60865.440000000002</v>
      </c>
      <c r="J26" s="38">
        <f t="shared" si="6"/>
        <v>7303.8528000000006</v>
      </c>
      <c r="K26" s="38">
        <f t="shared" si="7"/>
        <v>9543.700992</v>
      </c>
      <c r="L26" s="38"/>
      <c r="M26" s="39">
        <f t="shared" si="8"/>
        <v>77712.993791999994</v>
      </c>
      <c r="N26" s="38">
        <v>52652.47</v>
      </c>
      <c r="O26" s="38">
        <v>0</v>
      </c>
      <c r="P26" s="38">
        <v>25060.5</v>
      </c>
      <c r="Q26" s="38">
        <v>0</v>
      </c>
      <c r="R26" s="40">
        <f>P26+O26+N26+Table54[[#This Row],[Deposit]]</f>
        <v>77712.97</v>
      </c>
      <c r="S26" s="40">
        <f>R26-(M26+Table54[[#This Row],[Tips]])</f>
        <v>-2.3791999992681667E-2</v>
      </c>
      <c r="T26" s="41">
        <v>36</v>
      </c>
      <c r="U26" s="41">
        <v>110</v>
      </c>
    </row>
    <row r="27" spans="1:21" x14ac:dyDescent="0.25">
      <c r="A27" s="33">
        <v>43833</v>
      </c>
      <c r="B27" s="34" t="s">
        <v>22</v>
      </c>
      <c r="C27" s="38">
        <v>53892.23</v>
      </c>
      <c r="D27" s="38">
        <v>39130.800000000003</v>
      </c>
      <c r="E27" s="38">
        <v>13650.48</v>
      </c>
      <c r="F27" s="38">
        <v>735.68</v>
      </c>
      <c r="G27" s="38">
        <f>-902-198-238</f>
        <v>-1338</v>
      </c>
      <c r="H27" s="38">
        <v>-2440</v>
      </c>
      <c r="I27" s="28">
        <f t="shared" si="2"/>
        <v>103631.18999999999</v>
      </c>
      <c r="J27" s="38">
        <f t="shared" si="6"/>
        <v>12435.742799999998</v>
      </c>
      <c r="K27" s="38">
        <f t="shared" si="7"/>
        <v>16249.370591999997</v>
      </c>
      <c r="L27" s="38"/>
      <c r="M27" s="39">
        <f t="shared" si="8"/>
        <v>132316.30339199997</v>
      </c>
      <c r="N27" s="38">
        <v>95122.5</v>
      </c>
      <c r="O27" s="38">
        <v>0</v>
      </c>
      <c r="P27" s="38">
        <v>37193.82</v>
      </c>
      <c r="Q27" s="38">
        <v>0</v>
      </c>
      <c r="R27" s="40">
        <f>P27+O27+N27+Table54[[#This Row],[Deposit]]</f>
        <v>132316.32</v>
      </c>
      <c r="S27" s="40">
        <f>R27-(M27+Table54[[#This Row],[Tips]])</f>
        <v>1.6608000034466386E-2</v>
      </c>
      <c r="T27" s="41">
        <v>82</v>
      </c>
      <c r="U27" s="41">
        <v>163</v>
      </c>
    </row>
    <row r="28" spans="1:21" x14ac:dyDescent="0.25">
      <c r="A28" s="33">
        <v>43834</v>
      </c>
      <c r="B28" s="34" t="s">
        <v>22</v>
      </c>
      <c r="C28" s="38">
        <v>18388</v>
      </c>
      <c r="D28" s="38">
        <v>8624</v>
      </c>
      <c r="E28" s="38">
        <v>704.88</v>
      </c>
      <c r="F28" s="38">
        <v>400</v>
      </c>
      <c r="G28" s="38">
        <v>-395</v>
      </c>
      <c r="H28" s="38">
        <v>-2128</v>
      </c>
      <c r="I28" s="28">
        <f t="shared" si="2"/>
        <v>25593.88</v>
      </c>
      <c r="J28" s="38">
        <f t="shared" si="6"/>
        <v>3071.2656000000002</v>
      </c>
      <c r="K28" s="38">
        <f t="shared" si="7"/>
        <v>4013.1203840000003</v>
      </c>
      <c r="L28" s="38"/>
      <c r="M28" s="39">
        <f t="shared" si="8"/>
        <v>32678.265984000001</v>
      </c>
      <c r="N28" s="38">
        <v>32466.799999999999</v>
      </c>
      <c r="O28" s="38">
        <v>0</v>
      </c>
      <c r="P28" s="38">
        <v>211.49</v>
      </c>
      <c r="Q28" s="38">
        <v>0</v>
      </c>
      <c r="R28" s="40">
        <f>P28+O28+N28+Table54[[#This Row],[Deposit]]</f>
        <v>32678.29</v>
      </c>
      <c r="S28" s="40">
        <f>R28-(M28+Table54[[#This Row],[Tips]])</f>
        <v>2.4015999999392079E-2</v>
      </c>
      <c r="T28" s="41">
        <v>31</v>
      </c>
      <c r="U28" s="41">
        <v>36</v>
      </c>
    </row>
    <row r="29" spans="1:21" x14ac:dyDescent="0.25">
      <c r="A29" s="33">
        <v>43835</v>
      </c>
      <c r="B29" s="34" t="s">
        <v>22</v>
      </c>
      <c r="C29" s="38">
        <f>19756-20</f>
        <v>19736</v>
      </c>
      <c r="D29" s="38">
        <v>6451</v>
      </c>
      <c r="E29" s="38">
        <v>2678.4</v>
      </c>
      <c r="F29" s="38">
        <v>173.48</v>
      </c>
      <c r="G29" s="38">
        <v>-156</v>
      </c>
      <c r="H29" s="38">
        <v>-2386</v>
      </c>
      <c r="I29" s="28">
        <f t="shared" si="2"/>
        <v>26496.880000000001</v>
      </c>
      <c r="J29" s="38">
        <f>I29*12/100</f>
        <v>3179.6255999999998</v>
      </c>
      <c r="K29" s="38">
        <f>(I29+J29)*14/100</f>
        <v>4154.7107839999999</v>
      </c>
      <c r="L29" s="38"/>
      <c r="M29" s="39">
        <f>SUM(I29:K29)</f>
        <v>33831.216383999999</v>
      </c>
      <c r="N29" s="38">
        <v>10056.6</v>
      </c>
      <c r="O29" s="38">
        <v>25.54</v>
      </c>
      <c r="P29" s="38">
        <v>23749.040000000001</v>
      </c>
      <c r="Q29" s="38">
        <v>0</v>
      </c>
      <c r="R29" s="40">
        <f>P29+O29+N29+Table54[[#This Row],[Deposit]]</f>
        <v>33831.18</v>
      </c>
      <c r="S29" s="40">
        <f>R29-(M29+Table54[[#This Row],[Tips]])</f>
        <v>-3.6383999999088701E-2</v>
      </c>
      <c r="T29" s="41">
        <v>31</v>
      </c>
      <c r="U29" s="41">
        <v>48</v>
      </c>
    </row>
    <row r="30" spans="1:21" x14ac:dyDescent="0.25">
      <c r="A30" s="33">
        <v>43836</v>
      </c>
      <c r="B30" s="34" t="s">
        <v>22</v>
      </c>
      <c r="C30" s="38">
        <f>36043.41-488.4</f>
        <v>35555.01</v>
      </c>
      <c r="D30" s="38">
        <v>27209.4</v>
      </c>
      <c r="E30" s="38">
        <v>4017.6</v>
      </c>
      <c r="F30" s="38">
        <v>303.58999999999997</v>
      </c>
      <c r="G30" s="38">
        <f>-156-5040-446.4-472</f>
        <v>-6114.4</v>
      </c>
      <c r="H30" s="38">
        <v>-5802</v>
      </c>
      <c r="I30" s="28">
        <f t="shared" si="2"/>
        <v>55169.200000000004</v>
      </c>
      <c r="J30" s="38">
        <f t="shared" ref="J30:J35" si="9">I30*12/100</f>
        <v>6620.3040000000001</v>
      </c>
      <c r="K30" s="38">
        <f t="shared" ref="K30:K35" si="10">(I30+J30)*14/100</f>
        <v>8650.5305599999992</v>
      </c>
      <c r="L30" s="38"/>
      <c r="M30" s="39">
        <f t="shared" ref="M30:M35" si="11">SUM(I30:K30)</f>
        <v>70440.03456</v>
      </c>
      <c r="N30" s="38">
        <v>49239.35</v>
      </c>
      <c r="O30" s="38">
        <v>1730.02</v>
      </c>
      <c r="P30" s="38">
        <v>19470.68</v>
      </c>
      <c r="Q30" s="38">
        <v>0</v>
      </c>
      <c r="R30" s="40">
        <f>P30+O30+N30+Table54[[#This Row],[Deposit]]</f>
        <v>70440.05</v>
      </c>
      <c r="S30" s="40">
        <f>R30-(M30+Table54[[#This Row],[Tips]])</f>
        <v>1.5440000002854504E-2</v>
      </c>
      <c r="T30" s="41">
        <v>51</v>
      </c>
      <c r="U30" s="41">
        <v>75</v>
      </c>
    </row>
    <row r="31" spans="1:21" x14ac:dyDescent="0.25">
      <c r="A31" s="33">
        <v>43837</v>
      </c>
      <c r="B31" s="34" t="s">
        <v>22</v>
      </c>
      <c r="C31" s="38">
        <v>32185.41</v>
      </c>
      <c r="D31" s="38">
        <f>46932.8-779</f>
        <v>46153.8</v>
      </c>
      <c r="E31" s="38">
        <v>11442</v>
      </c>
      <c r="F31" s="38">
        <v>303.92</v>
      </c>
      <c r="G31" s="38">
        <f>-446.4-5836-314</f>
        <v>-6596.4</v>
      </c>
      <c r="H31" s="38">
        <v>-4266</v>
      </c>
      <c r="I31" s="28">
        <f t="shared" si="2"/>
        <v>79222.73000000001</v>
      </c>
      <c r="J31" s="38">
        <f t="shared" si="9"/>
        <v>9506.727600000002</v>
      </c>
      <c r="K31" s="38">
        <f t="shared" si="10"/>
        <v>12422.124064000001</v>
      </c>
      <c r="L31" s="38"/>
      <c r="M31" s="39">
        <f t="shared" si="11"/>
        <v>101151.58166400001</v>
      </c>
      <c r="N31" s="38">
        <v>77663.429999999993</v>
      </c>
      <c r="O31" s="38">
        <v>1049.99</v>
      </c>
      <c r="P31" s="38">
        <v>22438.21</v>
      </c>
      <c r="Q31" s="38">
        <v>0</v>
      </c>
      <c r="R31" s="40">
        <f>P31+O31+N31+Table54[[#This Row],[Deposit]]</f>
        <v>101151.62999999999</v>
      </c>
      <c r="S31" s="40">
        <f>R31-(M31+Table54[[#This Row],[Tips]])</f>
        <v>4.8335999978007749E-2</v>
      </c>
      <c r="T31" s="41">
        <v>54</v>
      </c>
      <c r="U31" s="41">
        <v>96</v>
      </c>
    </row>
    <row r="32" spans="1:21" x14ac:dyDescent="0.25">
      <c r="A32" s="33">
        <v>43838</v>
      </c>
      <c r="B32" s="34" t="s">
        <v>22</v>
      </c>
      <c r="C32" s="38">
        <v>24263.41</v>
      </c>
      <c r="D32" s="38">
        <v>13503.6</v>
      </c>
      <c r="E32" s="38">
        <v>3124.8</v>
      </c>
      <c r="F32" s="38">
        <v>0</v>
      </c>
      <c r="G32" s="38">
        <f>-1070-220</f>
        <v>-1290</v>
      </c>
      <c r="H32" s="38">
        <v>-5202</v>
      </c>
      <c r="I32" s="28">
        <f t="shared" si="2"/>
        <v>34399.810000000005</v>
      </c>
      <c r="J32" s="38">
        <f t="shared" si="9"/>
        <v>4127.9772000000012</v>
      </c>
      <c r="K32" s="38">
        <f t="shared" si="10"/>
        <v>5393.8902080000007</v>
      </c>
      <c r="L32" s="38"/>
      <c r="M32" s="39">
        <f t="shared" si="11"/>
        <v>43921.677408000003</v>
      </c>
      <c r="N32" s="38">
        <v>27422.89</v>
      </c>
      <c r="O32" s="38">
        <v>0</v>
      </c>
      <c r="P32" s="38">
        <v>16498.810000000001</v>
      </c>
      <c r="Q32" s="38">
        <v>0</v>
      </c>
      <c r="R32" s="40">
        <f>P32+O32+N32+Table54[[#This Row],[Deposit]]</f>
        <v>43921.7</v>
      </c>
      <c r="S32" s="40">
        <f>R32-(M32+Table54[[#This Row],[Tips]])</f>
        <v>2.2591999993892387E-2</v>
      </c>
      <c r="T32" s="41">
        <v>33</v>
      </c>
      <c r="U32" s="41">
        <v>66</v>
      </c>
    </row>
    <row r="33" spans="1:21" x14ac:dyDescent="0.25">
      <c r="A33" s="33">
        <v>43839</v>
      </c>
      <c r="B33" s="34" t="s">
        <v>22</v>
      </c>
      <c r="C33" s="42">
        <f>74436.23-40</f>
        <v>74396.23</v>
      </c>
      <c r="D33" s="42">
        <v>42733.8</v>
      </c>
      <c r="E33" s="42">
        <v>17033.759999999998</v>
      </c>
      <c r="F33" s="42">
        <v>826.34</v>
      </c>
      <c r="G33" s="42">
        <f>-446.4-892.8-828-916.32-294-1952</f>
        <v>-5329.52</v>
      </c>
      <c r="H33" s="42">
        <v>-4398.3999999999996</v>
      </c>
      <c r="I33" s="28">
        <f t="shared" si="2"/>
        <v>125262.21</v>
      </c>
      <c r="J33" s="42">
        <f t="shared" si="9"/>
        <v>15031.465200000001</v>
      </c>
      <c r="K33" s="42">
        <f t="shared" si="10"/>
        <v>19641.114528000002</v>
      </c>
      <c r="L33" s="42"/>
      <c r="M33" s="43">
        <f t="shared" si="11"/>
        <v>159934.789728</v>
      </c>
      <c r="N33" s="42">
        <v>137527.93</v>
      </c>
      <c r="O33" s="42">
        <v>0</v>
      </c>
      <c r="P33" s="42">
        <v>22406.81</v>
      </c>
      <c r="Q33" s="38">
        <v>0</v>
      </c>
      <c r="R33" s="44">
        <f>P33+O33+N33+Table54[[#This Row],[Deposit]]</f>
        <v>159934.74</v>
      </c>
      <c r="S33" s="44">
        <f>R33-(M33+Table54[[#This Row],[Tips]])</f>
        <v>-4.9728000012692064E-2</v>
      </c>
      <c r="T33" s="45">
        <v>98</v>
      </c>
      <c r="U33" s="45">
        <v>198</v>
      </c>
    </row>
    <row r="34" spans="1:21" x14ac:dyDescent="0.25">
      <c r="A34" s="33">
        <v>43840</v>
      </c>
      <c r="B34" s="34" t="s">
        <v>22</v>
      </c>
      <c r="C34" s="42">
        <f>77700-334</f>
        <v>77366</v>
      </c>
      <c r="D34" s="42">
        <f>56424-783</f>
        <v>55641</v>
      </c>
      <c r="E34" s="42">
        <v>19152.32</v>
      </c>
      <c r="F34" s="42">
        <v>478.39</v>
      </c>
      <c r="G34" s="42">
        <f>-2656-584.4-152-3280</f>
        <v>-6672.4</v>
      </c>
      <c r="H34" s="42">
        <v>-5942</v>
      </c>
      <c r="I34" s="28">
        <f t="shared" si="2"/>
        <v>140023.31000000003</v>
      </c>
      <c r="J34" s="42">
        <f t="shared" si="9"/>
        <v>16802.797200000001</v>
      </c>
      <c r="K34" s="42">
        <f t="shared" si="10"/>
        <v>21955.655008000005</v>
      </c>
      <c r="L34" s="42"/>
      <c r="M34" s="43">
        <f t="shared" si="11"/>
        <v>178781.76220800003</v>
      </c>
      <c r="N34" s="42">
        <v>148663.92000000001</v>
      </c>
      <c r="O34" s="42">
        <v>2565.0700000000002</v>
      </c>
      <c r="P34" s="42">
        <v>27552.76</v>
      </c>
      <c r="Q34" s="38">
        <v>0</v>
      </c>
      <c r="R34" s="44">
        <f>P34+O34+N34+Table54[[#This Row],[Deposit]]</f>
        <v>178781.75</v>
      </c>
      <c r="S34" s="44">
        <f>R34-(M34+Table54[[#This Row],[Tips]])</f>
        <v>-1.2208000029204413E-2</v>
      </c>
      <c r="T34" s="45">
        <v>115</v>
      </c>
      <c r="U34" s="45">
        <v>189</v>
      </c>
    </row>
    <row r="35" spans="1:21" x14ac:dyDescent="0.25">
      <c r="A35" s="33">
        <v>43841</v>
      </c>
      <c r="B35" s="34" t="s">
        <v>22</v>
      </c>
      <c r="C35" s="42">
        <f>45201.41-173</f>
        <v>45028.41</v>
      </c>
      <c r="D35" s="42">
        <f>16782.8-43</f>
        <v>16739.8</v>
      </c>
      <c r="E35" s="42">
        <v>12399.45</v>
      </c>
      <c r="F35" s="42">
        <v>260.88</v>
      </c>
      <c r="G35" s="42">
        <v>-2712.64</v>
      </c>
      <c r="H35" s="42">
        <v>-2270</v>
      </c>
      <c r="I35" s="28">
        <f t="shared" si="2"/>
        <v>69445.900000000009</v>
      </c>
      <c r="J35" s="42">
        <f t="shared" si="9"/>
        <v>8333.5079999999998</v>
      </c>
      <c r="K35" s="42">
        <f t="shared" si="10"/>
        <v>10889.117120000001</v>
      </c>
      <c r="L35" s="42"/>
      <c r="M35" s="43">
        <f t="shared" si="11"/>
        <v>88668.525120000006</v>
      </c>
      <c r="N35" s="42">
        <v>49638.63</v>
      </c>
      <c r="O35" s="42">
        <v>4259.41</v>
      </c>
      <c r="P35" s="42">
        <v>34770.46</v>
      </c>
      <c r="Q35" s="38">
        <v>0</v>
      </c>
      <c r="R35" s="44">
        <f>P35+O35+N35+Table54[[#This Row],[Deposit]]</f>
        <v>88668.5</v>
      </c>
      <c r="S35" s="44">
        <f>R35-(M35+Table54[[#This Row],[Tips]])</f>
        <v>-2.5120000005699694E-2</v>
      </c>
      <c r="T35" s="45">
        <v>53</v>
      </c>
      <c r="U35" s="45">
        <v>125</v>
      </c>
    </row>
    <row r="36" spans="1:21" x14ac:dyDescent="0.25">
      <c r="A36" s="33">
        <v>43842</v>
      </c>
      <c r="B36" s="34" t="s">
        <v>22</v>
      </c>
      <c r="C36" s="42">
        <f>27049.82-109</f>
        <v>26940.82</v>
      </c>
      <c r="D36" s="42">
        <v>9338.4</v>
      </c>
      <c r="E36" s="42">
        <v>1574.16</v>
      </c>
      <c r="F36" s="42">
        <v>87.07</v>
      </c>
      <c r="G36" s="42">
        <v>-484</v>
      </c>
      <c r="H36" s="42">
        <v>-1066</v>
      </c>
      <c r="I36" s="28">
        <f t="shared" si="2"/>
        <v>36390.450000000004</v>
      </c>
      <c r="J36" s="42">
        <f>I36*12/100</f>
        <v>4366.8540000000003</v>
      </c>
      <c r="K36" s="42">
        <f>(I36+J36)*14/100</f>
        <v>5706.0225600000003</v>
      </c>
      <c r="L36" s="42"/>
      <c r="M36" s="43">
        <f>SUM(I36:K36)</f>
        <v>46463.326560000001</v>
      </c>
      <c r="N36" s="42">
        <v>32664.21</v>
      </c>
      <c r="O36" s="42">
        <v>139.16999999999999</v>
      </c>
      <c r="P36" s="42">
        <v>13659.93</v>
      </c>
      <c r="Q36" s="38">
        <v>0</v>
      </c>
      <c r="R36" s="44">
        <f>P36+O36+N36+Table54[[#This Row],[Deposit]]</f>
        <v>46463.31</v>
      </c>
      <c r="S36" s="44">
        <f>R36-(M36+Table54[[#This Row],[Tips]])</f>
        <v>-1.6560000003664754E-2</v>
      </c>
      <c r="T36" s="45">
        <v>35</v>
      </c>
      <c r="U36" s="45">
        <v>78</v>
      </c>
    </row>
    <row r="37" spans="1:21" x14ac:dyDescent="0.25">
      <c r="A37" s="33">
        <v>43843</v>
      </c>
      <c r="B37" s="34" t="s">
        <v>22</v>
      </c>
      <c r="C37" s="42">
        <f>21318-180</f>
        <v>21138</v>
      </c>
      <c r="D37" s="42">
        <v>6998.8</v>
      </c>
      <c r="E37" s="42">
        <v>681.36</v>
      </c>
      <c r="F37" s="42">
        <v>87.07</v>
      </c>
      <c r="G37" s="42">
        <v>0</v>
      </c>
      <c r="H37" s="42">
        <v>-1468</v>
      </c>
      <c r="I37" s="28">
        <f t="shared" si="2"/>
        <v>27437.23</v>
      </c>
      <c r="J37" s="42">
        <f>I37*12/100</f>
        <v>3292.4675999999999</v>
      </c>
      <c r="K37" s="42">
        <f>(I37+J37)*14/100</f>
        <v>4302.1576639999994</v>
      </c>
      <c r="L37" s="42"/>
      <c r="M37" s="43">
        <f>SUM(I37:K37)</f>
        <v>35031.855263999998</v>
      </c>
      <c r="N37" s="42">
        <v>26697.96</v>
      </c>
      <c r="O37" s="42">
        <v>229.82</v>
      </c>
      <c r="P37" s="42">
        <v>8104.06</v>
      </c>
      <c r="Q37" s="38">
        <v>0</v>
      </c>
      <c r="R37" s="44">
        <f>P37+O37+N37+Table54[[#This Row],[Deposit]]</f>
        <v>35031.839999999997</v>
      </c>
      <c r="S37" s="44">
        <f>R37-(M37+Table54[[#This Row],[Tips]])</f>
        <v>-1.5264000001479872E-2</v>
      </c>
      <c r="T37" s="45">
        <v>24</v>
      </c>
      <c r="U37" s="45">
        <v>47</v>
      </c>
    </row>
    <row r="38" spans="1:21" x14ac:dyDescent="0.25">
      <c r="A38" s="33">
        <v>43844</v>
      </c>
      <c r="B38" s="34" t="s">
        <v>22</v>
      </c>
      <c r="C38" s="42">
        <f>67223.82-0</f>
        <v>67223.820000000007</v>
      </c>
      <c r="D38" s="42">
        <f>37594.4-645</f>
        <v>36949.4</v>
      </c>
      <c r="E38" s="42">
        <v>4957.4399999999996</v>
      </c>
      <c r="F38" s="42">
        <v>573.48</v>
      </c>
      <c r="G38" s="42">
        <f>-294-892.8-906</f>
        <v>-2092.8000000000002</v>
      </c>
      <c r="H38" s="42">
        <v>-8432</v>
      </c>
      <c r="I38" s="28">
        <f t="shared" si="2"/>
        <v>99179.34</v>
      </c>
      <c r="J38" s="42">
        <f>I38*12/100</f>
        <v>11901.5208</v>
      </c>
      <c r="K38" s="42">
        <f>(I38+J38)*14/100</f>
        <v>15551.320511999998</v>
      </c>
      <c r="L38" s="42"/>
      <c r="M38" s="43">
        <f>SUM(I38:K38)</f>
        <v>126632.181312</v>
      </c>
      <c r="N38" s="42">
        <v>75706.929999999993</v>
      </c>
      <c r="O38" s="42">
        <v>9008.26</v>
      </c>
      <c r="P38" s="42">
        <v>41917.019999999997</v>
      </c>
      <c r="Q38" s="38">
        <v>0</v>
      </c>
      <c r="R38" s="44">
        <f>P38+O38+N38+Table54[[#This Row],[Deposit]]</f>
        <v>126632.20999999999</v>
      </c>
      <c r="S38" s="44">
        <f>R38-(M38+Table54[[#This Row],[Tips]])</f>
        <v>2.8687999991234392E-2</v>
      </c>
      <c r="T38" s="45">
        <v>73</v>
      </c>
      <c r="U38" s="45">
        <v>158</v>
      </c>
    </row>
    <row r="39" spans="1:21" x14ac:dyDescent="0.25">
      <c r="A39" s="33">
        <v>43845</v>
      </c>
      <c r="B39" s="34" t="s">
        <v>22</v>
      </c>
      <c r="C39" s="42">
        <v>56757.64</v>
      </c>
      <c r="D39" s="42">
        <v>21632.400000000001</v>
      </c>
      <c r="E39" s="42">
        <v>2020.56</v>
      </c>
      <c r="F39" s="42">
        <v>43.37</v>
      </c>
      <c r="G39" s="42">
        <f>-1460-200</f>
        <v>-1660</v>
      </c>
      <c r="H39" s="42">
        <v>-1190</v>
      </c>
      <c r="I39" s="28">
        <f t="shared" si="2"/>
        <v>77603.97</v>
      </c>
      <c r="J39" s="42">
        <f>I39*12/100</f>
        <v>9312.4763999999996</v>
      </c>
      <c r="K39" s="42">
        <f>(I39+J39)*14/100</f>
        <v>12168.302496</v>
      </c>
      <c r="L39" s="42"/>
      <c r="M39" s="43">
        <f>SUM(I39:K39)</f>
        <v>99084.748896000005</v>
      </c>
      <c r="N39" s="42">
        <v>93912.56</v>
      </c>
      <c r="O39" s="42">
        <v>0</v>
      </c>
      <c r="P39" s="42">
        <v>5172.17</v>
      </c>
      <c r="Q39" s="42"/>
      <c r="R39" s="44">
        <f>P39+O39+N39+Table54[[#This Row],[Deposit]]</f>
        <v>99084.73</v>
      </c>
      <c r="S39" s="44">
        <f>R39-(M39+Table54[[#This Row],[Tips]])</f>
        <v>-1.8896000008680858E-2</v>
      </c>
      <c r="T39" s="45">
        <v>44</v>
      </c>
      <c r="U39" s="45">
        <v>119</v>
      </c>
    </row>
    <row r="40" spans="1:21" x14ac:dyDescent="0.25">
      <c r="A40" s="33"/>
      <c r="B40" s="46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9"/>
      <c r="N40" s="38"/>
      <c r="O40" s="38"/>
      <c r="P40" s="38"/>
      <c r="Q40" s="38"/>
      <c r="R40" s="40"/>
      <c r="S40" s="40"/>
      <c r="T40" s="41"/>
      <c r="U40" s="41"/>
    </row>
  </sheetData>
  <mergeCells count="1">
    <mergeCell ref="C1:D1"/>
  </mergeCells>
  <conditionalFormatting sqref="S2:U2 S4:S1048576">
    <cfRule type="cellIs" dxfId="17" priority="2" operator="equal">
      <formula>"Diff,Please Check"</formula>
    </cfRule>
  </conditionalFormatting>
  <conditionalFormatting sqref="S1 S3">
    <cfRule type="cellIs" dxfId="16" priority="1" operator="equal">
      <formula>"Diff,Please Check"</formula>
    </cfRule>
  </conditionalFormatting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2020-01-16T13:42:24Z</dcterms:modified>
</cp:coreProperties>
</file>