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khattab\Desktop\"/>
    </mc:Choice>
  </mc:AlternateContent>
  <xr:revisionPtr revIDLastSave="0" documentId="13_ncr:1_{E4E53CF3-DF56-4920-B6BE-A5D35BA3C5E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  <sheet name="Log" sheetId="2" r:id="rId2"/>
    <sheet name="Defenition" sheetId="3" r:id="rId3"/>
  </sheets>
  <definedNames>
    <definedName name="Company">OFFSET(Log!$H$2,,,COUNTA(Log!$H:$H),1)</definedName>
    <definedName name="Invoice">OFFSET(Log!$A$2,,,COUNTA(Log!$A:$A),1)</definedName>
    <definedName name="_xlnm.Print_Area" localSheetId="0">'1'!$A$4:$G$36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9" i="2" l="1"/>
  <c r="K8" i="2"/>
  <c r="K7" i="2"/>
  <c r="K6" i="2"/>
  <c r="K5" i="2"/>
  <c r="K4" i="2"/>
  <c r="K3" i="2"/>
  <c r="K2" i="2"/>
  <c r="A13" i="1" l="1" a="1"/>
  <c r="A13" i="1" s="1"/>
  <c r="K13" i="1" l="1"/>
  <c r="C13" i="1"/>
  <c r="J13" i="1"/>
  <c r="I13" i="1"/>
  <c r="H13" i="1"/>
  <c r="G13" i="1"/>
  <c r="F13" i="1"/>
  <c r="E13" i="1"/>
  <c r="D13" i="1"/>
  <c r="B13" i="1"/>
  <c r="M13" i="1" s="1"/>
  <c r="A14" i="1" a="1"/>
  <c r="A14" i="1" s="1"/>
  <c r="C14" i="1" s="1"/>
  <c r="L13" i="1" l="1"/>
  <c r="I14" i="1"/>
  <c r="J14" i="1"/>
  <c r="K14" i="1"/>
  <c r="G14" i="1"/>
  <c r="H14" i="1"/>
  <c r="E14" i="1"/>
  <c r="F14" i="1"/>
  <c r="D14" i="1"/>
  <c r="B14" i="1"/>
  <c r="M14" i="1" s="1"/>
  <c r="A15" i="1" a="1"/>
  <c r="A15" i="1" s="1"/>
  <c r="C15" i="1" s="1"/>
  <c r="I15" i="1" l="1"/>
  <c r="K15" i="1"/>
  <c r="J15" i="1"/>
  <c r="L14" i="1"/>
  <c r="G15" i="1"/>
  <c r="H15" i="1"/>
  <c r="E15" i="1"/>
  <c r="F15" i="1"/>
  <c r="D15" i="1"/>
  <c r="B15" i="1"/>
  <c r="M15" i="1" s="1"/>
  <c r="A16" i="1" a="1"/>
  <c r="A16" i="1" s="1"/>
  <c r="C16" i="1" s="1"/>
  <c r="L15" i="1" l="1"/>
  <c r="I16" i="1"/>
  <c r="J16" i="1"/>
  <c r="K16" i="1"/>
  <c r="G16" i="1"/>
  <c r="H16" i="1"/>
  <c r="E16" i="1"/>
  <c r="F16" i="1"/>
  <c r="D16" i="1"/>
  <c r="B16" i="1"/>
  <c r="M16" i="1" s="1"/>
  <c r="A17" i="1" a="1"/>
  <c r="A17" i="1" s="1"/>
  <c r="C17" i="1" s="1"/>
  <c r="L16" i="1" l="1"/>
  <c r="I17" i="1"/>
  <c r="K17" i="1"/>
  <c r="J17" i="1"/>
  <c r="G17" i="1"/>
  <c r="H17" i="1"/>
  <c r="E17" i="1"/>
  <c r="F17" i="1"/>
  <c r="D17" i="1"/>
  <c r="B17" i="1"/>
  <c r="M17" i="1" s="1"/>
  <c r="A18" i="1" a="1"/>
  <c r="A18" i="1" s="1"/>
  <c r="C18" i="1" s="1"/>
  <c r="L17" i="1" l="1"/>
  <c r="I18" i="1"/>
  <c r="J18" i="1"/>
  <c r="K18" i="1"/>
  <c r="G18" i="1"/>
  <c r="H18" i="1"/>
  <c r="E18" i="1"/>
  <c r="F18" i="1"/>
  <c r="D18" i="1"/>
  <c r="B18" i="1"/>
  <c r="M18" i="1" s="1"/>
  <c r="A19" i="1" a="1"/>
  <c r="A19" i="1" s="1"/>
  <c r="C19" i="1" s="1"/>
  <c r="M4" i="1"/>
  <c r="I19" i="1" l="1"/>
  <c r="K19" i="1"/>
  <c r="J19" i="1"/>
  <c r="L18" i="1"/>
  <c r="G19" i="1"/>
  <c r="H19" i="1"/>
  <c r="E19" i="1"/>
  <c r="F19" i="1"/>
  <c r="D19" i="1"/>
  <c r="B19" i="1"/>
  <c r="M19" i="1" s="1"/>
  <c r="A20" i="1" a="1"/>
  <c r="A20" i="1" s="1"/>
  <c r="C20" i="1" s="1"/>
  <c r="M6" i="1"/>
  <c r="L19" i="1" l="1"/>
  <c r="I20" i="1"/>
  <c r="J20" i="1"/>
  <c r="K20" i="1"/>
  <c r="G20" i="1"/>
  <c r="H20" i="1"/>
  <c r="E20" i="1"/>
  <c r="F20" i="1"/>
  <c r="D20" i="1"/>
  <c r="B20" i="1"/>
  <c r="M20" i="1" s="1"/>
  <c r="A21" i="1" a="1"/>
  <c r="A21" i="1" s="1"/>
  <c r="C21" i="1" s="1"/>
  <c r="L20" i="1" l="1"/>
  <c r="I21" i="1"/>
  <c r="K21" i="1"/>
  <c r="J21" i="1"/>
  <c r="G21" i="1"/>
  <c r="H21" i="1"/>
  <c r="E21" i="1"/>
  <c r="F21" i="1"/>
  <c r="D21" i="1"/>
  <c r="B21" i="1"/>
  <c r="M21" i="1" s="1"/>
  <c r="A22" i="1" a="1"/>
  <c r="A22" i="1" s="1"/>
  <c r="C22" i="1" s="1"/>
  <c r="L21" i="1" l="1"/>
  <c r="I22" i="1"/>
  <c r="J22" i="1"/>
  <c r="K22" i="1"/>
  <c r="G22" i="1"/>
  <c r="H22" i="1"/>
  <c r="E22" i="1"/>
  <c r="F22" i="1"/>
  <c r="D22" i="1"/>
  <c r="B22" i="1"/>
  <c r="M22" i="1" s="1"/>
  <c r="A23" i="1" a="1"/>
  <c r="A23" i="1" s="1"/>
  <c r="C23" i="1" s="1"/>
  <c r="I23" i="1" l="1"/>
  <c r="K23" i="1"/>
  <c r="J23" i="1"/>
  <c r="L22" i="1"/>
  <c r="G23" i="1"/>
  <c r="H23" i="1"/>
  <c r="E23" i="1"/>
  <c r="F23" i="1"/>
  <c r="D23" i="1"/>
  <c r="B23" i="1"/>
  <c r="M23" i="1" s="1"/>
  <c r="A24" i="1" a="1"/>
  <c r="A24" i="1" s="1"/>
  <c r="C24" i="1" s="1"/>
  <c r="L23" i="1" l="1"/>
  <c r="I24" i="1"/>
  <c r="J24" i="1"/>
  <c r="K24" i="1"/>
  <c r="G24" i="1"/>
  <c r="H24" i="1"/>
  <c r="E24" i="1"/>
  <c r="F24" i="1"/>
  <c r="D24" i="1"/>
  <c r="B24" i="1"/>
  <c r="M24" i="1" s="1"/>
  <c r="A25" i="1" a="1"/>
  <c r="A25" i="1" s="1"/>
  <c r="C25" i="1" s="1"/>
  <c r="L24" i="1" l="1"/>
  <c r="I25" i="1"/>
  <c r="K25" i="1"/>
  <c r="K26" i="1" s="1"/>
  <c r="J25" i="1"/>
  <c r="G25" i="1"/>
  <c r="H25" i="1"/>
  <c r="E25" i="1"/>
  <c r="F25" i="1"/>
  <c r="D25" i="1"/>
  <c r="B25" i="1"/>
  <c r="M25" i="1" l="1"/>
  <c r="L28" i="1" s="1"/>
  <c r="L25" i="1"/>
  <c r="L26" i="1" s="1"/>
  <c r="J26" i="1"/>
  <c r="J28" i="1" l="1"/>
  <c r="M28" i="1"/>
  <c r="K28" i="1"/>
  <c r="O28" i="1" l="1"/>
</calcChain>
</file>

<file path=xl/sharedStrings.xml><?xml version="1.0" encoding="utf-8"?>
<sst xmlns="http://schemas.openxmlformats.org/spreadsheetml/2006/main" count="80" uniqueCount="47">
  <si>
    <t xml:space="preserve">Integrated For Trainig </t>
  </si>
  <si>
    <t xml:space="preserve">Statement Date: </t>
  </si>
  <si>
    <t>KSA, Dammam</t>
  </si>
  <si>
    <t>Statement From:</t>
  </si>
  <si>
    <t>Statement To    :</t>
  </si>
  <si>
    <t>Dammam 31462 PO Box 7327</t>
  </si>
  <si>
    <t>Invoice</t>
  </si>
  <si>
    <t>Invoice Date</t>
  </si>
  <si>
    <t>Course Title</t>
  </si>
  <si>
    <t>Start Date</t>
  </si>
  <si>
    <t>End Date</t>
  </si>
  <si>
    <t>Total Part.</t>
  </si>
  <si>
    <t>City</t>
  </si>
  <si>
    <t>Company</t>
  </si>
  <si>
    <t>Total With VAT</t>
  </si>
  <si>
    <t>Dammam</t>
  </si>
  <si>
    <t>Aging</t>
  </si>
  <si>
    <t>Balance</t>
  </si>
  <si>
    <t>(1-30)</t>
  </si>
  <si>
    <t>(31-60)</t>
  </si>
  <si>
    <t>Date</t>
  </si>
  <si>
    <t>Total Inv.</t>
  </si>
  <si>
    <t>Paid</t>
  </si>
  <si>
    <t>Pre-requisite of Work Permit Certification</t>
  </si>
  <si>
    <t>Referance</t>
  </si>
  <si>
    <t>(61-90)</t>
  </si>
  <si>
    <t>90&gt;&gt;</t>
  </si>
  <si>
    <t xml:space="preserve">King Abdulaziz Road
 , Port Gate </t>
  </si>
  <si>
    <t>E-mail Registration</t>
  </si>
  <si>
    <t>Yahya Ahmed Raqwani Company Ltd.</t>
  </si>
  <si>
    <t>Fire Watch</t>
  </si>
  <si>
    <t>Scaffolding supervisor</t>
  </si>
  <si>
    <t>Confined Space Entry (CS)</t>
  </si>
  <si>
    <t>RCT-PO-2019-0794</t>
  </si>
  <si>
    <t>RCT-PO-2019-0830</t>
  </si>
  <si>
    <t>E-mail Registration Request</t>
  </si>
  <si>
    <t>mo</t>
  </si>
  <si>
    <t xml:space="preserve">Paid </t>
  </si>
  <si>
    <t>Payment Status</t>
  </si>
  <si>
    <t>Neft</t>
  </si>
  <si>
    <t>defi</t>
  </si>
  <si>
    <t>cut</t>
  </si>
  <si>
    <t>Client Name</t>
  </si>
  <si>
    <t xml:space="preserve">Invoice Status </t>
  </si>
  <si>
    <t>Invoice Satus</t>
  </si>
  <si>
    <t xml:space="preserve">Done </t>
  </si>
  <si>
    <t>Pending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</si>
</sst>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4" tint="-0.249977111117893"/>
      <name val="Cambria"/>
      <family val="2"/>
      <scheme val="major"/>
    </font>
    <font>
      <sz val="11"/>
      <color theme="1"/>
      <name val="Calibri"/>
      <family val="2"/>
      <scheme val="minor"/>
    </font>
    <font>
      <b/>
      <sz val="11"/>
      <color theme="1" tint="0.499984740745262"/>
      <name val="Arial"/>
      <family val="2"/>
    </font>
    <font>
      <b/>
      <sz val="10"/>
      <name val="Calibri"/>
      <family val="2"/>
    </font>
    <font>
      <sz val="8"/>
      <name val="Tahoma"/>
      <family val="2"/>
    </font>
    <font>
      <sz val="9"/>
      <name val="Calibri"/>
      <family val="2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7" tint="-0.499984740745262"/>
      <name val="Tahoma"/>
      <family val="2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</font>
    <font>
      <sz val="8"/>
      <color theme="1"/>
      <name val="Tahoma"/>
      <family val="2"/>
    </font>
    <font>
      <b/>
      <sz val="12"/>
      <color theme="1" tint="0.499984740745262"/>
      <name val="Calibri"/>
      <family val="2"/>
      <scheme val="minor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color indexed="23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/>
      <top style="thin">
        <color theme="3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/>
      <top style="thin">
        <color rgb="FF7F7F7F"/>
      </top>
      <bottom style="thin">
        <color theme="4" tint="0.39997558519241921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0" fontId="8" fillId="0" borderId="1" applyNumberFormat="0" applyFill="0" applyAlignment="0" applyProtection="0"/>
    <xf numFmtId="0" fontId="11" fillId="0" borderId="0" applyNumberFormat="0" applyFill="0" applyBorder="0" applyAlignment="0" applyProtection="0"/>
  </cellStyleXfs>
  <cellXfs count="98">
    <xf numFmtId="0" fontId="0" fillId="0" borderId="0" xfId="0"/>
    <xf numFmtId="14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43" fontId="0" fillId="0" borderId="0" xfId="3" applyFont="1"/>
    <xf numFmtId="43" fontId="0" fillId="0" borderId="0" xfId="3" applyFont="1" applyAlignment="1">
      <alignment horizontal="center"/>
    </xf>
    <xf numFmtId="49" fontId="2" fillId="2" borderId="0" xfId="1" applyNumberFormat="1" applyFont="1" applyFill="1" applyBorder="1" applyAlignment="1" applyProtection="1">
      <protection locked="0"/>
    </xf>
    <xf numFmtId="0" fontId="9" fillId="0" borderId="0" xfId="0" applyFont="1" applyBorder="1" applyAlignment="1">
      <alignment horizontal="left"/>
    </xf>
    <xf numFmtId="0" fontId="9" fillId="0" borderId="0" xfId="0" applyFont="1" applyBorder="1" applyAlignment="1">
      <alignment horizontal="center"/>
    </xf>
    <xf numFmtId="0" fontId="9" fillId="0" borderId="0" xfId="0" applyFont="1"/>
    <xf numFmtId="43" fontId="0" fillId="0" borderId="0" xfId="0" applyNumberFormat="1"/>
    <xf numFmtId="43" fontId="9" fillId="0" borderId="0" xfId="3" applyFont="1" applyAlignment="1">
      <alignment horizontal="center"/>
    </xf>
    <xf numFmtId="0" fontId="9" fillId="0" borderId="0" xfId="0" applyFont="1" applyAlignment="1">
      <alignment horizontal="center"/>
    </xf>
    <xf numFmtId="0" fontId="15" fillId="0" borderId="0" xfId="1" applyFont="1" applyBorder="1" applyAlignment="1" applyProtection="1">
      <alignment horizontal="left" indent="1"/>
      <protection locked="0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2" borderId="0" xfId="1" applyNumberFormat="1" applyFont="1" applyFill="1" applyBorder="1" applyAlignment="1" applyProtection="1">
      <alignment horizontal="left" vertical="center"/>
      <protection locked="0"/>
    </xf>
    <xf numFmtId="14" fontId="17" fillId="0" borderId="0" xfId="1" applyNumberFormat="1" applyFont="1" applyFill="1" applyBorder="1" applyAlignment="1" applyProtection="1">
      <alignment horizontal="right" vertical="center"/>
      <protection locked="0"/>
    </xf>
    <xf numFmtId="43" fontId="16" fillId="0" borderId="0" xfId="3" applyFont="1"/>
    <xf numFmtId="0" fontId="17" fillId="0" borderId="0" xfId="1" applyFont="1" applyFill="1" applyBorder="1" applyAlignment="1" applyProtection="1">
      <alignment horizontal="left" vertical="center"/>
      <protection locked="0"/>
    </xf>
    <xf numFmtId="14" fontId="18" fillId="0" borderId="0" xfId="1" applyNumberFormat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left" vertical="center"/>
      <protection locked="0"/>
    </xf>
    <xf numFmtId="1" fontId="15" fillId="0" borderId="0" xfId="1" applyNumberFormat="1" applyFont="1" applyBorder="1" applyAlignment="1" applyProtection="1">
      <alignment horizontal="left" indent="1"/>
      <protection locked="0"/>
    </xf>
    <xf numFmtId="0" fontId="18" fillId="2" borderId="0" xfId="1" applyNumberFormat="1" applyFont="1" applyFill="1" applyBorder="1" applyAlignment="1" applyProtection="1">
      <alignment horizontal="left"/>
      <protection locked="0"/>
    </xf>
    <xf numFmtId="0" fontId="18" fillId="2" borderId="0" xfId="1" applyNumberFormat="1" applyFont="1" applyFill="1" applyBorder="1" applyAlignment="1" applyProtection="1">
      <alignment horizontal="center"/>
      <protection locked="0"/>
    </xf>
    <xf numFmtId="14" fontId="14" fillId="2" borderId="0" xfId="1" applyNumberFormat="1" applyFont="1" applyFill="1" applyBorder="1" applyAlignment="1" applyProtection="1">
      <alignment horizontal="left" indent="1"/>
      <protection locked="0"/>
    </xf>
    <xf numFmtId="1" fontId="15" fillId="0" borderId="0" xfId="1" applyNumberFormat="1" applyFont="1" applyBorder="1" applyAlignment="1" applyProtection="1">
      <alignment horizontal="left"/>
      <protection locked="0"/>
    </xf>
    <xf numFmtId="0" fontId="0" fillId="0" borderId="0" xfId="0" applyBorder="1"/>
    <xf numFmtId="43" fontId="0" fillId="0" borderId="0" xfId="3" applyFont="1" applyBorder="1"/>
    <xf numFmtId="0" fontId="13" fillId="0" borderId="7" xfId="2" applyNumberFormat="1" applyFont="1" applyBorder="1" applyAlignment="1">
      <alignment horizontal="left"/>
    </xf>
    <xf numFmtId="0" fontId="0" fillId="0" borderId="6" xfId="0" applyFont="1" applyBorder="1"/>
    <xf numFmtId="14" fontId="0" fillId="0" borderId="6" xfId="0" applyNumberFormat="1" applyFont="1" applyBorder="1"/>
    <xf numFmtId="43" fontId="0" fillId="0" borderId="6" xfId="3" applyNumberFormat="1" applyFont="1" applyBorder="1"/>
    <xf numFmtId="0" fontId="12" fillId="4" borderId="5" xfId="0" applyFont="1" applyFill="1" applyBorder="1" applyAlignment="1">
      <alignment horizontal="left" vertical="top" wrapText="1"/>
    </xf>
    <xf numFmtId="14" fontId="12" fillId="4" borderId="5" xfId="0" applyNumberFormat="1" applyFont="1" applyFill="1" applyBorder="1" applyAlignment="1">
      <alignment horizontal="left" vertical="top" wrapText="1"/>
    </xf>
    <xf numFmtId="0" fontId="21" fillId="4" borderId="5" xfId="0" applyFont="1" applyFill="1" applyBorder="1"/>
    <xf numFmtId="43" fontId="12" fillId="4" borderId="5" xfId="3" applyNumberFormat="1" applyFont="1" applyFill="1" applyBorder="1" applyAlignment="1">
      <alignment horizontal="left" vertical="top" wrapText="1"/>
    </xf>
    <xf numFmtId="43" fontId="21" fillId="4" borderId="5" xfId="3" applyNumberFormat="1" applyFont="1" applyFill="1" applyBorder="1"/>
    <xf numFmtId="43" fontId="21" fillId="4" borderId="4" xfId="3" applyNumberFormat="1" applyFont="1" applyFill="1" applyBorder="1" applyAlignment="1">
      <alignment horizontal="center"/>
    </xf>
    <xf numFmtId="1" fontId="7" fillId="3" borderId="5" xfId="3" applyNumberFormat="1" applyFont="1" applyFill="1" applyBorder="1" applyAlignment="1">
      <alignment horizontal="left" vertical="top" wrapText="1"/>
    </xf>
    <xf numFmtId="14" fontId="7" fillId="3" borderId="5" xfId="3" applyNumberFormat="1" applyFont="1" applyFill="1" applyBorder="1" applyAlignment="1">
      <alignment horizontal="left" vertical="top" wrapText="1"/>
    </xf>
    <xf numFmtId="43" fontId="7" fillId="3" borderId="5" xfId="3" applyNumberFormat="1" applyFont="1" applyFill="1" applyBorder="1" applyAlignment="1">
      <alignment horizontal="left" vertical="top" wrapText="1"/>
    </xf>
    <xf numFmtId="43" fontId="0" fillId="3" borderId="4" xfId="3" applyNumberFormat="1" applyFont="1" applyFill="1" applyBorder="1"/>
    <xf numFmtId="0" fontId="5" fillId="4" borderId="3" xfId="0" applyFont="1" applyFill="1" applyBorder="1" applyAlignment="1">
      <alignment horizontal="left" vertical="top" wrapText="1"/>
    </xf>
    <xf numFmtId="43" fontId="12" fillId="4" borderId="3" xfId="0" applyNumberFormat="1" applyFont="1" applyFill="1" applyBorder="1" applyAlignment="1">
      <alignment horizontal="left" vertical="top" wrapText="1"/>
    </xf>
    <xf numFmtId="0" fontId="12" fillId="4" borderId="2" xfId="0" applyFont="1" applyFill="1" applyBorder="1" applyAlignment="1">
      <alignment horizontal="left" vertical="top" wrapText="1"/>
    </xf>
    <xf numFmtId="14" fontId="10" fillId="5" borderId="9" xfId="4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left" vertical="center"/>
    </xf>
    <xf numFmtId="14" fontId="10" fillId="5" borderId="9" xfId="4" applyNumberFormat="1" applyFont="1" applyFill="1" applyBorder="1" applyAlignment="1">
      <alignment vertical="center"/>
    </xf>
    <xf numFmtId="43" fontId="10" fillId="5" borderId="9" xfId="3" applyNumberFormat="1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right" vertical="center"/>
    </xf>
    <xf numFmtId="43" fontId="10" fillId="5" borderId="9" xfId="3" applyNumberFormat="1" applyFont="1" applyFill="1" applyBorder="1" applyAlignment="1">
      <alignment vertical="center"/>
    </xf>
    <xf numFmtId="0" fontId="21" fillId="5" borderId="10" xfId="0" applyFont="1" applyFill="1" applyBorder="1"/>
    <xf numFmtId="14" fontId="6" fillId="3" borderId="9" xfId="5" applyNumberFormat="1" applyFont="1" applyFill="1" applyBorder="1" applyAlignment="1">
      <alignment horizontal="center"/>
    </xf>
    <xf numFmtId="0" fontId="6" fillId="3" borderId="9" xfId="2" applyNumberFormat="1" applyFont="1" applyFill="1" applyBorder="1" applyAlignment="1"/>
    <xf numFmtId="14" fontId="6" fillId="3" borderId="9" xfId="2" applyNumberFormat="1" applyFont="1" applyFill="1" applyBorder="1" applyAlignment="1">
      <alignment horizontal="right"/>
    </xf>
    <xf numFmtId="43" fontId="6" fillId="3" borderId="9" xfId="3" applyNumberFormat="1" applyFont="1" applyFill="1" applyBorder="1" applyAlignment="1">
      <alignment horizontal="center" vertical="center"/>
    </xf>
    <xf numFmtId="0" fontId="6" fillId="3" borderId="9" xfId="2" applyNumberFormat="1" applyFont="1" applyFill="1" applyBorder="1" applyAlignment="1">
      <alignment horizontal="left"/>
    </xf>
    <xf numFmtId="43" fontId="6" fillId="3" borderId="9" xfId="3" applyNumberFormat="1" applyFont="1" applyFill="1" applyBorder="1" applyAlignment="1">
      <alignment horizontal="right"/>
    </xf>
    <xf numFmtId="43" fontId="6" fillId="3" borderId="9" xfId="3" applyNumberFormat="1" applyFont="1" applyFill="1" applyBorder="1" applyAlignment="1"/>
    <xf numFmtId="0" fontId="13" fillId="6" borderId="10" xfId="2" applyNumberFormat="1" applyFont="1" applyFill="1" applyBorder="1" applyAlignment="1">
      <alignment horizontal="left"/>
    </xf>
    <xf numFmtId="14" fontId="6" fillId="0" borderId="9" xfId="5" applyNumberFormat="1" applyFont="1" applyBorder="1" applyAlignment="1">
      <alignment horizontal="center"/>
    </xf>
    <xf numFmtId="0" fontId="6" fillId="0" borderId="9" xfId="2" applyNumberFormat="1" applyFont="1" applyBorder="1" applyAlignment="1"/>
    <xf numFmtId="14" fontId="6" fillId="0" borderId="9" xfId="2" applyNumberFormat="1" applyFont="1" applyBorder="1" applyAlignment="1">
      <alignment horizontal="right"/>
    </xf>
    <xf numFmtId="43" fontId="6" fillId="0" borderId="9" xfId="3" applyNumberFormat="1" applyFont="1" applyBorder="1" applyAlignment="1">
      <alignment horizontal="center" vertical="center"/>
    </xf>
    <xf numFmtId="0" fontId="6" fillId="0" borderId="9" xfId="2" applyNumberFormat="1" applyFont="1" applyBorder="1" applyAlignment="1">
      <alignment horizontal="left"/>
    </xf>
    <xf numFmtId="43" fontId="6" fillId="0" borderId="9" xfId="3" applyNumberFormat="1" applyFont="1" applyBorder="1" applyAlignment="1">
      <alignment horizontal="right"/>
    </xf>
    <xf numFmtId="0" fontId="13" fillId="0" borderId="10" xfId="2" applyNumberFormat="1" applyFont="1" applyBorder="1" applyAlignment="1">
      <alignment horizontal="left"/>
    </xf>
    <xf numFmtId="14" fontId="6" fillId="0" borderId="12" xfId="5" applyNumberFormat="1" applyFont="1" applyBorder="1" applyAlignment="1">
      <alignment horizontal="center"/>
    </xf>
    <xf numFmtId="0" fontId="0" fillId="0" borderId="12" xfId="0" applyFont="1" applyBorder="1"/>
    <xf numFmtId="14" fontId="0" fillId="0" borderId="12" xfId="0" applyNumberFormat="1" applyFont="1" applyBorder="1"/>
    <xf numFmtId="43" fontId="6" fillId="0" borderId="12" xfId="3" applyNumberFormat="1" applyFont="1" applyBorder="1" applyAlignment="1">
      <alignment horizontal="center" vertical="center"/>
    </xf>
    <xf numFmtId="43" fontId="6" fillId="0" borderId="12" xfId="3" applyNumberFormat="1" applyFont="1" applyBorder="1" applyAlignment="1">
      <alignment horizontal="right"/>
    </xf>
    <xf numFmtId="0" fontId="0" fillId="6" borderId="9" xfId="0" applyFont="1" applyFill="1" applyBorder="1"/>
    <xf numFmtId="14" fontId="0" fillId="6" borderId="9" xfId="0" applyNumberFormat="1" applyFont="1" applyFill="1" applyBorder="1"/>
    <xf numFmtId="0" fontId="0" fillId="0" borderId="9" xfId="0" applyFont="1" applyBorder="1"/>
    <xf numFmtId="14" fontId="0" fillId="0" borderId="9" xfId="0" applyNumberFormat="1" applyFont="1" applyBorder="1"/>
    <xf numFmtId="14" fontId="6" fillId="0" borderId="13" xfId="5" applyNumberFormat="1" applyFont="1" applyBorder="1" applyAlignment="1">
      <alignment horizontal="center"/>
    </xf>
    <xf numFmtId="43" fontId="6" fillId="0" borderId="13" xfId="3" applyNumberFormat="1" applyFont="1" applyBorder="1" applyAlignment="1">
      <alignment horizontal="center" vertical="center"/>
    </xf>
    <xf numFmtId="43" fontId="6" fillId="0" borderId="13" xfId="3" applyNumberFormat="1" applyFont="1" applyBorder="1" applyAlignment="1">
      <alignment horizontal="right"/>
    </xf>
    <xf numFmtId="1" fontId="0" fillId="0" borderId="0" xfId="0" applyNumberFormat="1" applyAlignment="1"/>
    <xf numFmtId="1" fontId="14" fillId="2" borderId="0" xfId="1" applyNumberFormat="1" applyFont="1" applyFill="1" applyBorder="1" applyAlignment="1" applyProtection="1">
      <alignment horizontal="left"/>
      <protection locked="0"/>
    </xf>
    <xf numFmtId="1" fontId="12" fillId="4" borderId="5" xfId="0" applyNumberFormat="1" applyFont="1" applyFill="1" applyBorder="1" applyAlignment="1">
      <alignment horizontal="left" vertical="top" wrapText="1"/>
    </xf>
    <xf numFmtId="1" fontId="5" fillId="4" borderId="3" xfId="0" applyNumberFormat="1" applyFont="1" applyFill="1" applyBorder="1" applyAlignment="1">
      <alignment horizontal="left" vertical="top" wrapText="1"/>
    </xf>
    <xf numFmtId="1" fontId="0" fillId="0" borderId="0" xfId="0" applyNumberFormat="1" applyBorder="1" applyAlignment="1"/>
    <xf numFmtId="1" fontId="4" fillId="2" borderId="0" xfId="1" applyNumberFormat="1" applyFont="1" applyFill="1" applyBorder="1" applyAlignment="1" applyProtection="1">
      <alignment horizontal="left"/>
      <protection locked="0"/>
    </xf>
    <xf numFmtId="1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indent="1"/>
      <protection locked="0"/>
    </xf>
    <xf numFmtId="0" fontId="14" fillId="2" borderId="0" xfId="1" applyNumberFormat="1" applyFont="1" applyFill="1" applyBorder="1" applyAlignment="1" applyProtection="1">
      <alignment horizontal="left" wrapText="1" indent="1"/>
      <protection locked="0"/>
    </xf>
    <xf numFmtId="0" fontId="6" fillId="3" borderId="8" xfId="5" applyFont="1" applyFill="1" applyBorder="1" applyAlignment="1">
      <alignment horizontal="center" vertical="center"/>
    </xf>
    <xf numFmtId="0" fontId="6" fillId="0" borderId="11" xfId="5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4" fillId="2" borderId="0" xfId="1" applyNumberFormat="1" applyFont="1" applyFill="1" applyBorder="1" applyAlignment="1" applyProtection="1">
      <alignment horizontal="center" vertical="center"/>
      <protection locked="0"/>
    </xf>
    <xf numFmtId="0" fontId="20" fillId="7" borderId="0" xfId="0" applyFont="1" applyFill="1"/>
    <xf numFmtId="0" fontId="0" fillId="7" borderId="0" xfId="0" applyFill="1" applyAlignment="1">
      <alignment horizontal="center"/>
    </xf>
  </cellXfs>
  <cellStyles count="6">
    <cellStyle name="Comma" xfId="3" builtinId="3"/>
    <cellStyle name="Heading 1 2" xfId="4" xr:uid="{00000000-0005-0000-0000-000001000000}"/>
    <cellStyle name="Hyperlink" xfId="5" builtinId="8"/>
    <cellStyle name="Normal" xfId="0" builtinId="0"/>
    <cellStyle name="Normal 2" xfId="1" xr:uid="{00000000-0005-0000-0000-000004000000}"/>
    <cellStyle name="Normal 2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552450</xdr:colOff>
      <xdr:row>7</xdr:row>
      <xdr:rowOff>85725</xdr:rowOff>
    </xdr:from>
    <xdr:to>
      <xdr:col>4</xdr:col>
      <xdr:colOff>114300</xdr:colOff>
      <xdr:row>14</xdr:row>
      <xdr:rowOff>95250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2A3A412C-30B8-4491-918D-C05F82A2011C}"/>
            </a:ext>
          </a:extLst>
        </xdr:cNvPr>
        <xdr:cNvCxnSpPr/>
      </xdr:nvCxnSpPr>
      <xdr:spPr>
        <a:xfrm flipH="1" flipV="1">
          <a:off x="552450" y="1419225"/>
          <a:ext cx="5324475" cy="13430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3028950</xdr:colOff>
      <xdr:row>12</xdr:row>
      <xdr:rowOff>171450</xdr:rowOff>
    </xdr:from>
    <xdr:to>
      <xdr:col>5</xdr:col>
      <xdr:colOff>247650</xdr:colOff>
      <xdr:row>15</xdr:row>
      <xdr:rowOff>152400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734CD54-4975-469B-852F-1B5360056AE8}"/>
            </a:ext>
          </a:extLst>
        </xdr:cNvPr>
        <xdr:cNvSpPr/>
      </xdr:nvSpPr>
      <xdr:spPr>
        <a:xfrm>
          <a:off x="4505325" y="2457450"/>
          <a:ext cx="2190750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الفاتورة</a:t>
          </a:r>
          <a:r>
            <a:rPr lang="ar-SA" sz="1100" baseline="0"/>
            <a:t> مكررة مرتين فالرجاء ادخالها فى كشف الحساب مرتين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36"/>
  <sheetViews>
    <sheetView showGridLines="0" tabSelected="1" zoomScaleNormal="100" zoomScaleSheetLayoutView="130" workbookViewId="0">
      <selection activeCell="A36" sqref="A29:XFD36"/>
    </sheetView>
  </sheetViews>
  <sheetFormatPr defaultRowHeight="15" outlineLevelCol="2" x14ac:dyDescent="0.25"/>
  <cols>
    <col min="1" max="1" width="8.7109375" style="83" customWidth="1"/>
    <col min="2" max="2" width="9.5703125" customWidth="1"/>
    <col min="3" max="3" width="22.7109375" customWidth="1"/>
    <col min="4" max="4" width="43.140625" style="4" bestFit="1" customWidth="1" outlineLevel="2"/>
    <col min="5" max="5" width="13.85546875" style="4" bestFit="1" customWidth="1" outlineLevel="2"/>
    <col min="6" max="6" width="12.140625" style="3" customWidth="1" outlineLevel="2"/>
    <col min="7" max="7" width="9.140625" customWidth="1" outlineLevel="2"/>
    <col min="8" max="8" width="11.42578125" customWidth="1" outlineLevel="2"/>
    <col min="9" max="9" width="13" customWidth="1" outlineLevel="1"/>
    <col min="10" max="10" width="9.85546875" style="6" bestFit="1" customWidth="1"/>
    <col min="11" max="11" width="11.85546875" customWidth="1"/>
    <col min="12" max="12" width="11.5703125" bestFit="1" customWidth="1"/>
    <col min="13" max="13" width="12.42578125" style="6" bestFit="1" customWidth="1"/>
  </cols>
  <sheetData>
    <row r="2" spans="1:15" hidden="1" x14ac:dyDescent="0.25"/>
    <row r="3" spans="1:15" hidden="1" x14ac:dyDescent="0.25"/>
    <row r="4" spans="1:15" s="18" customFormat="1" ht="19.899999999999999" hidden="1" customHeight="1" x14ac:dyDescent="0.25">
      <c r="A4" s="90" t="s">
        <v>0</v>
      </c>
      <c r="B4" s="90"/>
      <c r="C4" s="90"/>
      <c r="D4" s="15"/>
      <c r="E4" s="16"/>
      <c r="F4" s="17"/>
      <c r="K4" s="19" t="s">
        <v>1</v>
      </c>
      <c r="M4" s="20">
        <f ca="1">NOW()</f>
        <v>43902.455165162035</v>
      </c>
    </row>
    <row r="5" spans="1:15" s="18" customFormat="1" ht="19.899999999999999" hidden="1" customHeight="1" x14ac:dyDescent="0.25">
      <c r="A5" s="90" t="s">
        <v>2</v>
      </c>
      <c r="B5" s="90"/>
      <c r="C5" s="90"/>
      <c r="D5" s="15"/>
      <c r="E5" s="16"/>
      <c r="F5" s="17"/>
      <c r="K5" s="22" t="s">
        <v>3</v>
      </c>
      <c r="M5" s="23">
        <v>43466</v>
      </c>
    </row>
    <row r="6" spans="1:15" s="18" customFormat="1" ht="34.9" hidden="1" customHeight="1" x14ac:dyDescent="0.25">
      <c r="A6" s="91" t="s">
        <v>27</v>
      </c>
      <c r="B6" s="90"/>
      <c r="C6" s="90"/>
      <c r="D6" s="15"/>
      <c r="E6" s="16"/>
      <c r="F6" s="17"/>
      <c r="K6" s="24" t="s">
        <v>4</v>
      </c>
      <c r="M6" s="23">
        <f ca="1">M4</f>
        <v>43902.455165162035</v>
      </c>
    </row>
    <row r="7" spans="1:15" s="18" customFormat="1" ht="19.899999999999999" hidden="1" customHeight="1" x14ac:dyDescent="0.25">
      <c r="A7" s="89">
        <v>966920007771</v>
      </c>
      <c r="B7" s="89"/>
      <c r="C7" s="89"/>
      <c r="D7" s="25"/>
      <c r="E7" s="26"/>
      <c r="F7" s="27"/>
      <c r="J7" s="21"/>
      <c r="M7" s="21"/>
    </row>
    <row r="8" spans="1:15" s="18" customFormat="1" ht="19.899999999999999" hidden="1" customHeight="1" x14ac:dyDescent="0.25">
      <c r="A8" s="84" t="s">
        <v>5</v>
      </c>
      <c r="B8" s="28"/>
      <c r="C8" s="28"/>
      <c r="D8" s="29"/>
      <c r="E8" s="26"/>
      <c r="F8" s="27"/>
      <c r="J8" s="21"/>
      <c r="M8" s="21"/>
      <c r="O8" s="18" t="s">
        <v>36</v>
      </c>
    </row>
    <row r="9" spans="1:15" ht="51" hidden="1" customHeight="1" x14ac:dyDescent="0.25">
      <c r="B9" s="8"/>
      <c r="C9" s="8"/>
      <c r="E9" s="8"/>
      <c r="F9" s="8"/>
      <c r="G9" s="30"/>
      <c r="H9" s="30"/>
      <c r="I9" s="30"/>
      <c r="J9" s="31"/>
    </row>
    <row r="10" spans="1:15" ht="18.75" x14ac:dyDescent="0.3">
      <c r="C10" t="s">
        <v>42</v>
      </c>
      <c r="D10" s="96" t="s">
        <v>39</v>
      </c>
      <c r="E10" s="4" t="s">
        <v>43</v>
      </c>
      <c r="F10" s="97" t="s">
        <v>45</v>
      </c>
    </row>
    <row r="12" spans="1:15" ht="15" customHeight="1" x14ac:dyDescent="0.25">
      <c r="A12" s="85" t="s">
        <v>6</v>
      </c>
      <c r="B12" s="37" t="s">
        <v>20</v>
      </c>
      <c r="C12" s="36" t="s">
        <v>8</v>
      </c>
      <c r="D12" s="36" t="s">
        <v>9</v>
      </c>
      <c r="E12" s="36" t="s">
        <v>10</v>
      </c>
      <c r="F12" s="36" t="s">
        <v>11</v>
      </c>
      <c r="G12" s="36" t="s">
        <v>12</v>
      </c>
      <c r="H12" s="38" t="s">
        <v>13</v>
      </c>
      <c r="I12" s="38" t="s">
        <v>24</v>
      </c>
      <c r="J12" s="39" t="s">
        <v>21</v>
      </c>
      <c r="K12" s="40" t="s">
        <v>22</v>
      </c>
      <c r="L12" s="40" t="s">
        <v>17</v>
      </c>
      <c r="M12" s="41" t="s">
        <v>16</v>
      </c>
    </row>
    <row r="13" spans="1:15" ht="17.25" customHeight="1" x14ac:dyDescent="0.25">
      <c r="A13" s="42">
        <f t="array" aca="1" ref="A13" ca="1">IF(INDEX(Invoice,MATCH($D$10,Company,0)*MATCH(0,COUNTIF($A$12:A12,Invoice),0))=0,"",INDEX(Invoice,MATCH($D$10,Company,0)*MATCH(0,COUNTIF($A$12:A12,Invoice),0)))</f>
        <v>19476</v>
      </c>
      <c r="B13" s="43">
        <f ca="1">IFERROR(VLOOKUP($A13,Log!$A$2:$L$900,2,0),"")</f>
        <v>43741</v>
      </c>
      <c r="C13" s="43" t="str">
        <f ca="1">IFERROR(VLOOKUP($A13,Log!$A$2:$L$900,3,0),"")</f>
        <v>Pre-requisite of Work Permit Certification</v>
      </c>
      <c r="D13" s="43">
        <f ca="1">IFERROR(VLOOKUP($A13,Log!$A$2:$L$900,4,0),"")</f>
        <v>43724</v>
      </c>
      <c r="E13" s="43">
        <f ca="1">IFERROR(VLOOKUP($A13,Log!$A$2:$L$900,5,0),"")</f>
        <v>43727</v>
      </c>
      <c r="F13" s="42">
        <f ca="1">IFERROR(VLOOKUP($A13,Log!$A$2:$L$900,6,0),"")</f>
        <v>4</v>
      </c>
      <c r="G13" s="42" t="str">
        <f ca="1">IFERROR(VLOOKUP($A13,Log!$A$2:$L$900,7,0),"")</f>
        <v>Dammam</v>
      </c>
      <c r="H13" s="42" t="str">
        <f ca="1">IFERROR(VLOOKUP($A13,Log!$A$2:$L$900,8,0),"")</f>
        <v>Neft</v>
      </c>
      <c r="I13" s="42" t="str">
        <f ca="1">IFERROR(VLOOKUP($A13,Log!$A$2:$L$900,11,0),"")</f>
        <v>pending</v>
      </c>
      <c r="J13" s="44">
        <f ca="1">IFERROR(VLOOKUP($A13,Log!$A$2:$L$900,9,0),"")</f>
        <v>4200</v>
      </c>
      <c r="K13" s="44">
        <f ca="1">IFERROR(VLOOKUP($A13,Log!$A$2:$L$900,10,0),"")</f>
        <v>0</v>
      </c>
      <c r="L13" s="44">
        <f ca="1">IFERROR(('1'!$J13-'1'!$K13)," ")</f>
        <v>4200</v>
      </c>
      <c r="M13" s="45">
        <f ca="1">IFERROR((NOW()-$B13)," ")</f>
        <v>161.45516504629632</v>
      </c>
    </row>
    <row r="14" spans="1:15" ht="15" customHeight="1" x14ac:dyDescent="0.25">
      <c r="A14" s="42">
        <f t="array" aca="1" ref="A14" ca="1">IF(INDEX(Invoice,MATCH($D$10,Company,0)*MATCH(0,COUNTIF($A$12:A13,Invoice),0))=0,"",INDEX(Invoice,MATCH($D$10,Company,0)*MATCH(0,COUNTIF($A$12:A13,Invoice),0)))</f>
        <v>19495</v>
      </c>
      <c r="B14" s="43">
        <f ca="1">IFERROR(VLOOKUP($A14,Log!$A$2:$L$900,2,0),"")</f>
        <v>43751</v>
      </c>
      <c r="C14" s="43" t="str">
        <f ca="1">IFERROR(VLOOKUP($A14,Log!$A$2:$L$900,3,0),"")</f>
        <v>Scaffolding supervisor</v>
      </c>
      <c r="D14" s="43">
        <f ca="1">IFERROR(VLOOKUP($A14,Log!$A$2:$L$900,4,0),"")</f>
        <v>43744</v>
      </c>
      <c r="E14" s="43">
        <f ca="1">IFERROR(VLOOKUP($A14,Log!$A$2:$L$900,5,0),"")</f>
        <v>43746</v>
      </c>
      <c r="F14" s="42">
        <f ca="1">IFERROR(VLOOKUP($A14,Log!$A$2:$L$900,6,0),"")</f>
        <v>6</v>
      </c>
      <c r="G14" s="42" t="str">
        <f ca="1">IFERROR(VLOOKUP($A14,Log!$A$2:$L$900,7,0),"")</f>
        <v>Dammam</v>
      </c>
      <c r="H14" s="42" t="str">
        <f ca="1">IFERROR(VLOOKUP($A14,Log!$A$2:$L$900,8,0),"")</f>
        <v>Neft</v>
      </c>
      <c r="I14" s="42" t="str">
        <f ca="1">IFERROR(VLOOKUP($A14,Log!$A$2:$L$900,11,0),"")</f>
        <v>pending</v>
      </c>
      <c r="J14" s="44">
        <f ca="1">IFERROR(VLOOKUP($A14,Log!$A$2:$L$900,9,0),"")</f>
        <v>13125</v>
      </c>
      <c r="K14" s="44">
        <f ca="1">IFERROR(VLOOKUP($A14,Log!$A$2:$L$900,10,0),"")</f>
        <v>0</v>
      </c>
      <c r="L14" s="44">
        <f ca="1">IFERROR(('1'!$J14-'1'!$K14)," ")</f>
        <v>13125</v>
      </c>
      <c r="M14" s="45">
        <f t="shared" ref="M14:M25" ca="1" si="0">IFERROR((NOW()-$B14)," ")</f>
        <v>151.45516504629632</v>
      </c>
    </row>
    <row r="15" spans="1:15" ht="15" customHeight="1" x14ac:dyDescent="0.25">
      <c r="A15" s="42">
        <f t="array" aca="1" ref="A15" ca="1">IF(INDEX(Invoice,MATCH($D$10,Company,0)*MATCH(0,COUNTIF($A$12:A14,Invoice),0))=0,"",INDEX(Invoice,MATCH($D$10,Company,0)*MATCH(0,COUNTIF($A$12:A14,Invoice),0)))</f>
        <v>19510</v>
      </c>
      <c r="B15" s="43">
        <f ca="1">IFERROR(VLOOKUP($A15,Log!$A$2:$L$900,2,0),"")</f>
        <v>43754</v>
      </c>
      <c r="C15" s="43" t="str">
        <f ca="1">IFERROR(VLOOKUP($A15,Log!$A$2:$L$900,3,0),"")</f>
        <v>Fire Watch</v>
      </c>
      <c r="D15" s="43">
        <f ca="1">IFERROR(VLOOKUP($A15,Log!$A$2:$L$900,4,0),"")</f>
        <v>43751</v>
      </c>
      <c r="E15" s="43">
        <f ca="1">IFERROR(VLOOKUP($A15,Log!$A$2:$L$900,5,0),"")</f>
        <v>43751</v>
      </c>
      <c r="F15" s="42">
        <f ca="1">IFERROR(VLOOKUP($A15,Log!$A$2:$L$900,6,0),"")</f>
        <v>12</v>
      </c>
      <c r="G15" s="42" t="str">
        <f ca="1">IFERROR(VLOOKUP($A15,Log!$A$2:$L$900,7,0),"")</f>
        <v>Dammam</v>
      </c>
      <c r="H15" s="42" t="str">
        <f ca="1">IFERROR(VLOOKUP($A15,Log!$A$2:$L$900,8,0),"")</f>
        <v>Neft</v>
      </c>
      <c r="I15" s="42" t="str">
        <f ca="1">IFERROR(VLOOKUP($A15,Log!$A$2:$L$900,11,0),"")</f>
        <v>pending</v>
      </c>
      <c r="J15" s="44">
        <f ca="1">IFERROR(VLOOKUP($A15,Log!$A$2:$L$900,9,0),"")</f>
        <v>4410</v>
      </c>
      <c r="K15" s="44">
        <f ca="1">IFERROR(VLOOKUP($A15,Log!$A$2:$L$900,10,0),"")</f>
        <v>0</v>
      </c>
      <c r="L15" s="44">
        <f ca="1">IFERROR(('1'!$J15-'1'!$K15)," ")</f>
        <v>4410</v>
      </c>
      <c r="M15" s="45">
        <f t="shared" ca="1" si="0"/>
        <v>148.45516504629632</v>
      </c>
    </row>
    <row r="16" spans="1:15" ht="15" customHeight="1" x14ac:dyDescent="0.25">
      <c r="A16" s="42">
        <f t="array" aca="1" ref="A16" ca="1">IF(INDEX(Invoice,MATCH($D$10,Company,0)*MATCH(0,COUNTIF($A$12:A15,Invoice),0))=0,"",INDEX(Invoice,MATCH($D$10,Company,0)*MATCH(0,COUNTIF($A$12:A15,Invoice),0)))</f>
        <v>19531</v>
      </c>
      <c r="B16" s="43">
        <f ca="1">IFERROR(VLOOKUP($A16,Log!$A$2:$L$900,2,0),"")</f>
        <v>43761</v>
      </c>
      <c r="C16" s="43" t="str">
        <f ca="1">IFERROR(VLOOKUP($A16,Log!$A$2:$L$900,3,0),"")</f>
        <v>Confined Space Entry (CS)</v>
      </c>
      <c r="D16" s="43">
        <f ca="1">IFERROR(VLOOKUP($A16,Log!$A$2:$L$900,4,0),"")</f>
        <v>43751</v>
      </c>
      <c r="E16" s="43">
        <f ca="1">IFERROR(VLOOKUP($A16,Log!$A$2:$L$900,5,0),"")</f>
        <v>43751</v>
      </c>
      <c r="F16" s="42">
        <f ca="1">IFERROR(VLOOKUP($A16,Log!$A$2:$L$900,6,0),"")</f>
        <v>6</v>
      </c>
      <c r="G16" s="42" t="str">
        <f ca="1">IFERROR(VLOOKUP($A16,Log!$A$2:$L$900,7,0),"")</f>
        <v>Dammam</v>
      </c>
      <c r="H16" s="42" t="str">
        <f ca="1">IFERROR(VLOOKUP($A16,Log!$A$2:$L$900,8,0),"")</f>
        <v>Yahya Ahmed Raqwani Company Ltd.</v>
      </c>
      <c r="I16" s="42" t="str">
        <f ca="1">IFERROR(VLOOKUP($A16,Log!$A$2:$L$900,11,0),"")</f>
        <v>pending</v>
      </c>
      <c r="J16" s="44">
        <f ca="1">IFERROR(VLOOKUP($A16,Log!$A$2:$L$900,9,0),"")</f>
        <v>2205</v>
      </c>
      <c r="K16" s="44">
        <f ca="1">IFERROR(VLOOKUP($A16,Log!$A$2:$L$900,10,0),"")</f>
        <v>0</v>
      </c>
      <c r="L16" s="44">
        <f ca="1">IFERROR(('1'!$J16-'1'!$K16)," ")</f>
        <v>2205</v>
      </c>
      <c r="M16" s="45">
        <f t="shared" ca="1" si="0"/>
        <v>141.45516504629632</v>
      </c>
    </row>
    <row r="17" spans="1:15" ht="15" customHeight="1" x14ac:dyDescent="0.25">
      <c r="A17" s="42">
        <f t="array" aca="1" ref="A17" ca="1">IF(INDEX(Invoice,MATCH($D$10,Company,0)*MATCH(0,COUNTIF($A$12:A16,Invoice),0))=0,"",INDEX(Invoice,MATCH($D$10,Company,0)*MATCH(0,COUNTIF($A$12:A16,Invoice),0)))</f>
        <v>19575</v>
      </c>
      <c r="B17" s="43">
        <f ca="1">IFERROR(VLOOKUP($A17,Log!$A$2:$L$900,2,0),"")</f>
        <v>43779</v>
      </c>
      <c r="C17" s="43" t="str">
        <f ca="1">IFERROR(VLOOKUP($A17,Log!$A$2:$L$900,3,0),"")</f>
        <v>Pre-requisite of Work Permit Certification</v>
      </c>
      <c r="D17" s="43">
        <f ca="1">IFERROR(VLOOKUP($A17,Log!$A$2:$L$900,4,0),"")</f>
        <v>43766</v>
      </c>
      <c r="E17" s="43">
        <f ca="1">IFERROR(VLOOKUP($A17,Log!$A$2:$L$900,5,0),"")</f>
        <v>43769</v>
      </c>
      <c r="F17" s="42">
        <f ca="1">IFERROR(VLOOKUP($A17,Log!$A$2:$L$900,6,0),"")</f>
        <v>8</v>
      </c>
      <c r="G17" s="42" t="str">
        <f ca="1">IFERROR(VLOOKUP($A17,Log!$A$2:$L$900,7,0),"")</f>
        <v>Dammam</v>
      </c>
      <c r="H17" s="42" t="str">
        <f ca="1">IFERROR(VLOOKUP($A17,Log!$A$2:$L$900,8,0),"")</f>
        <v>Neft</v>
      </c>
      <c r="I17" s="42" t="str">
        <f ca="1">IFERROR(VLOOKUP($A17,Log!$A$2:$L$900,11,0),"")</f>
        <v>pending</v>
      </c>
      <c r="J17" s="44">
        <f ca="1">IFERROR(VLOOKUP($A17,Log!$A$2:$L$900,9,0),"")</f>
        <v>9450</v>
      </c>
      <c r="K17" s="44">
        <f ca="1">IFERROR(VLOOKUP($A17,Log!$A$2:$L$900,10,0),"")</f>
        <v>1050</v>
      </c>
      <c r="L17" s="44">
        <f ca="1">IFERROR(('1'!$J17-'1'!$K17)," ")</f>
        <v>8400</v>
      </c>
      <c r="M17" s="45">
        <f t="shared" ca="1" si="0"/>
        <v>123.45516504629632</v>
      </c>
    </row>
    <row r="18" spans="1:15" ht="15" customHeight="1" x14ac:dyDescent="0.25">
      <c r="A18" s="42">
        <f t="array" aca="1" ref="A18" ca="1">IF(INDEX(Invoice,MATCH($D$10,Company,0)*MATCH(0,COUNTIF($A$12:A17,Invoice),0))=0,"",INDEX(Invoice,MATCH($D$10,Company,0)*MATCH(0,COUNTIF($A$12:A17,Invoice),0)))</f>
        <v>19702</v>
      </c>
      <c r="B18" s="43">
        <f ca="1">IFERROR(VLOOKUP($A18,Log!$A$2:$L$900,2,0),"")</f>
        <v>43822</v>
      </c>
      <c r="C18" s="43" t="str">
        <f ca="1">IFERROR(VLOOKUP($A18,Log!$A$2:$L$900,3,0),"")</f>
        <v>Pre-requisite of Work Permit Certification</v>
      </c>
      <c r="D18" s="43">
        <f ca="1">IFERROR(VLOOKUP($A18,Log!$A$2:$L$900,4,0),"")</f>
        <v>43808</v>
      </c>
      <c r="E18" s="43">
        <f ca="1">IFERROR(VLOOKUP($A18,Log!$A$2:$L$900,5,0),"")</f>
        <v>43811</v>
      </c>
      <c r="F18" s="42">
        <f ca="1">IFERROR(VLOOKUP($A18,Log!$A$2:$L$900,6,0),"")</f>
        <v>3</v>
      </c>
      <c r="G18" s="42" t="str">
        <f ca="1">IFERROR(VLOOKUP($A18,Log!$A$2:$L$900,7,0),"")</f>
        <v>Dammam</v>
      </c>
      <c r="H18" s="42" t="str">
        <f ca="1">IFERROR(VLOOKUP($A18,Log!$A$2:$L$900,8,0),"")</f>
        <v>Neft</v>
      </c>
      <c r="I18" s="42" t="str">
        <f ca="1">IFERROR(VLOOKUP($A18,Log!$A$2:$L$900,11,0),"")</f>
        <v>pending</v>
      </c>
      <c r="J18" s="44">
        <f ca="1">IFERROR(VLOOKUP($A18,Log!$A$2:$L$900,9,0),"")</f>
        <v>3150</v>
      </c>
      <c r="K18" s="44">
        <f ca="1">IFERROR(VLOOKUP($A18,Log!$A$2:$L$900,10,0),"")</f>
        <v>1050</v>
      </c>
      <c r="L18" s="44">
        <f ca="1">IFERROR(('1'!$J18-'1'!$K18)," ")</f>
        <v>2100</v>
      </c>
      <c r="M18" s="45">
        <f t="shared" ca="1" si="0"/>
        <v>80.455165162034973</v>
      </c>
    </row>
    <row r="19" spans="1:15" ht="15" customHeight="1" x14ac:dyDescent="0.25">
      <c r="A19" s="42">
        <f t="array" aca="1" ref="A19" ca="1">IF(INDEX(Invoice,MATCH($D$10,Company,0)*MATCH(0,COUNTIF($A$12:A18,Invoice),0))=0,"",INDEX(Invoice,MATCH($D$10,Company,0)*MATCH(0,COUNTIF($A$12:A18,Invoice),0)))</f>
        <v>20037</v>
      </c>
      <c r="B19" s="43">
        <f ca="1">IFERROR(VLOOKUP($A19,Log!$A$2:$L$900,2,0),"")</f>
        <v>43865</v>
      </c>
      <c r="C19" s="43" t="str">
        <f ca="1">IFERROR(VLOOKUP($A19,Log!$A$2:$L$900,3,0),"")</f>
        <v>Pre-requisite of Work Permit Certification</v>
      </c>
      <c r="D19" s="43">
        <f ca="1">IFERROR(VLOOKUP($A19,Log!$A$2:$L$900,4,0),"")</f>
        <v>43843</v>
      </c>
      <c r="E19" s="43">
        <f ca="1">IFERROR(VLOOKUP($A19,Log!$A$2:$L$900,5,0),"")</f>
        <v>43845</v>
      </c>
      <c r="F19" s="42">
        <f ca="1">IFERROR(VLOOKUP($A19,Log!$A$2:$L$900,6,0),"")</f>
        <v>1</v>
      </c>
      <c r="G19" s="42" t="str">
        <f ca="1">IFERROR(VLOOKUP($A19,Log!$A$2:$L$900,7,0),"")</f>
        <v>Dammam</v>
      </c>
      <c r="H19" s="42" t="str">
        <f ca="1">IFERROR(VLOOKUP($A19,Log!$A$2:$L$900,8,0),"")</f>
        <v>Yahya Ahmed Raqwani Company Ltd.</v>
      </c>
      <c r="I19" s="42" t="str">
        <f ca="1">IFERROR(VLOOKUP($A19,Log!$A$2:$L$900,11,0),"")</f>
        <v>Done</v>
      </c>
      <c r="J19" s="44">
        <f ca="1">IFERROR(VLOOKUP($A19,Log!$A$2:$L$900,9,0),"")</f>
        <v>1050</v>
      </c>
      <c r="K19" s="44">
        <f ca="1">IFERROR(VLOOKUP($A19,Log!$A$2:$L$900,10,0),"")</f>
        <v>1050</v>
      </c>
      <c r="L19" s="44">
        <f ca="1">IFERROR(('1'!$J19-'1'!$K19)," ")</f>
        <v>0</v>
      </c>
      <c r="M19" s="45">
        <f t="shared" ca="1" si="0"/>
        <v>37.455165162034973</v>
      </c>
    </row>
    <row r="20" spans="1:15" x14ac:dyDescent="0.25">
      <c r="A20" s="42" t="str">
        <f t="array" aca="1" ref="A20" ca="1">IF(INDEX(Invoice,MATCH($D$10,Company,0)*MATCH(0,COUNTIF($A$12:A19,Invoice),0))=0,"",INDEX(Invoice,MATCH($D$10,Company,0)*MATCH(0,COUNTIF($A$12:A19,Invoice),0)))</f>
        <v/>
      </c>
      <c r="B20" s="43" t="str">
        <f ca="1">IFERROR(VLOOKUP($A20,Log!$A$2:$L$900,2,0),"")</f>
        <v/>
      </c>
      <c r="C20" s="43" t="str">
        <f ca="1">IFERROR(VLOOKUP($A20,Log!$A$2:$L$900,3,0),"")</f>
        <v/>
      </c>
      <c r="D20" s="43" t="str">
        <f ca="1">IFERROR(VLOOKUP($A20,Log!$A$2:$L$900,4,0),"")</f>
        <v/>
      </c>
      <c r="E20" s="43" t="str">
        <f ca="1">IFERROR(VLOOKUP($A20,Log!$A$2:$L$900,5,0),"")</f>
        <v/>
      </c>
      <c r="F20" s="42" t="str">
        <f ca="1">IFERROR(VLOOKUP($A20,Log!$A$2:$L$900,6,0),"")</f>
        <v/>
      </c>
      <c r="G20" s="42" t="str">
        <f ca="1">IFERROR(VLOOKUP($A20,Log!$A$2:$L$900,7,0),"")</f>
        <v/>
      </c>
      <c r="H20" s="42" t="str">
        <f ca="1">IFERROR(VLOOKUP($A20,Log!$A$2:$L$900,8,0),"")</f>
        <v/>
      </c>
      <c r="I20" s="42" t="str">
        <f ca="1">IFERROR(VLOOKUP($A20,Log!$A$2:$L$900,11,0),"")</f>
        <v/>
      </c>
      <c r="J20" s="44" t="str">
        <f ca="1">IFERROR(VLOOKUP($A20,Log!$A$2:$L$900,9,0),"")</f>
        <v/>
      </c>
      <c r="K20" s="44" t="str">
        <f ca="1">IFERROR(VLOOKUP($A20,Log!$A$2:$L$900,10,0),"")</f>
        <v/>
      </c>
      <c r="L20" s="44" t="str">
        <f ca="1">IFERROR(('1'!$J20-'1'!$K20)," ")</f>
        <v xml:space="preserve"> </v>
      </c>
      <c r="M20" s="45" t="str">
        <f t="shared" ca="1" si="0"/>
        <v xml:space="preserve"> </v>
      </c>
    </row>
    <row r="21" spans="1:15" ht="15" customHeight="1" x14ac:dyDescent="0.25">
      <c r="A21" s="42" t="str">
        <f t="array" aca="1" ref="A21" ca="1">IF(INDEX(Invoice,MATCH($D$10,Company,0)*MATCH(0,COUNTIF($A$12:A20,Invoice),0))=0,"",INDEX(Invoice,MATCH($D$10,Company,0)*MATCH(0,COUNTIF($A$12:A20,Invoice),0)))</f>
        <v/>
      </c>
      <c r="B21" s="43" t="str">
        <f ca="1">IFERROR(VLOOKUP($A21,Log!$A$2:$L$900,2,0),"")</f>
        <v/>
      </c>
      <c r="C21" s="43" t="str">
        <f ca="1">IFERROR(VLOOKUP($A21,Log!$A$2:$L$900,3,0),"")</f>
        <v/>
      </c>
      <c r="D21" s="43" t="str">
        <f ca="1">IFERROR(VLOOKUP($A21,Log!$A$2:$L$900,4,0),"")</f>
        <v/>
      </c>
      <c r="E21" s="43" t="str">
        <f ca="1">IFERROR(VLOOKUP($A21,Log!$A$2:$L$900,5,0),"")</f>
        <v/>
      </c>
      <c r="F21" s="42" t="str">
        <f ca="1">IFERROR(VLOOKUP($A21,Log!$A$2:$L$900,6,0),"")</f>
        <v/>
      </c>
      <c r="G21" s="42" t="str">
        <f ca="1">IFERROR(VLOOKUP($A21,Log!$A$2:$L$900,7,0),"")</f>
        <v/>
      </c>
      <c r="H21" s="42" t="str">
        <f ca="1">IFERROR(VLOOKUP($A21,Log!$A$2:$L$900,8,0),"")</f>
        <v/>
      </c>
      <c r="I21" s="42" t="str">
        <f ca="1">IFERROR(VLOOKUP($A21,Log!$A$2:$L$900,11,0),"")</f>
        <v/>
      </c>
      <c r="J21" s="44" t="str">
        <f ca="1">IFERROR(VLOOKUP($A21,Log!$A$2:$L$900,9,0),"")</f>
        <v/>
      </c>
      <c r="K21" s="44" t="str">
        <f ca="1">IFERROR(VLOOKUP($A21,Log!$A$2:$L$900,10,0),"")</f>
        <v/>
      </c>
      <c r="L21" s="44" t="str">
        <f ca="1">IFERROR(('1'!$J21-'1'!$K21)," ")</f>
        <v xml:space="preserve"> </v>
      </c>
      <c r="M21" s="45" t="str">
        <f t="shared" ca="1" si="0"/>
        <v xml:space="preserve"> </v>
      </c>
    </row>
    <row r="22" spans="1:15" ht="15" customHeight="1" x14ac:dyDescent="0.25">
      <c r="A22" s="42" t="str">
        <f t="array" aca="1" ref="A22" ca="1">IF(INDEX(Invoice,MATCH($D$10,Company,0)*MATCH(0,COUNTIF($A$12:A21,Invoice),0))=0,"",INDEX(Invoice,MATCH($D$10,Company,0)*MATCH(0,COUNTIF($A$12:A21,Invoice),0)))</f>
        <v/>
      </c>
      <c r="B22" s="43" t="str">
        <f ca="1">IFERROR(VLOOKUP($A22,Log!$A$2:$L$900,2,0),"")</f>
        <v/>
      </c>
      <c r="C22" s="43" t="str">
        <f ca="1">IFERROR(VLOOKUP($A22,Log!$A$2:$L$900,3,0),"")</f>
        <v/>
      </c>
      <c r="D22" s="43" t="str">
        <f ca="1">IFERROR(VLOOKUP($A22,Log!$A$2:$L$900,4,0),"")</f>
        <v/>
      </c>
      <c r="E22" s="43" t="str">
        <f ca="1">IFERROR(VLOOKUP($A22,Log!$A$2:$L$900,5,0),"")</f>
        <v/>
      </c>
      <c r="F22" s="42" t="str">
        <f ca="1">IFERROR(VLOOKUP($A22,Log!$A$2:$L$900,6,0),"")</f>
        <v/>
      </c>
      <c r="G22" s="42" t="str">
        <f ca="1">IFERROR(VLOOKUP($A22,Log!$A$2:$L$900,7,0),"")</f>
        <v/>
      </c>
      <c r="H22" s="42" t="str">
        <f ca="1">IFERROR(VLOOKUP($A22,Log!$A$2:$L$900,8,0),"")</f>
        <v/>
      </c>
      <c r="I22" s="42" t="str">
        <f ca="1">IFERROR(VLOOKUP($A22,Log!$A$2:$L$900,11,0),"")</f>
        <v/>
      </c>
      <c r="J22" s="44" t="str">
        <f ca="1">IFERROR(VLOOKUP($A22,Log!$A$2:$L$900,9,0),"")</f>
        <v/>
      </c>
      <c r="K22" s="44" t="str">
        <f ca="1">IFERROR(VLOOKUP($A22,Log!$A$2:$L$900,10,0),"")</f>
        <v/>
      </c>
      <c r="L22" s="44" t="str">
        <f ca="1">IFERROR(('1'!$J22-'1'!$K22)," ")</f>
        <v xml:space="preserve"> </v>
      </c>
      <c r="M22" s="45" t="str">
        <f t="shared" ca="1" si="0"/>
        <v xml:space="preserve"> </v>
      </c>
    </row>
    <row r="23" spans="1:15" ht="15" customHeight="1" x14ac:dyDescent="0.25">
      <c r="A23" s="42" t="str">
        <f t="array" aca="1" ref="A23" ca="1">IF(INDEX(Invoice,MATCH($D$10,Company,0)*MATCH(0,COUNTIF($A$12:A22,Invoice),0))=0,"",INDEX(Invoice,MATCH($D$10,Company,0)*MATCH(0,COUNTIF($A$12:A22,Invoice),0)))</f>
        <v/>
      </c>
      <c r="B23" s="43" t="str">
        <f ca="1">IFERROR(VLOOKUP($A23,Log!$A$2:$L$900,2,0),"")</f>
        <v/>
      </c>
      <c r="C23" s="43" t="str">
        <f ca="1">IFERROR(VLOOKUP($A23,Log!$A$2:$L$900,3,0),"")</f>
        <v/>
      </c>
      <c r="D23" s="43" t="str">
        <f ca="1">IFERROR(VLOOKUP($A23,Log!$A$2:$L$900,4,0),"")</f>
        <v/>
      </c>
      <c r="E23" s="43" t="str">
        <f ca="1">IFERROR(VLOOKUP($A23,Log!$A$2:$L$900,5,0),"")</f>
        <v/>
      </c>
      <c r="F23" s="42" t="str">
        <f ca="1">IFERROR(VLOOKUP($A23,Log!$A$2:$L$900,6,0),"")</f>
        <v/>
      </c>
      <c r="G23" s="42" t="str">
        <f ca="1">IFERROR(VLOOKUP($A23,Log!$A$2:$L$900,7,0),"")</f>
        <v/>
      </c>
      <c r="H23" s="42" t="str">
        <f ca="1">IFERROR(VLOOKUP($A23,Log!$A$2:$L$900,8,0),"")</f>
        <v/>
      </c>
      <c r="I23" s="42" t="str">
        <f ca="1">IFERROR(VLOOKUP($A23,Log!$A$2:$L$900,11,0),"")</f>
        <v/>
      </c>
      <c r="J23" s="44" t="str">
        <f ca="1">IFERROR(VLOOKUP($A23,Log!$A$2:$L$900,9,0),"")</f>
        <v/>
      </c>
      <c r="K23" s="44" t="str">
        <f ca="1">IFERROR(VLOOKUP($A23,Log!$A$2:$L$900,10,0),"")</f>
        <v/>
      </c>
      <c r="L23" s="44" t="str">
        <f ca="1">IFERROR(('1'!$J23-'1'!$K23)," ")</f>
        <v xml:space="preserve"> </v>
      </c>
      <c r="M23" s="45" t="str">
        <f t="shared" ca="1" si="0"/>
        <v xml:space="preserve"> </v>
      </c>
    </row>
    <row r="24" spans="1:15" ht="15" customHeight="1" x14ac:dyDescent="0.25">
      <c r="A24" s="42" t="str">
        <f t="array" aca="1" ref="A24" ca="1">IF(INDEX(Invoice,MATCH($D$10,Company,0)*MATCH(0,COUNTIF($A$12:A23,Invoice),0))=0,"",INDEX(Invoice,MATCH($D$10,Company,0)*MATCH(0,COUNTIF($A$12:A23,Invoice),0)))</f>
        <v/>
      </c>
      <c r="B24" s="43" t="str">
        <f ca="1">IFERROR(VLOOKUP($A24,Log!$A$2:$L$900,2,0),"")</f>
        <v/>
      </c>
      <c r="C24" s="43" t="str">
        <f ca="1">IFERROR(VLOOKUP($A24,Log!$A$2:$L$900,3,0),"")</f>
        <v/>
      </c>
      <c r="D24" s="43" t="str">
        <f ca="1">IFERROR(VLOOKUP($A24,Log!$A$2:$L$900,4,0),"")</f>
        <v/>
      </c>
      <c r="E24" s="43" t="str">
        <f ca="1">IFERROR(VLOOKUP($A24,Log!$A$2:$L$900,5,0),"")</f>
        <v/>
      </c>
      <c r="F24" s="42" t="str">
        <f ca="1">IFERROR(VLOOKUP($A24,Log!$A$2:$L$900,6,0),"")</f>
        <v/>
      </c>
      <c r="G24" s="42" t="str">
        <f ca="1">IFERROR(VLOOKUP($A24,Log!$A$2:$L$900,7,0),"")</f>
        <v/>
      </c>
      <c r="H24" s="42" t="str">
        <f ca="1">IFERROR(VLOOKUP($A24,Log!$A$2:$L$900,8,0),"")</f>
        <v/>
      </c>
      <c r="I24" s="42" t="str">
        <f ca="1">IFERROR(VLOOKUP($A24,Log!$A$2:$L$900,11,0),"")</f>
        <v/>
      </c>
      <c r="J24" s="44" t="str">
        <f ca="1">IFERROR(VLOOKUP($A24,Log!$A$2:$L$900,9,0),"")</f>
        <v/>
      </c>
      <c r="K24" s="44" t="str">
        <f ca="1">IFERROR(VLOOKUP($A24,Log!$A$2:$L$900,10,0),"")</f>
        <v/>
      </c>
      <c r="L24" s="44" t="str">
        <f ca="1">IFERROR(('1'!$J24-'1'!$K24)," ")</f>
        <v xml:space="preserve"> </v>
      </c>
      <c r="M24" s="45" t="str">
        <f t="shared" ca="1" si="0"/>
        <v xml:space="preserve"> </v>
      </c>
    </row>
    <row r="25" spans="1:15" ht="15" customHeight="1" x14ac:dyDescent="0.25">
      <c r="A25" s="42" t="str">
        <f t="array" aca="1" ref="A25" ca="1">IF(INDEX(Invoice,MATCH($D$10,Company,0)*MATCH(0,COUNTIF($A$12:A24,Invoice),0))=0,"",INDEX(Invoice,MATCH($D$10,Company,0)*MATCH(0,COUNTIF($A$12:A24,Invoice),0)))</f>
        <v/>
      </c>
      <c r="B25" s="43" t="str">
        <f ca="1">IFERROR(VLOOKUP($A25,Log!$A$2:$L$900,2,0),"")</f>
        <v/>
      </c>
      <c r="C25" s="43" t="str">
        <f ca="1">IFERROR(VLOOKUP($A25,Log!$A$2:$L$900,3,0),"")</f>
        <v/>
      </c>
      <c r="D25" s="43" t="str">
        <f ca="1">IFERROR(VLOOKUP($A25,Log!$A$2:$L$900,4,0),"")</f>
        <v/>
      </c>
      <c r="E25" s="43" t="str">
        <f ca="1">IFERROR(VLOOKUP($A25,Log!$A$2:$L$900,5,0),"")</f>
        <v/>
      </c>
      <c r="F25" s="42" t="str">
        <f ca="1">IFERROR(VLOOKUP($A25,Log!$A$2:$L$900,6,0),"")</f>
        <v/>
      </c>
      <c r="G25" s="42" t="str">
        <f ca="1">IFERROR(VLOOKUP($A25,Log!$A$2:$L$900,7,0),"")</f>
        <v/>
      </c>
      <c r="H25" s="42" t="str">
        <f ca="1">IFERROR(VLOOKUP($A25,Log!$A$2:$L$900,8,0),"")</f>
        <v/>
      </c>
      <c r="I25" s="42" t="str">
        <f ca="1">IFERROR(VLOOKUP($A25,Log!$A$2:$L$900,11,0),"")</f>
        <v/>
      </c>
      <c r="J25" s="44" t="str">
        <f ca="1">IFERROR(VLOOKUP($A25,Log!$A$2:$L$900,9,0),"")</f>
        <v/>
      </c>
      <c r="K25" s="44" t="str">
        <f ca="1">IFERROR(VLOOKUP($A25,Log!$A$2:$L$900,10,0),"")</f>
        <v/>
      </c>
      <c r="L25" s="44" t="str">
        <f ca="1">IFERROR(('1'!$J25-'1'!$K25)," ")</f>
        <v xml:space="preserve"> </v>
      </c>
      <c r="M25" s="45" t="str">
        <f t="shared" ca="1" si="0"/>
        <v xml:space="preserve"> </v>
      </c>
    </row>
    <row r="26" spans="1:15" ht="15" customHeight="1" x14ac:dyDescent="0.25">
      <c r="A26" s="86"/>
      <c r="B26" s="46"/>
      <c r="C26" s="46"/>
      <c r="D26" s="46"/>
      <c r="E26" s="46"/>
      <c r="F26" s="46"/>
      <c r="G26" s="46"/>
      <c r="H26" s="46"/>
      <c r="I26" s="46"/>
      <c r="J26" s="47">
        <f ca="1">SUBTOTAL(109,'1'!$J$13:$J$25)</f>
        <v>37590</v>
      </c>
      <c r="K26" s="47">
        <f ca="1">SUBTOTAL(109,'1'!$K$13:$K$25)</f>
        <v>3150</v>
      </c>
      <c r="L26" s="47">
        <f ca="1">SUM('1'!$L$13:$L$25)</f>
        <v>34440</v>
      </c>
      <c r="M26" s="48"/>
    </row>
    <row r="27" spans="1:15" x14ac:dyDescent="0.25">
      <c r="A27" s="87"/>
      <c r="B27" s="1"/>
      <c r="C27" s="1"/>
      <c r="D27" s="9"/>
      <c r="E27" s="9"/>
      <c r="F27" s="10"/>
      <c r="G27" s="11"/>
      <c r="H27" s="11"/>
      <c r="I27" s="11"/>
      <c r="J27" s="13" t="s">
        <v>18</v>
      </c>
      <c r="K27" s="14" t="s">
        <v>19</v>
      </c>
      <c r="L27" s="14" t="s">
        <v>25</v>
      </c>
      <c r="M27" s="13" t="s">
        <v>26</v>
      </c>
    </row>
    <row r="28" spans="1:15" x14ac:dyDescent="0.25">
      <c r="A28" s="87"/>
      <c r="B28" s="1"/>
      <c r="C28" s="1"/>
      <c r="D28" s="5"/>
      <c r="E28" s="5"/>
      <c r="F28" s="2"/>
      <c r="J28" s="7">
        <f ca="1">SUMIFS('1'!$L$12:$L$26,'1'!$M$12:$M$26,"&gt;="&amp;0,'1'!$M$12:$M$26,"&lt;="&amp;30.9999)</f>
        <v>0</v>
      </c>
      <c r="K28" s="7">
        <f ca="1">SUMIFS('1'!$L$12:$L$26,'1'!$M$12:$M$26,"&gt;="&amp;31,'1'!$M$12:$M$26,"&lt;="&amp;60)</f>
        <v>0</v>
      </c>
      <c r="L28" s="7">
        <f ca="1">SUMIFS('1'!$L$12:$L$26,'1'!$M$12:$M$26,"&gt;="&amp;61,'1'!$M$12:$M$26,"&lt;="&amp;90)</f>
        <v>2100</v>
      </c>
      <c r="M28" s="7">
        <f ca="1">SUMIFS('1'!$L$12:$L$26,'1'!$M$12:$M$26,"&gt;="&amp;91)</f>
        <v>32340</v>
      </c>
      <c r="O28" s="12">
        <f ca="1">'1'!$L$26-J28-K28-L28-M28</f>
        <v>0</v>
      </c>
    </row>
    <row r="29" spans="1:15" x14ac:dyDescent="0.25">
      <c r="A29" s="88"/>
    </row>
    <row r="30" spans="1:15" x14ac:dyDescent="0.25">
      <c r="A30" s="88"/>
    </row>
    <row r="31" spans="1:15" x14ac:dyDescent="0.25">
      <c r="A31" s="88"/>
    </row>
    <row r="32" spans="1:15" x14ac:dyDescent="0.25">
      <c r="A32" s="88"/>
    </row>
    <row r="33" spans="1:1" x14ac:dyDescent="0.25">
      <c r="A33" s="88"/>
    </row>
    <row r="34" spans="1:1" x14ac:dyDescent="0.25">
      <c r="A34" s="88"/>
    </row>
    <row r="35" spans="1:1" x14ac:dyDescent="0.25">
      <c r="A35" s="88"/>
    </row>
    <row r="36" spans="1:1" x14ac:dyDescent="0.25">
      <c r="A36" s="88"/>
    </row>
  </sheetData>
  <mergeCells count="4">
    <mergeCell ref="A7:C7"/>
    <mergeCell ref="A4:C4"/>
    <mergeCell ref="A5:C5"/>
    <mergeCell ref="A6:C6"/>
  </mergeCells>
  <pageMargins left="0.4" right="0.3" top="0.75" bottom="0.75" header="0.3" footer="0.3"/>
  <pageSetup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61D2BD9-9316-401D-BB0D-AB39696B2338}">
          <x14:formula1>
            <xm:f>Defenition!$C$1:$C$3</xm:f>
          </x14:formula1>
          <xm:sqref>D10</xm:sqref>
        </x14:dataValidation>
        <x14:dataValidation type="list" allowBlank="1" showInputMessage="1" showErrorMessage="1" xr:uid="{738551ED-7C18-4239-A418-969E8965D5B2}">
          <x14:formula1>
            <xm:f>Defenition!$E$2:$E$3</xm:f>
          </x14:formula1>
          <xm:sqref>F10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6"/>
  <sheetViews>
    <sheetView workbookViewId="0">
      <selection activeCell="G15" sqref="G15"/>
    </sheetView>
  </sheetViews>
  <sheetFormatPr defaultRowHeight="15" x14ac:dyDescent="0.25"/>
  <cols>
    <col min="1" max="1" width="8.7109375" style="94" customWidth="1"/>
    <col min="2" max="2" width="13.42578125" customWidth="1"/>
    <col min="3" max="3" width="52.7109375" customWidth="1"/>
    <col min="4" max="4" width="11.5703125" customWidth="1"/>
    <col min="5" max="5" width="10.28515625" customWidth="1"/>
    <col min="6" max="6" width="12.42578125" customWidth="1"/>
    <col min="8" max="8" width="34.28515625" bestFit="1" customWidth="1"/>
    <col min="9" max="9" width="15.85546875" customWidth="1"/>
    <col min="10" max="11" width="16.85546875" style="6" customWidth="1"/>
    <col min="12" max="12" width="23.7109375" customWidth="1"/>
  </cols>
  <sheetData>
    <row r="1" spans="1:12" x14ac:dyDescent="0.25">
      <c r="A1" s="94" t="s">
        <v>6</v>
      </c>
      <c r="B1" s="49" t="s">
        <v>7</v>
      </c>
      <c r="C1" s="50" t="s">
        <v>8</v>
      </c>
      <c r="D1" s="51" t="s">
        <v>9</v>
      </c>
      <c r="E1" s="51" t="s">
        <v>10</v>
      </c>
      <c r="F1" s="52" t="s">
        <v>11</v>
      </c>
      <c r="G1" s="53" t="s">
        <v>12</v>
      </c>
      <c r="H1" s="50" t="s">
        <v>13</v>
      </c>
      <c r="I1" s="52" t="s">
        <v>14</v>
      </c>
      <c r="J1" s="54" t="s">
        <v>37</v>
      </c>
      <c r="K1" s="54" t="s">
        <v>38</v>
      </c>
      <c r="L1" s="55" t="s">
        <v>24</v>
      </c>
    </row>
    <row r="2" spans="1:12" x14ac:dyDescent="0.25">
      <c r="A2" s="94">
        <v>19476</v>
      </c>
      <c r="B2" s="56">
        <v>43741</v>
      </c>
      <c r="C2" s="57" t="s">
        <v>23</v>
      </c>
      <c r="D2" s="58">
        <v>43724</v>
      </c>
      <c r="E2" s="58">
        <v>43727</v>
      </c>
      <c r="F2" s="59">
        <v>4</v>
      </c>
      <c r="G2" s="60" t="s">
        <v>15</v>
      </c>
      <c r="H2" s="57" t="s">
        <v>39</v>
      </c>
      <c r="I2" s="61">
        <v>4200</v>
      </c>
      <c r="J2" s="62"/>
      <c r="K2" s="62" t="str">
        <f>IF(I2-J2=0,"Done","pending")</f>
        <v>pending</v>
      </c>
      <c r="L2" s="63" t="s">
        <v>28</v>
      </c>
    </row>
    <row r="3" spans="1:12" x14ac:dyDescent="0.25">
      <c r="A3" s="94">
        <v>19495</v>
      </c>
      <c r="B3" s="64">
        <v>43751</v>
      </c>
      <c r="C3" s="65" t="s">
        <v>31</v>
      </c>
      <c r="D3" s="66">
        <v>43744</v>
      </c>
      <c r="E3" s="66">
        <v>43746</v>
      </c>
      <c r="F3" s="67">
        <v>6</v>
      </c>
      <c r="G3" s="68" t="s">
        <v>15</v>
      </c>
      <c r="H3" s="57" t="s">
        <v>39</v>
      </c>
      <c r="I3" s="69">
        <v>13125</v>
      </c>
      <c r="J3" s="62"/>
      <c r="K3" s="62" t="str">
        <f>IF(I3-J3=0,"Done","pending")</f>
        <v>pending</v>
      </c>
      <c r="L3" s="70" t="s">
        <v>33</v>
      </c>
    </row>
    <row r="4" spans="1:12" x14ac:dyDescent="0.25">
      <c r="A4" s="92">
        <v>19510</v>
      </c>
      <c r="B4" s="56">
        <v>43754</v>
      </c>
      <c r="C4" s="57" t="s">
        <v>30</v>
      </c>
      <c r="D4" s="58">
        <v>43751</v>
      </c>
      <c r="E4" s="58">
        <v>43751</v>
      </c>
      <c r="F4" s="59">
        <v>12</v>
      </c>
      <c r="G4" s="60" t="s">
        <v>15</v>
      </c>
      <c r="H4" s="57" t="s">
        <v>39</v>
      </c>
      <c r="I4" s="61">
        <v>4410</v>
      </c>
      <c r="J4" s="62"/>
      <c r="K4" s="62" t="str">
        <f>IF(I4-J4=0,"Done","pending")</f>
        <v>pending</v>
      </c>
      <c r="L4" s="63" t="s">
        <v>34</v>
      </c>
    </row>
    <row r="5" spans="1:12" x14ac:dyDescent="0.25">
      <c r="A5" s="93">
        <v>19531</v>
      </c>
      <c r="B5" s="71">
        <v>43761</v>
      </c>
      <c r="C5" s="72" t="s">
        <v>32</v>
      </c>
      <c r="D5" s="73">
        <v>43751</v>
      </c>
      <c r="E5" s="73">
        <v>43751</v>
      </c>
      <c r="F5" s="74">
        <v>6</v>
      </c>
      <c r="G5" s="72" t="s">
        <v>15</v>
      </c>
      <c r="H5" s="72" t="s">
        <v>29</v>
      </c>
      <c r="I5" s="75">
        <v>2205</v>
      </c>
      <c r="J5" s="62">
        <v>0</v>
      </c>
      <c r="K5" s="62" t="str">
        <f>IF(I5-J5=0,"Done","pending")</f>
        <v>pending</v>
      </c>
      <c r="L5" s="70" t="s">
        <v>34</v>
      </c>
    </row>
    <row r="6" spans="1:12" x14ac:dyDescent="0.25">
      <c r="A6" s="92">
        <v>19575</v>
      </c>
      <c r="B6" s="56">
        <v>43779</v>
      </c>
      <c r="C6" s="76" t="s">
        <v>23</v>
      </c>
      <c r="D6" s="77">
        <v>43766</v>
      </c>
      <c r="E6" s="77">
        <v>43769</v>
      </c>
      <c r="F6" s="59">
        <v>8</v>
      </c>
      <c r="G6" s="76" t="s">
        <v>15</v>
      </c>
      <c r="H6" s="57" t="s">
        <v>39</v>
      </c>
      <c r="I6" s="61">
        <v>9450</v>
      </c>
      <c r="J6" s="62">
        <v>1050</v>
      </c>
      <c r="K6" s="62" t="str">
        <f>IF(I6-J6=0,"Done","pending")</f>
        <v>pending</v>
      </c>
      <c r="L6" s="63" t="s">
        <v>28</v>
      </c>
    </row>
    <row r="7" spans="1:12" x14ac:dyDescent="0.25">
      <c r="A7" s="93">
        <v>19702</v>
      </c>
      <c r="B7" s="71">
        <v>43822</v>
      </c>
      <c r="C7" s="78" t="s">
        <v>23</v>
      </c>
      <c r="D7" s="79">
        <v>43808</v>
      </c>
      <c r="E7" s="79">
        <v>43811</v>
      </c>
      <c r="F7" s="74">
        <v>3</v>
      </c>
      <c r="G7" s="78" t="s">
        <v>15</v>
      </c>
      <c r="H7" s="57" t="s">
        <v>39</v>
      </c>
      <c r="I7" s="75">
        <v>3150</v>
      </c>
      <c r="J7" s="62">
        <v>1050</v>
      </c>
      <c r="K7" s="62" t="str">
        <f>IF(I7-J7=0,"Done","pending")</f>
        <v>pending</v>
      </c>
      <c r="L7" s="70" t="s">
        <v>28</v>
      </c>
    </row>
    <row r="8" spans="1:12" x14ac:dyDescent="0.25">
      <c r="A8" s="94">
        <v>20037</v>
      </c>
      <c r="B8" s="56">
        <v>43865</v>
      </c>
      <c r="C8" s="76" t="s">
        <v>23</v>
      </c>
      <c r="D8" s="77">
        <v>43843</v>
      </c>
      <c r="E8" s="77">
        <v>43845</v>
      </c>
      <c r="F8" s="59">
        <v>1</v>
      </c>
      <c r="G8" s="76" t="s">
        <v>15</v>
      </c>
      <c r="H8" s="76" t="s">
        <v>29</v>
      </c>
      <c r="I8" s="61">
        <v>1050</v>
      </c>
      <c r="J8" s="62">
        <v>1050</v>
      </c>
      <c r="K8" s="62" t="str">
        <f>IF(I8-J8=0,"Done","pending")</f>
        <v>Done</v>
      </c>
      <c r="L8" s="63" t="s">
        <v>35</v>
      </c>
    </row>
    <row r="9" spans="1:12" x14ac:dyDescent="0.25">
      <c r="A9" s="94">
        <v>20037</v>
      </c>
      <c r="B9" s="80">
        <v>43865</v>
      </c>
      <c r="C9" s="33" t="s">
        <v>23</v>
      </c>
      <c r="D9" s="34">
        <v>43857</v>
      </c>
      <c r="E9" s="34">
        <v>43860</v>
      </c>
      <c r="F9" s="81">
        <v>3</v>
      </c>
      <c r="G9" s="33" t="s">
        <v>15</v>
      </c>
      <c r="H9" s="33" t="s">
        <v>29</v>
      </c>
      <c r="I9" s="82">
        <v>3150</v>
      </c>
      <c r="J9" s="35">
        <v>0</v>
      </c>
      <c r="K9" s="62" t="str">
        <f>IF(I9-J9=0,"Done","pending")</f>
        <v>pending</v>
      </c>
      <c r="L9" s="32" t="s">
        <v>35</v>
      </c>
    </row>
    <row r="10" spans="1:12" x14ac:dyDescent="0.25">
      <c r="I10" s="12"/>
    </row>
    <row r="12" spans="1:12" x14ac:dyDescent="0.25">
      <c r="A12" s="95"/>
    </row>
    <row r="13" spans="1:12" x14ac:dyDescent="0.25">
      <c r="A13" s="95"/>
    </row>
    <row r="14" spans="1:12" x14ac:dyDescent="0.25">
      <c r="A14" s="95"/>
    </row>
    <row r="15" spans="1:12" x14ac:dyDescent="0.25">
      <c r="A15" s="95"/>
    </row>
    <row r="16" spans="1:12" x14ac:dyDescent="0.25">
      <c r="A16" s="95"/>
    </row>
    <row r="17" spans="1:1" x14ac:dyDescent="0.25">
      <c r="A17" s="95"/>
    </row>
    <row r="18" spans="1:1" x14ac:dyDescent="0.25">
      <c r="A18" s="95"/>
    </row>
    <row r="19" spans="1:1" x14ac:dyDescent="0.25">
      <c r="A19" s="95"/>
    </row>
    <row r="20" spans="1:1" x14ac:dyDescent="0.25">
      <c r="A20" s="95"/>
    </row>
    <row r="21" spans="1:1" x14ac:dyDescent="0.25">
      <c r="A21" s="95"/>
    </row>
    <row r="22" spans="1:1" x14ac:dyDescent="0.25">
      <c r="A22" s="95"/>
    </row>
    <row r="23" spans="1:1" x14ac:dyDescent="0.25">
      <c r="A23" s="95"/>
    </row>
    <row r="24" spans="1:1" x14ac:dyDescent="0.25">
      <c r="A24" s="95"/>
    </row>
    <row r="25" spans="1:1" x14ac:dyDescent="0.25">
      <c r="A25" s="95"/>
    </row>
    <row r="26" spans="1:1" x14ac:dyDescent="0.25">
      <c r="A26" s="95"/>
    </row>
    <row r="27" spans="1:1" x14ac:dyDescent="0.25">
      <c r="A27" s="95"/>
    </row>
    <row r="28" spans="1:1" x14ac:dyDescent="0.25">
      <c r="A28" s="95"/>
    </row>
    <row r="29" spans="1:1" x14ac:dyDescent="0.25">
      <c r="A29" s="95"/>
    </row>
    <row r="30" spans="1:1" x14ac:dyDescent="0.25">
      <c r="A30" s="95"/>
    </row>
    <row r="31" spans="1:1" x14ac:dyDescent="0.25">
      <c r="A31" s="95"/>
    </row>
    <row r="32" spans="1:1" x14ac:dyDescent="0.25">
      <c r="A32" s="95"/>
    </row>
    <row r="33" spans="1:1" x14ac:dyDescent="0.25">
      <c r="A33" s="95"/>
    </row>
    <row r="34" spans="1:1" x14ac:dyDescent="0.25">
      <c r="A34" s="95"/>
    </row>
    <row r="35" spans="1:1" x14ac:dyDescent="0.25">
      <c r="A35" s="95"/>
    </row>
    <row r="36" spans="1:1" x14ac:dyDescent="0.25">
      <c r="A36" s="95"/>
    </row>
  </sheetData>
  <protectedRanges>
    <protectedRange algorithmName="SHA-512" hashValue="o9c5j397KhOx8baBFYofsnzAzYUcwdLT3wdnYVtZfSel0GOg9p1KHBT1bihmlpfTp3IYGvnW8QMzZb5j+4yQlg==" saltValue="6vXybTM7za0Hkv98rG5Meg==" spinCount="100000" sqref="J2:K8 K9" name="collection_1"/>
  </protectedRanges>
  <phoneticPr fontId="19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D79F3-D981-4286-BAE6-461C97DF16DE}">
  <dimension ref="A1:E3"/>
  <sheetViews>
    <sheetView workbookViewId="0">
      <selection activeCell="E4" sqref="E4"/>
    </sheetView>
  </sheetViews>
  <sheetFormatPr defaultRowHeight="15" x14ac:dyDescent="0.25"/>
  <sheetData>
    <row r="1" spans="1:5" x14ac:dyDescent="0.25">
      <c r="A1" t="s">
        <v>40</v>
      </c>
      <c r="C1" t="s">
        <v>41</v>
      </c>
      <c r="E1" t="s">
        <v>44</v>
      </c>
    </row>
    <row r="2" spans="1:5" x14ac:dyDescent="0.25">
      <c r="C2" s="57" t="s">
        <v>39</v>
      </c>
      <c r="E2" t="s">
        <v>45</v>
      </c>
    </row>
    <row r="3" spans="1:5" x14ac:dyDescent="0.25">
      <c r="C3" s="78" t="s">
        <v>29</v>
      </c>
      <c r="E3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</vt:lpstr>
      <vt:lpstr>Log</vt:lpstr>
      <vt:lpstr>Defenition</vt:lpstr>
      <vt:lpstr>'1'!Print_Area</vt:lpstr>
    </vt:vector>
  </TitlesOfParts>
  <Company>ITC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Saeed Khattab</dc:creator>
  <cp:lastModifiedBy>Mustafa Saeed Khattab</cp:lastModifiedBy>
  <cp:lastPrinted>2020-02-06T09:38:07Z</cp:lastPrinted>
  <dcterms:created xsi:type="dcterms:W3CDTF">2017-01-24T13:03:29Z</dcterms:created>
  <dcterms:modified xsi:type="dcterms:W3CDTF">2020-03-12T07:55:43Z</dcterms:modified>
</cp:coreProperties>
</file>