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15600" windowHeight="11760" tabRatio="599"/>
  </bookViews>
  <sheets>
    <sheet name="SALARY" sheetId="1" r:id="rId1"/>
    <sheet name="ورقة2" sheetId="2" state="hidden" r:id="rId2"/>
    <sheet name="قوائم" sheetId="3" state="hidden" r:id="rId3"/>
  </sheets>
  <definedNames>
    <definedName name="_xlnm._FilterDatabase" localSheetId="0" hidden="1">SALARY!$A$5:$EJ$7</definedName>
  </definedNames>
  <calcPr calcId="144525"/>
</workbook>
</file>

<file path=xl/calcChain.xml><?xml version="1.0" encoding="utf-8"?>
<calcChain xmlns="http://schemas.openxmlformats.org/spreadsheetml/2006/main">
  <c r="A7" i="1" l="1"/>
  <c r="D7" i="1"/>
  <c r="M7" i="1" s="1"/>
  <c r="O7" i="1"/>
  <c r="V7" i="1"/>
  <c r="X7" i="1"/>
  <c r="Y7" i="1"/>
  <c r="Z7" i="1"/>
  <c r="AS7" i="1"/>
  <c r="DP7" i="1" s="1"/>
  <c r="BN7" i="1"/>
  <c r="BP7" i="1"/>
  <c r="BR7" i="1"/>
  <c r="CR7" i="1"/>
  <c r="CV7" i="1"/>
  <c r="CW7" i="1"/>
  <c r="DF7" i="1"/>
  <c r="DI7" i="1"/>
  <c r="DK7" i="1"/>
  <c r="DM7" i="1"/>
  <c r="DN7" i="1"/>
  <c r="DO7" i="1"/>
  <c r="DQ7" i="1"/>
  <c r="DR7" i="1"/>
  <c r="DS7" i="1"/>
  <c r="DT7" i="1"/>
  <c r="BR6" i="1"/>
  <c r="BQ7" i="1" l="1"/>
  <c r="BO7" i="1"/>
  <c r="EB7" i="1" s="1"/>
  <c r="BM7" i="1"/>
  <c r="AA7" i="1"/>
  <c r="AK7" i="1" s="1"/>
  <c r="W7" i="1"/>
  <c r="DL7" i="1" s="1"/>
  <c r="U7" i="1"/>
  <c r="DJ7" i="1" s="1"/>
  <c r="N7" i="1"/>
  <c r="DH7" i="1" s="1"/>
  <c r="DG7" i="1"/>
  <c r="DX7" i="1" l="1"/>
  <c r="AM7" i="1"/>
  <c r="AV7" i="1" s="1"/>
  <c r="AO7" i="1"/>
  <c r="AX7" i="1" s="1"/>
  <c r="BA7" i="1"/>
  <c r="AL7" i="1"/>
  <c r="AN7" i="1"/>
  <c r="AW7" i="1" s="1"/>
  <c r="AZ7" i="1"/>
  <c r="BB7" i="1"/>
  <c r="BC7" i="1" l="1"/>
  <c r="DY7" i="1" s="1"/>
  <c r="DZ7" i="1" s="1"/>
  <c r="EA7" i="1" s="1"/>
  <c r="EF7" i="1" s="1"/>
  <c r="EG7" i="1" s="1"/>
  <c r="EH7" i="1" s="1"/>
  <c r="BK7" i="1" s="1"/>
  <c r="AU7" i="1"/>
  <c r="AP7" i="1"/>
  <c r="AY7" i="1" s="1"/>
  <c r="BJ7" i="1" s="1"/>
  <c r="BL7" i="1" l="1"/>
  <c r="CM7" i="1" s="1"/>
  <c r="AT7" i="1"/>
  <c r="DT6" i="1"/>
  <c r="CN7" i="1" l="1"/>
  <c r="CO7" i="1"/>
  <c r="CP7" i="1" s="1"/>
  <c r="DF6" i="1"/>
  <c r="D6" i="1"/>
  <c r="CQ7" i="1" l="1"/>
  <c r="V6" i="1"/>
  <c r="AA6" i="1"/>
  <c r="DO6" i="1"/>
  <c r="A6" i="1" l="1"/>
  <c r="CW6" i="1" l="1"/>
  <c r="EI6" i="1" s="1"/>
  <c r="EI7" i="1"/>
  <c r="DQ6" i="1"/>
  <c r="DR6" i="1"/>
  <c r="DS6" i="1"/>
  <c r="O6" i="1"/>
  <c r="Y6" i="1"/>
  <c r="CR6" i="1"/>
  <c r="W6" i="1"/>
  <c r="CV6" i="1" l="1"/>
  <c r="DL6" i="1"/>
  <c r="BO6" i="1"/>
  <c r="AS6" i="1"/>
  <c r="Z6" i="1"/>
  <c r="M6" i="1"/>
  <c r="DG6" i="1" s="1"/>
  <c r="X6" i="1"/>
  <c r="BN6" i="1"/>
  <c r="BP6" i="1"/>
  <c r="BQ6" i="1"/>
  <c r="BM6" i="1"/>
  <c r="DN6" i="1"/>
  <c r="U6" i="1"/>
  <c r="N6" i="1"/>
  <c r="DH6" i="1" s="1"/>
  <c r="DI6" i="1"/>
  <c r="AK6" i="1" l="1"/>
  <c r="BB6" i="1" s="1"/>
  <c r="DJ6" i="1"/>
  <c r="DK6" i="1"/>
  <c r="DP6" i="1"/>
  <c r="DM6" i="1"/>
  <c r="EB6" i="1"/>
  <c r="ED9" i="1"/>
  <c r="EC9" i="1"/>
  <c r="DW9" i="1"/>
  <c r="DV9" i="1"/>
  <c r="DU9" i="1"/>
  <c r="DF9" i="1"/>
  <c r="DE9" i="1"/>
  <c r="DD9" i="1"/>
  <c r="DC9" i="1"/>
  <c r="DB9" i="1"/>
  <c r="BA6" i="1" l="1"/>
  <c r="AZ6" i="1"/>
  <c r="AM6" i="1"/>
  <c r="AO6" i="1"/>
  <c r="AN6" i="1"/>
  <c r="AL6" i="1"/>
  <c r="CY9" i="1"/>
  <c r="DA9" i="1"/>
  <c r="CX9" i="1"/>
  <c r="AP6" i="1" l="1"/>
  <c r="AU6" i="1"/>
  <c r="AW6" i="1"/>
  <c r="AX6" i="1"/>
  <c r="AV6" i="1"/>
  <c r="BC6" i="1"/>
  <c r="DY6" i="1" l="1"/>
  <c r="AT6" i="1"/>
  <c r="AY6" i="1"/>
  <c r="BJ6" i="1" l="1"/>
  <c r="DX6" i="1" l="1"/>
  <c r="DZ6" i="1" l="1"/>
  <c r="EA6" i="1" l="1"/>
  <c r="DN9" i="1"/>
  <c r="DI9" i="1"/>
  <c r="BL6" i="1" l="1"/>
  <c r="EF6" i="1"/>
  <c r="L9" i="1"/>
  <c r="P9" i="1"/>
  <c r="Q9" i="1"/>
  <c r="R9" i="1"/>
  <c r="S9" i="1"/>
  <c r="T9" i="1"/>
  <c r="AA9" i="1"/>
  <c r="AB9" i="1"/>
  <c r="AC9" i="1"/>
  <c r="AD9" i="1"/>
  <c r="AE9" i="1"/>
  <c r="AF9" i="1"/>
  <c r="AG9" i="1"/>
  <c r="AH9" i="1"/>
  <c r="AI9" i="1"/>
  <c r="AJ9" i="1"/>
  <c r="AQ9" i="1"/>
  <c r="AR9" i="1"/>
  <c r="BD9" i="1"/>
  <c r="BE9" i="1"/>
  <c r="BF9" i="1"/>
  <c r="BG9" i="1"/>
  <c r="BH9" i="1"/>
  <c r="BI9" i="1"/>
  <c r="BR9" i="1"/>
  <c r="BS9" i="1"/>
  <c r="BT9" i="1"/>
  <c r="BU9" i="1"/>
  <c r="BV9" i="1"/>
  <c r="BW9" i="1"/>
  <c r="BX9" i="1"/>
  <c r="BY9" i="1"/>
  <c r="BZ9" i="1"/>
  <c r="CA9" i="1"/>
  <c r="CB9" i="1"/>
  <c r="CC9" i="1"/>
  <c r="CD9" i="1"/>
  <c r="CE9" i="1"/>
  <c r="CF9" i="1"/>
  <c r="CG9" i="1"/>
  <c r="CH9" i="1"/>
  <c r="CI9" i="1"/>
  <c r="CJ9" i="1"/>
  <c r="CL9" i="1"/>
  <c r="EG6" i="1" l="1"/>
  <c r="Y9" i="1"/>
  <c r="K9" i="1"/>
  <c r="EH6" i="1" l="1"/>
  <c r="BK6" i="1" l="1"/>
  <c r="CM6" i="1" s="1"/>
  <c r="Z9" i="1"/>
  <c r="DP9" i="1"/>
  <c r="DL9" i="1"/>
  <c r="O9" i="1"/>
  <c r="DJ9" i="1"/>
  <c r="CZ9" i="1" l="1"/>
  <c r="DG9" i="1"/>
  <c r="DH9" i="1"/>
  <c r="BM9" i="1"/>
  <c r="BP9" i="1"/>
  <c r="BQ9" i="1"/>
  <c r="BO9" i="1"/>
  <c r="X9" i="1"/>
  <c r="BN9" i="1"/>
  <c r="U9" i="1"/>
  <c r="V9" i="1"/>
  <c r="W9" i="1"/>
  <c r="M9" i="1"/>
  <c r="AS9" i="1"/>
  <c r="N9" i="1"/>
  <c r="CN6" i="1" l="1"/>
  <c r="AK9" i="1"/>
  <c r="CO6" i="1" l="1"/>
  <c r="DT9" i="1"/>
  <c r="AL9" i="1"/>
  <c r="BA9" i="1"/>
  <c r="BB9" i="1"/>
  <c r="AO9" i="1"/>
  <c r="AN9" i="1"/>
  <c r="AZ9" i="1"/>
  <c r="AM9" i="1"/>
  <c r="AX9" i="1"/>
  <c r="CP6" i="1" l="1"/>
  <c r="CQ6" i="1"/>
  <c r="AV9" i="1"/>
  <c r="AU9" i="1"/>
  <c r="AW9" i="1"/>
  <c r="AP9" i="1"/>
  <c r="BC9" i="1"/>
  <c r="AY9" i="1" l="1"/>
  <c r="AT9" i="1"/>
  <c r="BJ9" i="1" l="1"/>
  <c r="CK9" i="1"/>
  <c r="DQ9" i="1" l="1"/>
  <c r="DY9" i="1"/>
  <c r="EB9" i="1"/>
  <c r="DZ9" i="1" l="1"/>
  <c r="DR9" i="1"/>
  <c r="BL9" i="1"/>
  <c r="DX9" i="1"/>
  <c r="EA9" i="1" l="1"/>
  <c r="DS9" i="1" l="1"/>
  <c r="EF9" i="1"/>
  <c r="EG9" i="1" l="1"/>
  <c r="DO9" i="1"/>
  <c r="EH9" i="1" l="1"/>
  <c r="DM9" i="1"/>
  <c r="DK9" i="1"/>
  <c r="BK9" i="1" l="1"/>
  <c r="CM9" i="1" l="1"/>
  <c r="CQ9" i="1" l="1"/>
  <c r="CN9" i="1"/>
  <c r="CO9" i="1" l="1"/>
  <c r="CP9" i="1"/>
</calcChain>
</file>

<file path=xl/sharedStrings.xml><?xml version="1.0" encoding="utf-8"?>
<sst xmlns="http://schemas.openxmlformats.org/spreadsheetml/2006/main" count="172" uniqueCount="124">
  <si>
    <t>م</t>
  </si>
  <si>
    <t>معلم أول أ</t>
  </si>
  <si>
    <t>معلم أول</t>
  </si>
  <si>
    <t>معلم</t>
  </si>
  <si>
    <t>خبير</t>
  </si>
  <si>
    <t>كبير</t>
  </si>
  <si>
    <t>الأولى</t>
  </si>
  <si>
    <t>الثانية</t>
  </si>
  <si>
    <t>الثالثة</t>
  </si>
  <si>
    <t>الرابعة</t>
  </si>
  <si>
    <t>الخامسة</t>
  </si>
  <si>
    <t>السادسة</t>
  </si>
  <si>
    <t>مدير عام</t>
  </si>
  <si>
    <t>العالية</t>
  </si>
  <si>
    <t>كود الفئة</t>
  </si>
  <si>
    <t>اساسي 2014</t>
  </si>
  <si>
    <t>الأعباء</t>
  </si>
  <si>
    <t>منحة</t>
  </si>
  <si>
    <t>نعم</t>
  </si>
  <si>
    <t>لا</t>
  </si>
  <si>
    <t>الاســـــم</t>
  </si>
  <si>
    <t>الدرجة</t>
  </si>
  <si>
    <t>علاوه 2014</t>
  </si>
  <si>
    <t>علاوه 2015</t>
  </si>
  <si>
    <t>علاوه 2019</t>
  </si>
  <si>
    <t>علاوه 2020</t>
  </si>
  <si>
    <t>حافز الاداء</t>
  </si>
  <si>
    <t>حافز25%</t>
  </si>
  <si>
    <t>بدل معلم 50%</t>
  </si>
  <si>
    <t>بدلى أعتماد</t>
  </si>
  <si>
    <t>الحد الادني</t>
  </si>
  <si>
    <t>اساسي 2020</t>
  </si>
  <si>
    <t>غلاء معيشة</t>
  </si>
  <si>
    <t>علاوة إجتماعية</t>
  </si>
  <si>
    <t>الاجر الوظيفى</t>
  </si>
  <si>
    <t>الاجر المكمل</t>
  </si>
  <si>
    <t>العلاوة التعويضية</t>
  </si>
  <si>
    <t>أجر الاشتراك الشامل</t>
  </si>
  <si>
    <t>12% تأمين شيخوخة</t>
  </si>
  <si>
    <t>3% تأمين المرض</t>
  </si>
  <si>
    <t>1% اشتراك مكافأة</t>
  </si>
  <si>
    <t>1.25% اصابة عمل</t>
  </si>
  <si>
    <t>حصة حكومة</t>
  </si>
  <si>
    <t>جملة المستحق</t>
  </si>
  <si>
    <t>جملة حصة الحكومة</t>
  </si>
  <si>
    <t>حصة الموظف</t>
  </si>
  <si>
    <t>9% تأمين شيخوخة</t>
  </si>
  <si>
    <t>1% تأمين المرض</t>
  </si>
  <si>
    <t>جملة حصة الموظف</t>
  </si>
  <si>
    <t>مدد سابقة</t>
  </si>
  <si>
    <t>قسط إعارة</t>
  </si>
  <si>
    <t>استبدال</t>
  </si>
  <si>
    <t>جملة المعاشات</t>
  </si>
  <si>
    <t>الضرائب</t>
  </si>
  <si>
    <t>نقابة</t>
  </si>
  <si>
    <t>نادى</t>
  </si>
  <si>
    <t>تأمين</t>
  </si>
  <si>
    <t>جامعين</t>
  </si>
  <si>
    <t>رعاية صحية</t>
  </si>
  <si>
    <t>كورونا 1%</t>
  </si>
  <si>
    <t>كسر القرش</t>
  </si>
  <si>
    <t>الصافي</t>
  </si>
  <si>
    <t>الاســــــــــــــــــــــــم</t>
  </si>
  <si>
    <t>التوقيع</t>
  </si>
  <si>
    <t>كسب عمل</t>
  </si>
  <si>
    <t>دمغة عادية</t>
  </si>
  <si>
    <t>المعلمين</t>
  </si>
  <si>
    <t xml:space="preserve">7%زمالة </t>
  </si>
  <si>
    <t>ش/مصر للتامين</t>
  </si>
  <si>
    <t>اعارة</t>
  </si>
  <si>
    <t xml:space="preserve"> تطبيقيين</t>
  </si>
  <si>
    <t>خصم انقطاع</t>
  </si>
  <si>
    <t xml:space="preserve">ارباب عهده </t>
  </si>
  <si>
    <t>لجنة نقابية</t>
  </si>
  <si>
    <t>5%صندوق رعاية</t>
  </si>
  <si>
    <t>مهن اجتماعية</t>
  </si>
  <si>
    <t>الجملة</t>
  </si>
  <si>
    <t>جامعيين</t>
  </si>
  <si>
    <t>النوع</t>
  </si>
  <si>
    <t>ذكر</t>
  </si>
  <si>
    <t>انثى</t>
  </si>
  <si>
    <t>الحالة الاجتماعية</t>
  </si>
  <si>
    <t>م+2</t>
  </si>
  <si>
    <t xml:space="preserve">جملة المستقطع </t>
  </si>
  <si>
    <t xml:space="preserve">المستقطع </t>
  </si>
  <si>
    <t>الصافي المستحق</t>
  </si>
  <si>
    <t xml:space="preserve">الأساسي المجرد  </t>
  </si>
  <si>
    <t>علاوه 2016</t>
  </si>
  <si>
    <t>علاوه 2017</t>
  </si>
  <si>
    <t>علاوه  خاصة2017</t>
  </si>
  <si>
    <t>علاوه 2018</t>
  </si>
  <si>
    <t>علاوه خاصة 2018</t>
  </si>
  <si>
    <t xml:space="preserve">علاوه خاصة 2019 </t>
  </si>
  <si>
    <t>علاوه خاصة 2020</t>
  </si>
  <si>
    <t>اعباء وظيفة</t>
  </si>
  <si>
    <t>المنحة</t>
  </si>
  <si>
    <t>نصيب المكافأة  الشهري</t>
  </si>
  <si>
    <t>حافز 25%</t>
  </si>
  <si>
    <t>جملة الخاضغ للدمغة</t>
  </si>
  <si>
    <t>7%زمالة المعلمين</t>
  </si>
  <si>
    <t>اعفاء شخصي  شهري</t>
  </si>
  <si>
    <t>شريحة  معفاه شهريا</t>
  </si>
  <si>
    <t>جملة الإعفاءات</t>
  </si>
  <si>
    <t>الصافي يعد الإعفاءات</t>
  </si>
  <si>
    <t>كسب العمل</t>
  </si>
  <si>
    <t xml:space="preserve">علاوه  2020 </t>
  </si>
  <si>
    <t xml:space="preserve">علاوه  2015 </t>
  </si>
  <si>
    <t>اعفاء شخصي شهري للمعاق</t>
  </si>
  <si>
    <t>الوظيفة</t>
  </si>
  <si>
    <t>اعزب</t>
  </si>
  <si>
    <t>انسه</t>
  </si>
  <si>
    <t>م+1</t>
  </si>
  <si>
    <t>مطلقة</t>
  </si>
  <si>
    <t>مطلق</t>
  </si>
  <si>
    <t>ارمل</t>
  </si>
  <si>
    <t>ارملة</t>
  </si>
  <si>
    <t>الصرف</t>
  </si>
  <si>
    <t>فيزا</t>
  </si>
  <si>
    <t>محول إلى بنك</t>
  </si>
  <si>
    <t>اسم البنك</t>
  </si>
  <si>
    <t>الأهلي فرع....</t>
  </si>
  <si>
    <t>خاص بالمعلمين فقط مطلوب التعبئة لحساب ضريبة الدخل ق26 لسنة2020م</t>
  </si>
  <si>
    <t xml:space="preserve"> محمود علي</t>
  </si>
  <si>
    <t xml:space="preserve">  إبراهيم محمو 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</si>
</sst>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ج_._م_._‏_-;\-* #,##0.00\ _ج_._م_._‏_-;_-* &quot;-&quot;??\ _ج_._م_._‏_-;_-@_-"/>
    <numFmt numFmtId="164" formatCode="\ [$-2000000]#,##\ 0.00"/>
  </numFmts>
  <fonts count="23">
    <font>
      <sz val="11"/>
      <color theme="1"/>
      <name val="Arial"/>
      <family val="2"/>
      <charset val="178"/>
      <scheme val="minor"/>
    </font>
    <font>
      <b/>
      <sz val="10"/>
      <color theme="1"/>
      <name val="ae_AlMateen"/>
      <family val="1"/>
    </font>
    <font>
      <sz val="15"/>
      <color theme="1"/>
      <name val="Sultan normal"/>
      <charset val="178"/>
    </font>
    <font>
      <sz val="15"/>
      <color theme="1"/>
      <name val="ae_AlHor"/>
      <family val="1"/>
    </font>
    <font>
      <sz val="13"/>
      <color theme="1"/>
      <name val="Arial"/>
      <family val="2"/>
      <charset val="178"/>
      <scheme val="minor"/>
    </font>
    <font>
      <sz val="13"/>
      <color theme="1"/>
      <name val="ae_AlHor"/>
      <family val="1"/>
    </font>
    <font>
      <b/>
      <sz val="20"/>
      <color theme="1"/>
      <name val="Segoe UI Semibold"/>
      <family val="2"/>
    </font>
    <font>
      <sz val="11"/>
      <color theme="1"/>
      <name val="Arial"/>
      <family val="2"/>
      <charset val="178"/>
      <scheme val="minor"/>
    </font>
    <font>
      <b/>
      <sz val="20"/>
      <name val="Segoe UI Semibold"/>
      <family val="2"/>
    </font>
    <font>
      <sz val="20"/>
      <color theme="1"/>
      <name val="Segoe UI Semibold"/>
      <family val="2"/>
    </font>
    <font>
      <b/>
      <sz val="18"/>
      <color theme="1"/>
      <name val="Segoe UI Semibold"/>
      <family val="2"/>
    </font>
    <font>
      <b/>
      <sz val="24"/>
      <color theme="1"/>
      <name val="Segoe UI Semibold"/>
      <family val="2"/>
    </font>
    <font>
      <sz val="10"/>
      <name val="Arial"/>
      <family val="2"/>
    </font>
    <font>
      <sz val="10"/>
      <name val="Arial"/>
      <family val="2"/>
    </font>
    <font>
      <b/>
      <sz val="26"/>
      <name val="Arial"/>
      <family val="2"/>
    </font>
    <font>
      <b/>
      <sz val="14"/>
      <color theme="1"/>
      <name val="Segoe UI Semibold"/>
      <family val="2"/>
    </font>
    <font>
      <b/>
      <sz val="20"/>
      <color theme="1"/>
      <name val="Calibri"/>
      <family val="2"/>
    </font>
    <font>
      <b/>
      <sz val="24"/>
      <color theme="1"/>
      <name val="Calibri"/>
      <family val="2"/>
    </font>
    <font>
      <b/>
      <sz val="14"/>
      <color theme="1"/>
      <name val="Calibri"/>
      <family val="2"/>
    </font>
    <font>
      <b/>
      <sz val="22"/>
      <color theme="1"/>
      <name val="Calibri"/>
      <family val="2"/>
    </font>
    <font>
      <b/>
      <sz val="18"/>
      <color theme="1"/>
      <name val="Calibri"/>
      <family val="2"/>
    </font>
    <font>
      <b/>
      <sz val="14"/>
      <color indexed="9"/>
      <name val="Arial"/>
      <family val="2"/>
    </font>
    <font>
      <sz val="14"/>
      <color theme="1"/>
      <name val="Segoe UI Semibold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0" fontId="12" fillId="0" borderId="0"/>
    <xf numFmtId="0" fontId="13" fillId="0" borderId="0"/>
    <xf numFmtId="0" fontId="13" fillId="0" borderId="0"/>
  </cellStyleXfs>
  <cellXfs count="95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 shrinkToFit="1" readingOrder="2"/>
    </xf>
    <xf numFmtId="2" fontId="3" fillId="0" borderId="2" xfId="0" applyNumberFormat="1" applyFont="1" applyFill="1" applyBorder="1"/>
    <xf numFmtId="2" fontId="3" fillId="0" borderId="3" xfId="0" applyNumberFormat="1" applyFont="1" applyFill="1" applyBorder="1"/>
    <xf numFmtId="0" fontId="4" fillId="0" borderId="0" xfId="0" applyFont="1" applyFill="1"/>
    <xf numFmtId="2" fontId="5" fillId="0" borderId="3" xfId="0" applyNumberFormat="1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0" fillId="0" borderId="0" xfId="0" applyFill="1" applyBorder="1"/>
    <xf numFmtId="0" fontId="6" fillId="0" borderId="1" xfId="0" applyFont="1" applyFill="1" applyBorder="1" applyAlignment="1">
      <alignment horizontal="center" vertical="center" shrinkToFit="1" readingOrder="2"/>
    </xf>
    <xf numFmtId="1" fontId="6" fillId="4" borderId="5" xfId="1" applyNumberFormat="1" applyFont="1" applyFill="1" applyBorder="1" applyAlignment="1">
      <alignment horizontal="center" vertical="center" shrinkToFit="1" readingOrder="2"/>
    </xf>
    <xf numFmtId="1" fontId="6" fillId="4" borderId="5" xfId="1" applyNumberFormat="1" applyFont="1" applyFill="1" applyBorder="1" applyAlignment="1">
      <alignment horizontal="center" vertical="center" textRotation="90" shrinkToFit="1" readingOrder="2"/>
    </xf>
    <xf numFmtId="1" fontId="6" fillId="3" borderId="5" xfId="1" applyNumberFormat="1" applyFont="1" applyFill="1" applyBorder="1" applyAlignment="1">
      <alignment horizontal="center" vertical="center" shrinkToFit="1" readingOrder="2"/>
    </xf>
    <xf numFmtId="2" fontId="8" fillId="6" borderId="8" xfId="0" applyNumberFormat="1" applyFont="1" applyFill="1" applyBorder="1" applyAlignment="1">
      <alignment horizontal="center" vertical="center" readingOrder="2"/>
    </xf>
    <xf numFmtId="2" fontId="8" fillId="6" borderId="8" xfId="0" applyNumberFormat="1" applyFont="1" applyFill="1" applyBorder="1" applyAlignment="1">
      <alignment horizontal="center" vertical="center" readingOrder="2"/>
    </xf>
    <xf numFmtId="0" fontId="9" fillId="6" borderId="8" xfId="0" applyFont="1" applyFill="1" applyBorder="1" applyAlignment="1">
      <alignment horizontal="center" vertical="center" readingOrder="2"/>
    </xf>
    <xf numFmtId="1" fontId="6" fillId="2" borderId="5" xfId="1" applyNumberFormat="1" applyFont="1" applyFill="1" applyBorder="1" applyAlignment="1">
      <alignment horizontal="center" vertical="center" textRotation="90" shrinkToFit="1" readingOrder="2"/>
    </xf>
    <xf numFmtId="0" fontId="6" fillId="2" borderId="1" xfId="0" applyFont="1" applyFill="1" applyBorder="1" applyAlignment="1">
      <alignment horizontal="center" vertical="center" shrinkToFit="1" readingOrder="2"/>
    </xf>
    <xf numFmtId="2" fontId="3" fillId="2" borderId="2" xfId="0" applyNumberFormat="1" applyFont="1" applyFill="1" applyBorder="1"/>
    <xf numFmtId="0" fontId="11" fillId="8" borderId="1" xfId="0" applyFont="1" applyFill="1" applyBorder="1" applyAlignment="1">
      <alignment horizontal="center" vertical="center" shrinkToFit="1" readingOrder="2"/>
    </xf>
    <xf numFmtId="2" fontId="3" fillId="9" borderId="4" xfId="0" applyNumberFormat="1" applyFont="1" applyFill="1" applyBorder="1"/>
    <xf numFmtId="1" fontId="6" fillId="0" borderId="1" xfId="0" applyNumberFormat="1" applyFont="1" applyFill="1" applyBorder="1" applyAlignment="1">
      <alignment horizontal="center" vertical="center" shrinkToFit="1" readingOrder="2"/>
    </xf>
    <xf numFmtId="2" fontId="10" fillId="3" borderId="13" xfId="0" applyNumberFormat="1" applyFont="1" applyFill="1" applyBorder="1" applyAlignment="1">
      <alignment horizontal="right" vertical="center" wrapText="1" readingOrder="2"/>
    </xf>
    <xf numFmtId="164" fontId="14" fillId="10" borderId="5" xfId="4" applyNumberFormat="1" applyFont="1" applyFill="1" applyBorder="1" applyAlignment="1" applyProtection="1">
      <alignment horizontal="center" vertical="center" shrinkToFit="1"/>
      <protection locked="0"/>
    </xf>
    <xf numFmtId="1" fontId="6" fillId="2" borderId="5" xfId="1" applyNumberFormat="1" applyFont="1" applyFill="1" applyBorder="1" applyAlignment="1" applyProtection="1">
      <alignment horizontal="center" vertical="center" shrinkToFit="1" readingOrder="2"/>
      <protection locked="0"/>
    </xf>
    <xf numFmtId="0" fontId="6" fillId="2" borderId="1" xfId="0" applyFont="1" applyFill="1" applyBorder="1" applyAlignment="1" applyProtection="1">
      <alignment horizontal="center" vertical="center" shrinkToFit="1" readingOrder="2"/>
      <protection locked="0"/>
    </xf>
    <xf numFmtId="2" fontId="3" fillId="2" borderId="2" xfId="0" applyNumberFormat="1" applyFont="1" applyFill="1" applyBorder="1" applyProtection="1">
      <protection locked="0"/>
    </xf>
    <xf numFmtId="2" fontId="8" fillId="6" borderId="8" xfId="0" applyNumberFormat="1" applyFont="1" applyFill="1" applyBorder="1" applyAlignment="1">
      <alignment horizontal="center" vertical="center" readingOrder="2"/>
    </xf>
    <xf numFmtId="0" fontId="0" fillId="11" borderId="0" xfId="0" applyFill="1"/>
    <xf numFmtId="2" fontId="8" fillId="6" borderId="8" xfId="0" applyNumberFormat="1" applyFont="1" applyFill="1" applyBorder="1" applyAlignment="1">
      <alignment vertical="center" readingOrder="2"/>
    </xf>
    <xf numFmtId="0" fontId="9" fillId="6" borderId="8" xfId="0" applyFont="1" applyFill="1" applyBorder="1" applyAlignment="1">
      <alignment vertical="center" readingOrder="2"/>
    </xf>
    <xf numFmtId="2" fontId="6" fillId="11" borderId="17" xfId="0" applyNumberFormat="1" applyFont="1" applyFill="1" applyBorder="1" applyAlignment="1">
      <alignment vertical="center" wrapText="1" readingOrder="2"/>
    </xf>
    <xf numFmtId="2" fontId="6" fillId="11" borderId="7" xfId="0" applyNumberFormat="1" applyFont="1" applyFill="1" applyBorder="1" applyAlignment="1">
      <alignment vertical="center" wrapText="1" readingOrder="2"/>
    </xf>
    <xf numFmtId="1" fontId="15" fillId="2" borderId="5" xfId="1" applyNumberFormat="1" applyFont="1" applyFill="1" applyBorder="1" applyAlignment="1" applyProtection="1">
      <alignment horizontal="right" vertical="center" shrinkToFit="1" readingOrder="2"/>
      <protection locked="0"/>
    </xf>
    <xf numFmtId="1" fontId="16" fillId="2" borderId="5" xfId="1" applyNumberFormat="1" applyFont="1" applyFill="1" applyBorder="1" applyAlignment="1">
      <alignment horizontal="center" vertical="center" shrinkToFit="1" readingOrder="2"/>
    </xf>
    <xf numFmtId="0" fontId="17" fillId="8" borderId="1" xfId="0" applyFont="1" applyFill="1" applyBorder="1" applyAlignment="1">
      <alignment horizontal="center" vertical="center" shrinkToFit="1" readingOrder="2"/>
    </xf>
    <xf numFmtId="1" fontId="18" fillId="2" borderId="5" xfId="1" applyNumberFormat="1" applyFont="1" applyFill="1" applyBorder="1" applyAlignment="1" applyProtection="1">
      <alignment horizontal="right" vertical="center" shrinkToFit="1" readingOrder="2"/>
      <protection locked="0"/>
    </xf>
    <xf numFmtId="0" fontId="16" fillId="8" borderId="1" xfId="0" applyFont="1" applyFill="1" applyBorder="1" applyAlignment="1">
      <alignment horizontal="center" vertical="center" shrinkToFit="1" readingOrder="2"/>
    </xf>
    <xf numFmtId="0" fontId="18" fillId="2" borderId="1" xfId="0" applyFont="1" applyFill="1" applyBorder="1" applyAlignment="1">
      <alignment horizontal="center" vertical="center" shrinkToFit="1" readingOrder="2"/>
    </xf>
    <xf numFmtId="0" fontId="16" fillId="2" borderId="1" xfId="0" applyFont="1" applyFill="1" applyBorder="1" applyAlignment="1">
      <alignment horizontal="center" vertical="center" shrinkToFit="1" readingOrder="2"/>
    </xf>
    <xf numFmtId="1" fontId="18" fillId="2" borderId="5" xfId="1" applyNumberFormat="1" applyFont="1" applyFill="1" applyBorder="1" applyAlignment="1" applyProtection="1">
      <alignment horizontal="center" vertical="center" shrinkToFit="1" readingOrder="2"/>
      <protection locked="0"/>
    </xf>
    <xf numFmtId="1" fontId="18" fillId="5" borderId="5" xfId="1" applyNumberFormat="1" applyFont="1" applyFill="1" applyBorder="1" applyAlignment="1" applyProtection="1">
      <alignment horizontal="center" vertical="center" shrinkToFit="1" readingOrder="2"/>
      <protection locked="0"/>
    </xf>
    <xf numFmtId="1" fontId="18" fillId="5" borderId="5" xfId="1" applyNumberFormat="1" applyFont="1" applyFill="1" applyBorder="1" applyAlignment="1" applyProtection="1">
      <alignment horizontal="center" vertical="center" textRotation="90" shrinkToFit="1" readingOrder="2"/>
      <protection locked="0"/>
    </xf>
    <xf numFmtId="1" fontId="20" fillId="2" borderId="5" xfId="1" applyNumberFormat="1" applyFont="1" applyFill="1" applyBorder="1" applyAlignment="1" applyProtection="1">
      <alignment horizontal="center" vertical="center" textRotation="90" shrinkToFit="1" readingOrder="2"/>
      <protection locked="0"/>
    </xf>
    <xf numFmtId="1" fontId="20" fillId="4" borderId="5" xfId="1" applyNumberFormat="1" applyFont="1" applyFill="1" applyBorder="1" applyAlignment="1" applyProtection="1">
      <alignment horizontal="center" vertical="center" textRotation="90" shrinkToFit="1" readingOrder="2"/>
      <protection locked="0"/>
    </xf>
    <xf numFmtId="1" fontId="18" fillId="3" borderId="5" xfId="1" applyNumberFormat="1" applyFont="1" applyFill="1" applyBorder="1" applyAlignment="1" applyProtection="1">
      <alignment horizontal="right" vertical="center" shrinkToFit="1" readingOrder="2"/>
      <protection locked="0"/>
    </xf>
    <xf numFmtId="0" fontId="20" fillId="8" borderId="1" xfId="0" applyFont="1" applyFill="1" applyBorder="1" applyAlignment="1">
      <alignment horizontal="center" vertical="center" shrinkToFit="1" readingOrder="2"/>
    </xf>
    <xf numFmtId="0" fontId="20" fillId="3" borderId="1" xfId="0" applyFont="1" applyFill="1" applyBorder="1" applyAlignment="1">
      <alignment horizontal="center" vertical="center" shrinkToFit="1" readingOrder="2"/>
    </xf>
    <xf numFmtId="0" fontId="20" fillId="2" borderId="1" xfId="0" applyFont="1" applyFill="1" applyBorder="1" applyAlignment="1">
      <alignment horizontal="center" vertical="center" shrinkToFit="1" readingOrder="2"/>
    </xf>
    <xf numFmtId="0" fontId="19" fillId="3" borderId="1" xfId="0" applyFont="1" applyFill="1" applyBorder="1" applyAlignment="1">
      <alignment horizontal="center" vertical="center" shrinkToFit="1" readingOrder="2"/>
    </xf>
    <xf numFmtId="2" fontId="6" fillId="0" borderId="1" xfId="0" applyNumberFormat="1" applyFont="1" applyFill="1" applyBorder="1" applyAlignment="1">
      <alignment horizontal="center" vertical="center" shrinkToFit="1" readingOrder="2"/>
    </xf>
    <xf numFmtId="1" fontId="20" fillId="5" borderId="14" xfId="1" applyNumberFormat="1" applyFont="1" applyFill="1" applyBorder="1" applyAlignment="1" applyProtection="1">
      <alignment horizontal="center" vertical="center" textRotation="90" shrinkToFit="1" readingOrder="2"/>
      <protection locked="0"/>
    </xf>
    <xf numFmtId="2" fontId="21" fillId="0" borderId="5" xfId="0" applyNumberFormat="1" applyFont="1" applyFill="1" applyBorder="1" applyAlignment="1" applyProtection="1">
      <alignment horizontal="center" vertical="center" shrinkToFit="1" readingOrder="2"/>
      <protection hidden="1"/>
    </xf>
    <xf numFmtId="2" fontId="8" fillId="6" borderId="8" xfId="0" applyNumberFormat="1" applyFont="1" applyFill="1" applyBorder="1" applyAlignment="1">
      <alignment horizontal="center" vertical="center" readingOrder="2"/>
    </xf>
    <xf numFmtId="0" fontId="16" fillId="14" borderId="1" xfId="0" applyFont="1" applyFill="1" applyBorder="1" applyAlignment="1">
      <alignment horizontal="center" vertical="center" shrinkToFit="1" readingOrder="2"/>
    </xf>
    <xf numFmtId="0" fontId="16" fillId="12" borderId="1" xfId="0" applyFont="1" applyFill="1" applyBorder="1" applyAlignment="1">
      <alignment horizontal="center" vertical="center" shrinkToFit="1" readingOrder="2"/>
    </xf>
    <xf numFmtId="0" fontId="16" fillId="5" borderId="1" xfId="0" applyFont="1" applyFill="1" applyBorder="1" applyAlignment="1">
      <alignment horizontal="center" vertical="center" shrinkToFit="1" readingOrder="2"/>
    </xf>
    <xf numFmtId="0" fontId="16" fillId="6" borderId="1" xfId="0" applyFont="1" applyFill="1" applyBorder="1" applyAlignment="1">
      <alignment horizontal="center" vertical="center" shrinkToFit="1" readingOrder="2"/>
    </xf>
    <xf numFmtId="1" fontId="18" fillId="2" borderId="5" xfId="1" applyNumberFormat="1" applyFont="1" applyFill="1" applyBorder="1" applyAlignment="1" applyProtection="1">
      <alignment horizontal="center" vertical="center" shrinkToFit="1" readingOrder="2"/>
    </xf>
    <xf numFmtId="0" fontId="20" fillId="2" borderId="1" xfId="0" applyFont="1" applyFill="1" applyBorder="1" applyAlignment="1" applyProtection="1">
      <alignment horizontal="center" vertical="center" shrinkToFit="1" readingOrder="2"/>
      <protection locked="0"/>
    </xf>
    <xf numFmtId="1" fontId="18" fillId="3" borderId="5" xfId="1" applyNumberFormat="1" applyFont="1" applyFill="1" applyBorder="1" applyAlignment="1" applyProtection="1">
      <alignment horizontal="right" vertical="center" shrinkToFit="1" readingOrder="2"/>
    </xf>
    <xf numFmtId="2" fontId="8" fillId="6" borderId="0" xfId="0" applyNumberFormat="1" applyFont="1" applyFill="1" applyBorder="1" applyAlignment="1">
      <alignment horizontal="center" vertical="center" readingOrder="2"/>
    </xf>
    <xf numFmtId="1" fontId="20" fillId="3" borderId="5" xfId="1" applyNumberFormat="1" applyFont="1" applyFill="1" applyBorder="1" applyAlignment="1" applyProtection="1">
      <alignment horizontal="center" vertical="center" shrinkToFit="1" readingOrder="2"/>
      <protection locked="0"/>
    </xf>
    <xf numFmtId="1" fontId="20" fillId="3" borderId="5" xfId="1" applyNumberFormat="1" applyFont="1" applyFill="1" applyBorder="1" applyAlignment="1" applyProtection="1">
      <alignment horizontal="center" vertical="center" shrinkToFit="1" readingOrder="2"/>
    </xf>
    <xf numFmtId="0" fontId="6" fillId="0" borderId="1" xfId="0" applyFont="1" applyFill="1" applyBorder="1" applyAlignment="1" applyProtection="1">
      <alignment horizontal="center" vertical="center" shrinkToFit="1" readingOrder="2"/>
    </xf>
    <xf numFmtId="164" fontId="14" fillId="10" borderId="5" xfId="4" applyNumberFormat="1" applyFont="1" applyFill="1" applyBorder="1" applyAlignment="1" applyProtection="1">
      <alignment horizontal="center" vertical="center" shrinkToFit="1"/>
    </xf>
    <xf numFmtId="2" fontId="10" fillId="3" borderId="13" xfId="0" applyNumberFormat="1" applyFont="1" applyFill="1" applyBorder="1" applyAlignment="1" applyProtection="1">
      <alignment horizontal="right" vertical="center" wrapText="1" readingOrder="2"/>
    </xf>
    <xf numFmtId="0" fontId="4" fillId="15" borderId="0" xfId="0" applyFont="1" applyFill="1"/>
    <xf numFmtId="1" fontId="16" fillId="7" borderId="13" xfId="1" applyNumberFormat="1" applyFont="1" applyFill="1" applyBorder="1" applyAlignment="1">
      <alignment horizontal="center" vertical="center" shrinkToFit="1" readingOrder="2"/>
    </xf>
    <xf numFmtId="1" fontId="16" fillId="7" borderId="18" xfId="1" applyNumberFormat="1" applyFont="1" applyFill="1" applyBorder="1" applyAlignment="1">
      <alignment horizontal="center" vertical="center" shrinkToFit="1" readingOrder="2"/>
    </xf>
    <xf numFmtId="2" fontId="6" fillId="7" borderId="10" xfId="0" applyNumberFormat="1" applyFont="1" applyFill="1" applyBorder="1" applyAlignment="1">
      <alignment horizontal="center" vertical="center" wrapText="1" readingOrder="2"/>
    </xf>
    <xf numFmtId="2" fontId="6" fillId="7" borderId="6" xfId="0" applyNumberFormat="1" applyFont="1" applyFill="1" applyBorder="1" applyAlignment="1">
      <alignment horizontal="center" vertical="center" wrapText="1" readingOrder="2"/>
    </xf>
    <xf numFmtId="1" fontId="20" fillId="4" borderId="19" xfId="1" applyNumberFormat="1" applyFont="1" applyFill="1" applyBorder="1" applyAlignment="1" applyProtection="1">
      <alignment horizontal="center" vertical="center" textRotation="90" shrinkToFit="1" readingOrder="2"/>
      <protection locked="0"/>
    </xf>
    <xf numFmtId="1" fontId="20" fillId="4" borderId="20" xfId="1" applyNumberFormat="1" applyFont="1" applyFill="1" applyBorder="1" applyAlignment="1" applyProtection="1">
      <alignment horizontal="center" vertical="center" textRotation="90" shrinkToFit="1" readingOrder="2"/>
      <protection locked="0"/>
    </xf>
    <xf numFmtId="2" fontId="8" fillId="6" borderId="8" xfId="0" applyNumberFormat="1" applyFont="1" applyFill="1" applyBorder="1" applyAlignment="1">
      <alignment horizontal="center" vertical="center" readingOrder="2"/>
    </xf>
    <xf numFmtId="0" fontId="9" fillId="6" borderId="8" xfId="0" applyFont="1" applyFill="1" applyBorder="1" applyAlignment="1">
      <alignment horizontal="center" vertical="center" readingOrder="2"/>
    </xf>
    <xf numFmtId="1" fontId="16" fillId="6" borderId="16" xfId="1" applyNumberFormat="1" applyFont="1" applyFill="1" applyBorder="1" applyAlignment="1" applyProtection="1">
      <alignment horizontal="center" vertical="center" shrinkToFit="1" readingOrder="2"/>
      <protection locked="0"/>
    </xf>
    <xf numFmtId="1" fontId="16" fillId="6" borderId="8" xfId="1" applyNumberFormat="1" applyFont="1" applyFill="1" applyBorder="1" applyAlignment="1" applyProtection="1">
      <alignment horizontal="center" vertical="center" shrinkToFit="1" readingOrder="2"/>
      <protection locked="0"/>
    </xf>
    <xf numFmtId="1" fontId="16" fillId="6" borderId="9" xfId="1" applyNumberFormat="1" applyFont="1" applyFill="1" applyBorder="1" applyAlignment="1" applyProtection="1">
      <alignment horizontal="center" vertical="center" shrinkToFit="1" readingOrder="2"/>
      <protection locked="0"/>
    </xf>
    <xf numFmtId="1" fontId="20" fillId="5" borderId="14" xfId="1" applyNumberFormat="1" applyFont="1" applyFill="1" applyBorder="1" applyAlignment="1" applyProtection="1">
      <alignment horizontal="center" vertical="center" textRotation="90" shrinkToFit="1" readingOrder="2"/>
      <protection locked="0"/>
    </xf>
    <xf numFmtId="1" fontId="20" fillId="5" borderId="15" xfId="1" applyNumberFormat="1" applyFont="1" applyFill="1" applyBorder="1" applyAlignment="1" applyProtection="1">
      <alignment horizontal="center" vertical="center" textRotation="90" shrinkToFit="1" readingOrder="2"/>
      <protection locked="0"/>
    </xf>
    <xf numFmtId="1" fontId="16" fillId="13" borderId="16" xfId="1" applyNumberFormat="1" applyFont="1" applyFill="1" applyBorder="1" applyAlignment="1" applyProtection="1">
      <alignment horizontal="center" vertical="center" shrinkToFit="1" readingOrder="2"/>
      <protection locked="0"/>
    </xf>
    <xf numFmtId="1" fontId="16" fillId="13" borderId="8" xfId="1" applyNumberFormat="1" applyFont="1" applyFill="1" applyBorder="1" applyAlignment="1" applyProtection="1">
      <alignment horizontal="center" vertical="center" shrinkToFit="1" readingOrder="2"/>
      <protection locked="0"/>
    </xf>
    <xf numFmtId="0" fontId="22" fillId="6" borderId="8" xfId="0" applyFont="1" applyFill="1" applyBorder="1" applyAlignment="1">
      <alignment horizontal="right" vertical="center" shrinkToFit="1" readingOrder="2"/>
    </xf>
    <xf numFmtId="1" fontId="6" fillId="8" borderId="14" xfId="1" applyNumberFormat="1" applyFont="1" applyFill="1" applyBorder="1" applyAlignment="1">
      <alignment horizontal="center" vertical="center" textRotation="90" shrinkToFit="1" readingOrder="2"/>
    </xf>
    <xf numFmtId="1" fontId="6" fillId="8" borderId="15" xfId="1" applyNumberFormat="1" applyFont="1" applyFill="1" applyBorder="1" applyAlignment="1">
      <alignment horizontal="center" vertical="center" textRotation="90" shrinkToFit="1" readingOrder="2"/>
    </xf>
    <xf numFmtId="1" fontId="6" fillId="5" borderId="14" xfId="1" applyNumberFormat="1" applyFont="1" applyFill="1" applyBorder="1" applyAlignment="1">
      <alignment horizontal="center" vertical="center" textRotation="90" shrinkToFit="1" readingOrder="2"/>
    </xf>
    <xf numFmtId="1" fontId="6" fillId="5" borderId="15" xfId="1" applyNumberFormat="1" applyFont="1" applyFill="1" applyBorder="1" applyAlignment="1">
      <alignment horizontal="center" vertical="center" textRotation="90" shrinkToFit="1" readingOrder="2"/>
    </xf>
    <xf numFmtId="1" fontId="6" fillId="2" borderId="14" xfId="1" applyNumberFormat="1" applyFont="1" applyFill="1" applyBorder="1" applyAlignment="1">
      <alignment horizontal="center" vertical="center" textRotation="90" shrinkToFit="1" readingOrder="2"/>
    </xf>
    <xf numFmtId="1" fontId="6" fillId="2" borderId="15" xfId="1" applyNumberFormat="1" applyFont="1" applyFill="1" applyBorder="1" applyAlignment="1">
      <alignment horizontal="center" vertical="center" textRotation="90" shrinkToFit="1" readingOrder="2"/>
    </xf>
    <xf numFmtId="1" fontId="6" fillId="5" borderId="0" xfId="1" applyNumberFormat="1" applyFont="1" applyFill="1" applyBorder="1" applyAlignment="1">
      <alignment horizontal="center" vertical="center" textRotation="90" shrinkToFit="1" readingOrder="2"/>
    </xf>
    <xf numFmtId="1" fontId="6" fillId="5" borderId="7" xfId="1" applyNumberFormat="1" applyFont="1" applyFill="1" applyBorder="1" applyAlignment="1">
      <alignment horizontal="center" vertical="center" textRotation="90" shrinkToFit="1" readingOrder="2"/>
    </xf>
    <xf numFmtId="2" fontId="6" fillId="7" borderId="11" xfId="0" applyNumberFormat="1" applyFont="1" applyFill="1" applyBorder="1" applyAlignment="1">
      <alignment horizontal="center" vertical="center" wrapText="1" readingOrder="2"/>
    </xf>
    <xf numFmtId="2" fontId="6" fillId="7" borderId="12" xfId="0" applyNumberFormat="1" applyFont="1" applyFill="1" applyBorder="1" applyAlignment="1">
      <alignment horizontal="center" vertical="center" wrapText="1" readingOrder="2"/>
    </xf>
  </cellXfs>
  <cellStyles count="5">
    <cellStyle name="Comma" xfId="1" builtinId="3"/>
    <cellStyle name="Normal" xfId="0" builtinId="0"/>
    <cellStyle name="Normal 2" xfId="3"/>
    <cellStyle name="Normal 3" xfId="2"/>
    <cellStyle name="Normal_مرتبات700 بالبحث بالتبيه 222العام 2016" xfId="4"/>
  </cellStyles>
  <dxfs count="3">
    <dxf>
      <fill>
        <patternFill>
          <bgColor indexed="9"/>
        </patternFill>
      </fill>
    </dxf>
    <dxf>
      <fill>
        <patternFill>
          <bgColor indexed="15"/>
        </patternFill>
      </fill>
    </dxf>
    <dxf>
      <fill>
        <patternFill>
          <bgColor indexed="15"/>
        </patternFill>
      </fill>
    </dxf>
  </dxfs>
  <tableStyles count="0" defaultTableStyle="TableStyleMedium2" defaultPivotStyle="PivotStyleLight16"/>
  <colors>
    <mruColors>
      <color rgb="FF000000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52193</xdr:colOff>
      <xdr:row>0</xdr:row>
      <xdr:rowOff>157135</xdr:rowOff>
    </xdr:from>
    <xdr:to>
      <xdr:col>98</xdr:col>
      <xdr:colOff>0</xdr:colOff>
      <xdr:row>2</xdr:row>
      <xdr:rowOff>75307</xdr:rowOff>
    </xdr:to>
    <xdr:sp macro="" textlink="">
      <xdr:nvSpPr>
        <xdr:cNvPr id="2" name="مربع نص 1"/>
        <xdr:cNvSpPr txBox="1"/>
      </xdr:nvSpPr>
      <xdr:spPr>
        <a:xfrm>
          <a:off x="9224897" y="157135"/>
          <a:ext cx="68071129" cy="5444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2000" baseline="0">
              <a:latin typeface="+mn-lt"/>
              <a:cs typeface="Segoe UI Semibold" panose="020B0702040204020203" pitchFamily="34" charset="0"/>
            </a:rPr>
            <a:t>مرتبات العاملين بمدرسة  / </a:t>
          </a:r>
          <a:endParaRPr lang="ar-EG" sz="2000">
            <a:latin typeface="+mn-lt"/>
            <a:cs typeface="Segoe UI Semibold" panose="020B0702040204020203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EJ52"/>
  <sheetViews>
    <sheetView rightToLeft="1" tabSelected="1" topLeftCell="DE1" zoomScale="73" zoomScaleNormal="73" workbookViewId="0">
      <selection activeCell="EK1" sqref="EK1:XFD1048576"/>
    </sheetView>
  </sheetViews>
  <sheetFormatPr defaultColWidth="0" defaultRowHeight="14.25" zeroHeight="1"/>
  <cols>
    <col min="1" max="1" width="6.25" style="1" customWidth="1"/>
    <col min="2" max="2" width="29.5" style="1" customWidth="1"/>
    <col min="3" max="3" width="8.625" style="1" customWidth="1"/>
    <col min="4" max="4" width="9" style="1" customWidth="1"/>
    <col min="5" max="5" width="8.125" style="1" customWidth="1"/>
    <col min="6" max="6" width="7.625" style="1" customWidth="1"/>
    <col min="7" max="7" width="7.75" style="1" customWidth="1"/>
    <col min="8" max="8" width="9.125" style="1" customWidth="1"/>
    <col min="9" max="9" width="10" style="1" hidden="1" customWidth="1"/>
    <col min="10" max="15" width="9.625" style="1" customWidth="1"/>
    <col min="16" max="20" width="9.625" style="1" hidden="1" customWidth="1"/>
    <col min="21" max="28" width="9.625" style="1" customWidth="1"/>
    <col min="29" max="33" width="9.625" style="1" hidden="1" customWidth="1"/>
    <col min="34" max="36" width="9.625" style="1" customWidth="1"/>
    <col min="37" max="40" width="10.375" style="1" customWidth="1"/>
    <col min="41" max="41" width="11.5" style="1" customWidth="1"/>
    <col min="42" max="42" width="10.125" style="1" customWidth="1"/>
    <col min="43" max="44" width="8.25" style="1" hidden="1" customWidth="1"/>
    <col min="45" max="45" width="10" style="1" customWidth="1"/>
    <col min="46" max="46" width="12.75" style="1" customWidth="1"/>
    <col min="47" max="50" width="10" style="1" customWidth="1"/>
    <col min="51" max="51" width="9.625" style="1" customWidth="1"/>
    <col min="52" max="55" width="10" style="1" customWidth="1"/>
    <col min="56" max="61" width="10" style="1" hidden="1" customWidth="1"/>
    <col min="62" max="62" width="10.625" style="1" customWidth="1"/>
    <col min="63" max="63" width="7.5" style="1" customWidth="1"/>
    <col min="64" max="64" width="9.625" style="1" customWidth="1"/>
    <col min="65" max="65" width="6.125" style="1" customWidth="1"/>
    <col min="66" max="66" width="5.75" style="1" customWidth="1"/>
    <col min="67" max="67" width="7.5" style="1" customWidth="1"/>
    <col min="68" max="68" width="8.375" style="1" customWidth="1"/>
    <col min="69" max="69" width="5.5" style="1" customWidth="1"/>
    <col min="70" max="70" width="5.875" style="1" customWidth="1"/>
    <col min="71" max="78" width="9.625" style="1" customWidth="1"/>
    <col min="79" max="89" width="9.625" style="1" hidden="1" customWidth="1"/>
    <col min="90" max="93" width="9.625" style="1" customWidth="1"/>
    <col min="94" max="94" width="10.625" style="1" customWidth="1"/>
    <col min="95" max="95" width="15.125" style="1" customWidth="1"/>
    <col min="96" max="96" width="26.875" style="1" customWidth="1"/>
    <col min="97" max="97" width="15.125" style="1" customWidth="1"/>
    <col min="98" max="98" width="28.875" style="1" customWidth="1"/>
    <col min="99" max="99" width="2.375" style="1" customWidth="1"/>
    <col min="100" max="100" width="7" style="1" customWidth="1"/>
    <col min="101" max="101" width="27.875" style="1" customWidth="1"/>
    <col min="102" max="109" width="9" style="1" customWidth="1"/>
    <col min="110" max="116" width="9" style="1" hidden="1" customWidth="1"/>
    <col min="117" max="117" width="10" style="1" hidden="1" customWidth="1"/>
    <col min="118" max="134" width="9" style="1" hidden="1" customWidth="1"/>
    <col min="135" max="135" width="9" style="1" customWidth="1"/>
    <col min="136" max="137" width="9" style="1" hidden="1" customWidth="1"/>
    <col min="138" max="138" width="9" style="1" customWidth="1"/>
    <col min="139" max="139" width="48" style="1" customWidth="1"/>
    <col min="140" max="140" width="2" style="1" customWidth="1"/>
    <col min="141" max="16384" width="9" style="1" hidden="1"/>
  </cols>
  <sheetData>
    <row r="1" spans="1:140" ht="24.95" customHeight="1">
      <c r="A1"/>
    </row>
    <row r="2" spans="1:140" ht="24.95" customHeight="1"/>
    <row r="3" spans="1:140" ht="30" customHeight="1" thickBot="1">
      <c r="A3" s="30"/>
      <c r="B3" s="31"/>
      <c r="C3" s="31"/>
      <c r="D3" s="30"/>
      <c r="E3" s="30"/>
      <c r="F3" s="30"/>
      <c r="G3" s="30"/>
      <c r="H3" s="30"/>
      <c r="I3" s="30"/>
      <c r="J3" s="31"/>
      <c r="K3" s="31"/>
      <c r="L3" s="75"/>
      <c r="M3" s="76"/>
      <c r="N3" s="76"/>
      <c r="O3" s="75"/>
      <c r="P3" s="76"/>
      <c r="Q3" s="76"/>
      <c r="R3" s="75"/>
      <c r="S3" s="76"/>
      <c r="T3" s="76"/>
      <c r="U3" s="75"/>
      <c r="V3" s="76"/>
      <c r="W3" s="76"/>
      <c r="X3" s="75"/>
      <c r="Y3" s="76"/>
      <c r="Z3" s="76"/>
      <c r="AA3" s="75"/>
      <c r="AB3" s="76"/>
      <c r="AC3" s="76"/>
      <c r="AD3" s="75"/>
      <c r="AE3" s="76"/>
      <c r="AF3" s="76"/>
      <c r="AG3" s="75"/>
      <c r="AH3" s="76"/>
      <c r="AI3" s="76"/>
      <c r="AJ3" s="14"/>
      <c r="AK3" s="53">
        <v>7000</v>
      </c>
      <c r="AL3" s="77" t="s">
        <v>42</v>
      </c>
      <c r="AM3" s="78"/>
      <c r="AN3" s="78"/>
      <c r="AO3" s="79"/>
      <c r="AP3" s="80" t="s">
        <v>44</v>
      </c>
      <c r="AQ3" s="75"/>
      <c r="AR3" s="76"/>
      <c r="AS3" s="76"/>
      <c r="AT3" s="80" t="s">
        <v>43</v>
      </c>
      <c r="AU3" s="77" t="s">
        <v>42</v>
      </c>
      <c r="AV3" s="78"/>
      <c r="AW3" s="78"/>
      <c r="AX3" s="79"/>
      <c r="AY3" s="80" t="s">
        <v>44</v>
      </c>
      <c r="AZ3" s="77" t="s">
        <v>45</v>
      </c>
      <c r="BA3" s="78"/>
      <c r="BB3" s="79"/>
      <c r="BC3" s="80" t="s">
        <v>48</v>
      </c>
      <c r="BD3" s="75"/>
      <c r="BE3" s="76"/>
      <c r="BF3" s="76"/>
      <c r="BG3" s="75"/>
      <c r="BH3" s="76"/>
      <c r="BI3" s="76"/>
      <c r="BJ3" s="80" t="s">
        <v>52</v>
      </c>
      <c r="BK3" s="77" t="s">
        <v>53</v>
      </c>
      <c r="BL3" s="78"/>
      <c r="BM3" s="82" t="s">
        <v>66</v>
      </c>
      <c r="BN3" s="83"/>
      <c r="BO3" s="83"/>
      <c r="BP3" s="75"/>
      <c r="BQ3" s="76"/>
      <c r="BR3" s="76"/>
      <c r="BS3" s="75"/>
      <c r="BT3" s="76"/>
      <c r="BU3" s="75"/>
      <c r="BV3" s="76"/>
      <c r="BW3" s="76"/>
      <c r="BX3" s="75"/>
      <c r="BY3" s="76"/>
      <c r="BZ3" s="76"/>
      <c r="CA3" s="75"/>
      <c r="CB3" s="76"/>
      <c r="CC3" s="76"/>
      <c r="CD3" s="75"/>
      <c r="CE3" s="76"/>
      <c r="CF3" s="76"/>
      <c r="CG3" s="75"/>
      <c r="CH3" s="76"/>
      <c r="CI3" s="76"/>
      <c r="CJ3" s="15"/>
      <c r="CK3" s="16"/>
      <c r="CL3" s="16"/>
      <c r="CM3" s="16"/>
      <c r="CN3" s="16"/>
      <c r="CO3" s="16"/>
      <c r="CP3" s="73" t="s">
        <v>83</v>
      </c>
      <c r="CQ3" s="73" t="s">
        <v>85</v>
      </c>
      <c r="CR3" s="69" t="s">
        <v>62</v>
      </c>
      <c r="CS3" s="69" t="s">
        <v>63</v>
      </c>
      <c r="CT3" s="71" t="s">
        <v>119</v>
      </c>
      <c r="CU3" s="29"/>
      <c r="CV3" s="75"/>
      <c r="CW3" s="76"/>
      <c r="CX3" s="84" t="s">
        <v>121</v>
      </c>
      <c r="CY3" s="84"/>
      <c r="CZ3" s="84"/>
      <c r="DA3" s="84"/>
      <c r="DB3" s="84"/>
      <c r="DC3" s="84"/>
      <c r="DD3" s="84"/>
      <c r="DE3" s="84"/>
      <c r="DF3" s="84"/>
      <c r="DG3" s="84"/>
      <c r="DH3" s="75"/>
      <c r="DI3" s="76"/>
      <c r="DJ3" s="76"/>
      <c r="DK3" s="75"/>
      <c r="DL3" s="76"/>
      <c r="DM3" s="76"/>
      <c r="DN3" s="75"/>
      <c r="DO3" s="76"/>
      <c r="DP3" s="76"/>
      <c r="DQ3" s="75"/>
      <c r="DR3" s="76"/>
      <c r="DS3" s="76"/>
      <c r="DT3" s="75"/>
      <c r="DU3" s="76"/>
      <c r="DV3" s="76"/>
      <c r="DW3" s="28"/>
      <c r="DX3" s="89" t="s">
        <v>43</v>
      </c>
      <c r="DY3" s="91" t="s">
        <v>48</v>
      </c>
      <c r="DZ3" s="85" t="s">
        <v>98</v>
      </c>
      <c r="EA3" s="85" t="s">
        <v>65</v>
      </c>
      <c r="EB3" s="85" t="s">
        <v>99</v>
      </c>
      <c r="EC3" s="85" t="s">
        <v>100</v>
      </c>
      <c r="ED3" s="85" t="s">
        <v>101</v>
      </c>
      <c r="EE3" s="89" t="s">
        <v>107</v>
      </c>
      <c r="EF3" s="85" t="s">
        <v>102</v>
      </c>
      <c r="EG3" s="85" t="s">
        <v>103</v>
      </c>
      <c r="EH3" s="87" t="s">
        <v>104</v>
      </c>
      <c r="EI3" s="93" t="s">
        <v>62</v>
      </c>
      <c r="EJ3" s="32"/>
    </row>
    <row r="4" spans="1:140" ht="96.75" customHeight="1" thickBot="1">
      <c r="A4" s="38" t="s">
        <v>0</v>
      </c>
      <c r="B4" s="35" t="s">
        <v>20</v>
      </c>
      <c r="C4" s="39" t="s">
        <v>21</v>
      </c>
      <c r="D4" s="39" t="s">
        <v>14</v>
      </c>
      <c r="E4" s="42" t="s">
        <v>78</v>
      </c>
      <c r="F4" s="43" t="s">
        <v>81</v>
      </c>
      <c r="G4" s="41" t="s">
        <v>77</v>
      </c>
      <c r="H4" s="41"/>
      <c r="I4" s="12"/>
      <c r="J4" s="44" t="s">
        <v>15</v>
      </c>
      <c r="K4" s="44" t="s">
        <v>31</v>
      </c>
      <c r="L4" s="44" t="s">
        <v>22</v>
      </c>
      <c r="M4" s="45" t="s">
        <v>23</v>
      </c>
      <c r="N4" s="45" t="s">
        <v>24</v>
      </c>
      <c r="O4" s="45" t="s">
        <v>25</v>
      </c>
      <c r="P4" s="45"/>
      <c r="Q4" s="45"/>
      <c r="R4" s="45"/>
      <c r="S4" s="45"/>
      <c r="T4" s="45"/>
      <c r="U4" s="45" t="s">
        <v>27</v>
      </c>
      <c r="V4" s="45" t="s">
        <v>26</v>
      </c>
      <c r="W4" s="45" t="s">
        <v>28</v>
      </c>
      <c r="X4" s="45" t="s">
        <v>29</v>
      </c>
      <c r="Y4" s="45" t="s">
        <v>16</v>
      </c>
      <c r="Z4" s="45" t="s">
        <v>32</v>
      </c>
      <c r="AA4" s="45" t="s">
        <v>33</v>
      </c>
      <c r="AB4" s="44" t="s">
        <v>30</v>
      </c>
      <c r="AC4" s="44"/>
      <c r="AD4" s="44"/>
      <c r="AE4" s="44"/>
      <c r="AF4" s="44"/>
      <c r="AG4" s="44"/>
      <c r="AH4" s="44" t="s">
        <v>34</v>
      </c>
      <c r="AI4" s="44" t="s">
        <v>35</v>
      </c>
      <c r="AJ4" s="44" t="s">
        <v>36</v>
      </c>
      <c r="AK4" s="52" t="s">
        <v>37</v>
      </c>
      <c r="AL4" s="45" t="s">
        <v>38</v>
      </c>
      <c r="AM4" s="45" t="s">
        <v>39</v>
      </c>
      <c r="AN4" s="45" t="s">
        <v>40</v>
      </c>
      <c r="AO4" s="45" t="s">
        <v>41</v>
      </c>
      <c r="AP4" s="81"/>
      <c r="AQ4" s="12"/>
      <c r="AR4" s="12"/>
      <c r="AS4" s="45" t="s">
        <v>17</v>
      </c>
      <c r="AT4" s="81"/>
      <c r="AU4" s="45" t="s">
        <v>38</v>
      </c>
      <c r="AV4" s="45" t="s">
        <v>39</v>
      </c>
      <c r="AW4" s="45" t="s">
        <v>40</v>
      </c>
      <c r="AX4" s="45" t="s">
        <v>41</v>
      </c>
      <c r="AY4" s="81"/>
      <c r="AZ4" s="45" t="s">
        <v>46</v>
      </c>
      <c r="BA4" s="45" t="s">
        <v>47</v>
      </c>
      <c r="BB4" s="45" t="s">
        <v>40</v>
      </c>
      <c r="BC4" s="81"/>
      <c r="BD4" s="12" t="s">
        <v>49</v>
      </c>
      <c r="BE4" s="12" t="s">
        <v>50</v>
      </c>
      <c r="BF4" s="12" t="s">
        <v>51</v>
      </c>
      <c r="BG4" s="12"/>
      <c r="BH4" s="12"/>
      <c r="BI4" s="12"/>
      <c r="BJ4" s="81"/>
      <c r="BK4" s="45" t="s">
        <v>64</v>
      </c>
      <c r="BL4" s="45" t="s">
        <v>65</v>
      </c>
      <c r="BM4" s="45" t="s">
        <v>54</v>
      </c>
      <c r="BN4" s="45" t="s">
        <v>55</v>
      </c>
      <c r="BO4" s="45" t="s">
        <v>67</v>
      </c>
      <c r="BP4" s="45" t="s">
        <v>56</v>
      </c>
      <c r="BQ4" s="45" t="s">
        <v>58</v>
      </c>
      <c r="BR4" s="45" t="s">
        <v>57</v>
      </c>
      <c r="BS4" s="44" t="s">
        <v>70</v>
      </c>
      <c r="BT4" s="44" t="s">
        <v>68</v>
      </c>
      <c r="BU4" s="44" t="s">
        <v>69</v>
      </c>
      <c r="BV4" s="44" t="s">
        <v>71</v>
      </c>
      <c r="BW4" s="44" t="s">
        <v>72</v>
      </c>
      <c r="BX4" s="44" t="s">
        <v>73</v>
      </c>
      <c r="BY4" s="44" t="s">
        <v>74</v>
      </c>
      <c r="BZ4" s="44" t="s">
        <v>75</v>
      </c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 t="s">
        <v>60</v>
      </c>
      <c r="CM4" s="45" t="s">
        <v>84</v>
      </c>
      <c r="CN4" s="45" t="s">
        <v>61</v>
      </c>
      <c r="CO4" s="45" t="s">
        <v>59</v>
      </c>
      <c r="CP4" s="74"/>
      <c r="CQ4" s="74"/>
      <c r="CR4" s="70"/>
      <c r="CS4" s="70"/>
      <c r="CT4" s="72"/>
      <c r="CU4" s="29"/>
      <c r="CV4" s="10" t="s">
        <v>0</v>
      </c>
      <c r="CW4" s="10" t="s">
        <v>20</v>
      </c>
      <c r="CX4" s="17" t="s">
        <v>86</v>
      </c>
      <c r="CY4" s="17" t="s">
        <v>87</v>
      </c>
      <c r="CZ4" s="17" t="s">
        <v>88</v>
      </c>
      <c r="DA4" s="17" t="s">
        <v>89</v>
      </c>
      <c r="DB4" s="17" t="s">
        <v>90</v>
      </c>
      <c r="DC4" s="17" t="s">
        <v>91</v>
      </c>
      <c r="DD4" s="17" t="s">
        <v>24</v>
      </c>
      <c r="DE4" s="17" t="s">
        <v>105</v>
      </c>
      <c r="DF4" s="17" t="s">
        <v>22</v>
      </c>
      <c r="DG4" s="17" t="s">
        <v>106</v>
      </c>
      <c r="DH4" s="17" t="s">
        <v>92</v>
      </c>
      <c r="DI4" s="17" t="s">
        <v>93</v>
      </c>
      <c r="DJ4" s="17" t="s">
        <v>97</v>
      </c>
      <c r="DK4" s="17" t="s">
        <v>26</v>
      </c>
      <c r="DL4" s="17" t="s">
        <v>28</v>
      </c>
      <c r="DM4" s="17" t="s">
        <v>29</v>
      </c>
      <c r="DN4" s="17" t="s">
        <v>94</v>
      </c>
      <c r="DO4" s="17" t="s">
        <v>30</v>
      </c>
      <c r="DP4" s="17" t="s">
        <v>95</v>
      </c>
      <c r="DQ4" s="17" t="s">
        <v>34</v>
      </c>
      <c r="DR4" s="17" t="s">
        <v>35</v>
      </c>
      <c r="DS4" s="17" t="s">
        <v>36</v>
      </c>
      <c r="DT4" s="17" t="s">
        <v>96</v>
      </c>
      <c r="DU4" s="17"/>
      <c r="DV4" s="17"/>
      <c r="DW4" s="17"/>
      <c r="DX4" s="90"/>
      <c r="DY4" s="92"/>
      <c r="DZ4" s="86"/>
      <c r="EA4" s="86"/>
      <c r="EB4" s="86"/>
      <c r="EC4" s="86"/>
      <c r="ED4" s="86"/>
      <c r="EE4" s="90"/>
      <c r="EF4" s="86"/>
      <c r="EG4" s="86"/>
      <c r="EH4" s="88"/>
      <c r="EI4" s="94"/>
      <c r="EJ4" s="32"/>
    </row>
    <row r="5" spans="1:140" ht="13.5" customHeight="1" thickBot="1">
      <c r="A5" s="11"/>
      <c r="B5" s="34"/>
      <c r="C5" s="25"/>
      <c r="D5" s="25"/>
      <c r="E5" s="25"/>
      <c r="F5" s="25"/>
      <c r="G5" s="25"/>
      <c r="H5" s="41"/>
      <c r="I5" s="11"/>
      <c r="J5" s="18"/>
      <c r="K5" s="18"/>
      <c r="L5" s="18"/>
      <c r="M5" s="10"/>
      <c r="N5" s="13"/>
      <c r="O5" s="13"/>
      <c r="P5" s="2"/>
      <c r="Q5" s="2"/>
      <c r="R5" s="2"/>
      <c r="S5" s="2"/>
      <c r="T5" s="2"/>
      <c r="U5" s="10"/>
      <c r="V5" s="10"/>
      <c r="W5" s="10"/>
      <c r="X5" s="10"/>
      <c r="Y5" s="10"/>
      <c r="Z5" s="10"/>
      <c r="AA5" s="10"/>
      <c r="AB5" s="26"/>
      <c r="AC5" s="26"/>
      <c r="AD5" s="26"/>
      <c r="AE5" s="26"/>
      <c r="AF5" s="26"/>
      <c r="AG5" s="26"/>
      <c r="AH5" s="26"/>
      <c r="AI5" s="26"/>
      <c r="AJ5" s="26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3"/>
      <c r="BE5" s="3"/>
      <c r="BF5" s="3"/>
      <c r="BG5" s="3"/>
      <c r="BH5" s="3"/>
      <c r="BI5" s="3"/>
      <c r="BJ5" s="10"/>
      <c r="BK5" s="10"/>
      <c r="BL5" s="10"/>
      <c r="BM5" s="10"/>
      <c r="BN5" s="10"/>
      <c r="BO5" s="10"/>
      <c r="BP5" s="10"/>
      <c r="BQ5" s="10"/>
      <c r="BR5" s="10"/>
      <c r="BS5" s="27"/>
      <c r="BT5" s="27"/>
      <c r="BU5" s="27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0"/>
      <c r="CM5" s="10"/>
      <c r="CN5" s="10"/>
      <c r="CO5" s="10"/>
      <c r="CP5" s="10"/>
      <c r="CQ5" s="10"/>
      <c r="CR5" s="23"/>
      <c r="CS5" s="3"/>
      <c r="CT5" s="10"/>
      <c r="CU5" s="29"/>
      <c r="CV5" s="10"/>
      <c r="CW5" s="10"/>
      <c r="CX5" s="18"/>
      <c r="CY5" s="18"/>
      <c r="CZ5" s="18"/>
      <c r="DA5" s="18"/>
      <c r="DB5" s="18"/>
      <c r="DC5" s="18"/>
      <c r="DD5" s="18"/>
      <c r="DE5" s="18"/>
      <c r="DF5" s="22"/>
      <c r="DG5" s="22"/>
      <c r="DH5" s="22"/>
      <c r="DI5" s="22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24"/>
      <c r="EI5" s="23"/>
      <c r="EJ5" s="32"/>
    </row>
    <row r="6" spans="1:140" ht="31.5" customHeight="1" thickBot="1">
      <c r="A6" s="38">
        <f>IF(B6="","",ROW()-5+$K$1)</f>
        <v>1</v>
      </c>
      <c r="B6" s="37" t="s">
        <v>122</v>
      </c>
      <c r="C6" s="39" t="s">
        <v>12</v>
      </c>
      <c r="D6" s="40">
        <f xml:space="preserve"> IF(OR(C6="معلم",C6="معلم أول",C6="معلم أول أ",C6="خبير",C6="كبير"),1,2)</f>
        <v>2</v>
      </c>
      <c r="E6" s="59" t="s">
        <v>79</v>
      </c>
      <c r="F6" s="59" t="s">
        <v>0</v>
      </c>
      <c r="G6" s="41"/>
      <c r="H6" s="41"/>
      <c r="I6" s="11"/>
      <c r="J6" s="49">
        <v>650</v>
      </c>
      <c r="K6" s="49"/>
      <c r="L6" s="49"/>
      <c r="M6" s="48">
        <f>ROUND(IF(D6=1,J6*10/100),2)</f>
        <v>0</v>
      </c>
      <c r="N6" s="48">
        <f>IF(D6&gt;=1,150,"")</f>
        <v>150</v>
      </c>
      <c r="O6" s="48">
        <f>IF(OR(C6="معلم",C6="الثالثة"),200,IF(OR(C6="معلم أول",C6="الثانية"),250,IF(OR(C6="الرابعة",C6="الخامسة",C6="السادسة"),150,IF(OR(C6="معلم أول أ",C6="الأولى"),300,IF(OR(C6="خبير",C6="مدير عام"),325,IF(OR(C6="كبير",C6="العالية"),350,0))))))</f>
        <v>325</v>
      </c>
      <c r="P6" s="48"/>
      <c r="Q6" s="48"/>
      <c r="R6" s="48"/>
      <c r="S6" s="48"/>
      <c r="T6" s="48"/>
      <c r="U6" s="48">
        <f>ROUND(IF(D6=1,J6*25/100),2)</f>
        <v>0</v>
      </c>
      <c r="V6" s="48">
        <f>ROUND(IF(D6=1,J6*25/100),2)</f>
        <v>0</v>
      </c>
      <c r="W6" s="48">
        <f>ROUND(IF(D6=1,J6*50/100),2)</f>
        <v>0</v>
      </c>
      <c r="X6" s="48">
        <f>ROUND(IF(AND(D6=1,C6="معلم"),J6*100/100,IF(AND(D6=1,C6="معلم أول"),J6*125/100,IF(AND(D6=1,C6="معلم أول أ"),J6*150/100,IF(AND(D6=1,C6="خبير"),J6*175/100,IF(AND(D6=1,C6="كبير"),J6*200/100,0))))),2)</f>
        <v>0</v>
      </c>
      <c r="Y6" s="48">
        <f>IF(AND(C6="معلم"),400,IF(AND(C6="معلم أول"),375,IF(AND(C6="معلم أول أ"),350,IF(AND(C6="خبير"),325,IF(AND(C6="كبير"),300,0)))))</f>
        <v>0</v>
      </c>
      <c r="Z6" s="48">
        <f>IF(D6&gt;=1,4,"")</f>
        <v>4</v>
      </c>
      <c r="AA6" s="48">
        <f>IF(D6=2,0,IF(E6="ذكر",IF(F6="م+2",6,IF(F6="م+1",4,IF(F6="م",2,0))),IF(F6="م+2",2,IF(F6="م+1",2,IF(F6="م",2,0)))))</f>
        <v>0</v>
      </c>
      <c r="AB6" s="60"/>
      <c r="AC6" s="60"/>
      <c r="AD6" s="60"/>
      <c r="AE6" s="60"/>
      <c r="AF6" s="60"/>
      <c r="AG6" s="60"/>
      <c r="AH6" s="60">
        <v>2568</v>
      </c>
      <c r="AI6" s="60">
        <v>240</v>
      </c>
      <c r="AJ6" s="60">
        <v>120</v>
      </c>
      <c r="AK6" s="48">
        <f>ROUND(SUM(K6:AJ6),2)</f>
        <v>3407</v>
      </c>
      <c r="AL6" s="48">
        <f>ROUND(AK6*12/100,2)</f>
        <v>408.84</v>
      </c>
      <c r="AM6" s="48">
        <f>ROUND(AK6*3/100,2)</f>
        <v>102.21</v>
      </c>
      <c r="AN6" s="48">
        <f>ROUND(AK6*1/100,2)</f>
        <v>34.07</v>
      </c>
      <c r="AO6" s="48">
        <f>ROUND(AK6*1.25/100,2)</f>
        <v>42.59</v>
      </c>
      <c r="AP6" s="48">
        <f>ROUND(SUM(AL6:AO6),2)</f>
        <v>587.71</v>
      </c>
      <c r="AQ6" s="48"/>
      <c r="AR6" s="48"/>
      <c r="AS6" s="48">
        <f>IF(D6=1,10,0)</f>
        <v>0</v>
      </c>
      <c r="AT6" s="48">
        <f>ROUND(SUM(K6:AS6),2)-AK6-AP6</f>
        <v>3994.71</v>
      </c>
      <c r="AU6" s="48">
        <f t="shared" ref="AU6:AY7" si="0">AL6</f>
        <v>408.84</v>
      </c>
      <c r="AV6" s="48">
        <f t="shared" si="0"/>
        <v>102.21</v>
      </c>
      <c r="AW6" s="48">
        <f t="shared" si="0"/>
        <v>34.07</v>
      </c>
      <c r="AX6" s="48">
        <f t="shared" si="0"/>
        <v>42.59</v>
      </c>
      <c r="AY6" s="48">
        <f t="shared" si="0"/>
        <v>587.71</v>
      </c>
      <c r="AZ6" s="48">
        <f>ROUND(IF(AK6&lt;7000,AK6*0.09,IF(AK6&gt;=7000,$AK$3*0.09)),2)</f>
        <v>306.63</v>
      </c>
      <c r="BA6" s="48">
        <f>ROUND(IF(AK6&lt;7000,AK6*0.01,IF(AK6&gt;=7000,$AK$3*0.01)),2)</f>
        <v>34.07</v>
      </c>
      <c r="BB6" s="48">
        <f>ROUND(IF(AK6&lt;7000,AK6*0.01,IF(AK6&gt;=7000,$AK$3*0.01)),2)</f>
        <v>34.07</v>
      </c>
      <c r="BC6" s="48">
        <f>ROUND(SUM(AZ6:BB6),2)</f>
        <v>374.77</v>
      </c>
      <c r="BD6" s="48"/>
      <c r="BE6" s="48"/>
      <c r="BF6" s="48"/>
      <c r="BG6" s="48"/>
      <c r="BH6" s="48"/>
      <c r="BI6" s="48"/>
      <c r="BJ6" s="48">
        <f>ROUND(SUM(AY6:BI6),2)-BC6</f>
        <v>962.48</v>
      </c>
      <c r="BK6" s="48">
        <f>EH6</f>
        <v>61</v>
      </c>
      <c r="BL6" s="48">
        <f>EA6</f>
        <v>22.35</v>
      </c>
      <c r="BM6" s="48">
        <f>IF(D6=2,0,IF(D6=1,4.5,))</f>
        <v>0</v>
      </c>
      <c r="BN6" s="48">
        <f>IF(D6=2,0,IF(D6=1,3,))</f>
        <v>0</v>
      </c>
      <c r="BO6" s="48">
        <f>ROUND(IF(D6="2",0,IF(D6=1,K6*7%)),2)</f>
        <v>0</v>
      </c>
      <c r="BP6" s="48">
        <f>IF(D6&gt;=1,0.25,"")</f>
        <v>0.25</v>
      </c>
      <c r="BQ6" s="48">
        <f>IF(D6=2,2,IF(D6=1,2,))</f>
        <v>2</v>
      </c>
      <c r="BR6" s="48">
        <f>IF(G6="جامعيين",0.5,)</f>
        <v>0</v>
      </c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>
        <v>0.01</v>
      </c>
      <c r="CM6" s="48">
        <f>ROUND(SUM(BJ6:CK6),2)+CL6</f>
        <v>1048.0899999999999</v>
      </c>
      <c r="CN6" s="48">
        <f>AT6-CM6</f>
        <v>2946.62</v>
      </c>
      <c r="CO6" s="48">
        <f>ROUND(CN6*1/100,2)</f>
        <v>29.47</v>
      </c>
      <c r="CP6" s="48">
        <f>CM6+CO6</f>
        <v>1077.56</v>
      </c>
      <c r="CQ6" s="50">
        <f>ROUND(CN6-CO6,2)</f>
        <v>2917.15</v>
      </c>
      <c r="CR6" s="61" t="str">
        <f>B6</f>
        <v xml:space="preserve"> محمود علي</v>
      </c>
      <c r="CS6" s="64" t="s">
        <v>118</v>
      </c>
      <c r="CT6" s="49" t="s">
        <v>120</v>
      </c>
      <c r="CU6" s="29"/>
      <c r="CV6" s="10">
        <f>A6</f>
        <v>1</v>
      </c>
      <c r="CW6" s="10" t="str">
        <f>B6</f>
        <v xml:space="preserve"> محمود علي</v>
      </c>
      <c r="CX6" s="18"/>
      <c r="CY6" s="18"/>
      <c r="CZ6" s="18"/>
      <c r="DA6" s="18"/>
      <c r="DB6" s="18"/>
      <c r="DC6" s="18"/>
      <c r="DD6" s="18"/>
      <c r="DE6" s="18"/>
      <c r="DF6" s="51">
        <f t="shared" ref="DF6:DI7" si="1">L6</f>
        <v>0</v>
      </c>
      <c r="DG6" s="51">
        <f t="shared" si="1"/>
        <v>0</v>
      </c>
      <c r="DH6" s="22">
        <f t="shared" si="1"/>
        <v>150</v>
      </c>
      <c r="DI6" s="22">
        <f t="shared" si="1"/>
        <v>325</v>
      </c>
      <c r="DJ6" s="10">
        <f t="shared" ref="DJ6:DN7" si="2">U6</f>
        <v>0</v>
      </c>
      <c r="DK6" s="10">
        <f t="shared" si="2"/>
        <v>0</v>
      </c>
      <c r="DL6" s="10">
        <f t="shared" si="2"/>
        <v>0</v>
      </c>
      <c r="DM6" s="10">
        <f t="shared" si="2"/>
        <v>0</v>
      </c>
      <c r="DN6" s="10">
        <f t="shared" si="2"/>
        <v>0</v>
      </c>
      <c r="DO6" s="10">
        <f>AB6</f>
        <v>0</v>
      </c>
      <c r="DP6" s="10">
        <f>AS6</f>
        <v>0</v>
      </c>
      <c r="DQ6" s="10">
        <f t="shared" ref="DQ6:DS7" si="3">AH6</f>
        <v>2568</v>
      </c>
      <c r="DR6" s="10">
        <f t="shared" si="3"/>
        <v>240</v>
      </c>
      <c r="DS6" s="10">
        <f t="shared" si="3"/>
        <v>120</v>
      </c>
      <c r="DT6" s="10">
        <f>ROUND(J6*10/12,2)</f>
        <v>541.66999999999996</v>
      </c>
      <c r="DU6" s="10"/>
      <c r="DV6" s="10"/>
      <c r="DW6" s="10"/>
      <c r="DX6" s="10">
        <f>ROUND(SUM(CX6:DW6),2)</f>
        <v>3944.67</v>
      </c>
      <c r="DY6" s="10">
        <f>BC6</f>
        <v>374.77</v>
      </c>
      <c r="DZ6" s="10">
        <f>ROUND(DX6-DY6-DT6,0)</f>
        <v>3028</v>
      </c>
      <c r="EA6" s="10">
        <f>CEILING(IF(DZ6&gt;10000,IF(DZ6&gt;=10000,79.6+(DZ6-10000)*0.003,+(DZ6-50)*0.008),IF(DZ6&gt;5000,+(DZ6-50)*0.008,IF(DZ6&gt;1000,+(DZ6-50)*0.0075,IF(DZ6&gt;500,+(DZ6-50)*0.007,IF(DZ6&gt;250,+(DZ6-50)*0.0065,IF(DZ6&gt;50,+(DZ6-50)*0.006,0)))))),0.05)</f>
        <v>22.35</v>
      </c>
      <c r="EB6" s="10">
        <f>BO6</f>
        <v>0</v>
      </c>
      <c r="EC6" s="10">
        <v>750</v>
      </c>
      <c r="ED6" s="10">
        <v>1250</v>
      </c>
      <c r="EE6" s="18"/>
      <c r="EF6" s="65">
        <f>SUM(EA6:ED6)+DY6</f>
        <v>2397.12</v>
      </c>
      <c r="EG6" s="65">
        <f>DX6-EF6</f>
        <v>1547.5500000000002</v>
      </c>
      <c r="EH6" s="66">
        <f>FLOOR(IF(EG6&gt;32083.33,6427.083+(EG6-32083.33)*0.25,IF(EG6&gt;15416.66,2677.08+(EG6-15416.66)*0.225,IF(EG6&gt;3750,343.75+(EG6-3750)*0.2,IF(EG6&gt;2500,156.25+(EG6-2500)*0.15,IF(EG6&gt;1250,31.25+(EG6-1250)*0.1,IF(EG6&gt;0,EG6*0.025,0)))))),0.2)</f>
        <v>61</v>
      </c>
      <c r="EI6" s="67" t="str">
        <f>CW6</f>
        <v xml:space="preserve"> محمود علي</v>
      </c>
      <c r="EJ6" s="32"/>
    </row>
    <row r="7" spans="1:140" ht="31.5" customHeight="1" thickBot="1">
      <c r="A7" s="38">
        <f>IF(B7="","",ROW()-5+$K$1)</f>
        <v>2</v>
      </c>
      <c r="B7" s="37" t="s">
        <v>123</v>
      </c>
      <c r="C7" s="39" t="s">
        <v>4</v>
      </c>
      <c r="D7" s="40">
        <f xml:space="preserve"> IF(OR(C7="معلم",C7="معلم أول",C7="معلم أول أ",C7="خبير",C7="كبير"),1,2)</f>
        <v>1</v>
      </c>
      <c r="E7" s="41" t="s">
        <v>79</v>
      </c>
      <c r="F7" s="41" t="s">
        <v>82</v>
      </c>
      <c r="G7" s="41" t="s">
        <v>77</v>
      </c>
      <c r="H7" s="41"/>
      <c r="I7" s="11"/>
      <c r="J7" s="49">
        <v>487.1</v>
      </c>
      <c r="K7" s="49">
        <v>1420.13</v>
      </c>
      <c r="L7" s="49">
        <v>45.8</v>
      </c>
      <c r="M7" s="48">
        <f>ROUND(IF(D7=1,J7*10/100),2)</f>
        <v>48.71</v>
      </c>
      <c r="N7" s="48">
        <f>IF(D7&gt;=1,150,"")</f>
        <v>150</v>
      </c>
      <c r="O7" s="48">
        <f>IF(OR(C7="معلم",C7="الثالثة"),200,IF(OR(C7="معلم أول",C7="الثانية"),250,IF(OR(C7="الرابعة",C7="الخامسة",C7="السادسة"),150,IF(OR(C7="معلم أول أ",C7="الأولى"),300,IF(OR(C7="خبير",C7="مدير عام"),325,IF(OR(C7="كبير",C7="العالية"),350,0))))))</f>
        <v>325</v>
      </c>
      <c r="P7" s="48"/>
      <c r="Q7" s="48"/>
      <c r="R7" s="48"/>
      <c r="S7" s="48"/>
      <c r="T7" s="48"/>
      <c r="U7" s="48">
        <f>ROUND(IF(D7=1,J7*25/100),2)</f>
        <v>121.78</v>
      </c>
      <c r="V7" s="48">
        <f>ROUND(IF(D7=1,J7*25/100),2)</f>
        <v>121.78</v>
      </c>
      <c r="W7" s="48">
        <f>ROUND(IF(D7=1,J7*50/100),2)</f>
        <v>243.55</v>
      </c>
      <c r="X7" s="48">
        <f>ROUND(IF(AND(D7=1,C7="معلم"),J7*100/100,IF(AND(D7=1,C7="معلم أول"),J7*125/100,IF(AND(D7=1,C7="معلم أول أ"),J7*150/100,IF(AND(D7=1,C7="خبير"),J7*175/100,IF(AND(D7=1,C7="كبير"),J7*200/100,0))))),2)</f>
        <v>852.43</v>
      </c>
      <c r="Y7" s="48">
        <f>IF(AND(C7="معلم"),400,IF(AND(C7="معلم أول"),375,IF(AND(C7="معلم أول أ"),350,IF(AND(C7="خبير"),325,IF(AND(C7="كبير"),300,0)))))</f>
        <v>325</v>
      </c>
      <c r="Z7" s="48">
        <f>IF(D7&gt;=1,4,"")</f>
        <v>4</v>
      </c>
      <c r="AA7" s="48">
        <f t="shared" ref="AA7" si="4">IF(D7=2,0,IF(E7="ذكر",IF(F7="م+2",6,IF(F7="م+1",4,IF(F7="م",2,0))),IF(F7="م+2",2,IF(F7="م+1",2,IF(F7="م",2,0)))))</f>
        <v>6</v>
      </c>
      <c r="AB7" s="49"/>
      <c r="AC7" s="49"/>
      <c r="AD7" s="49"/>
      <c r="AE7" s="49"/>
      <c r="AF7" s="49"/>
      <c r="AG7" s="49"/>
      <c r="AH7" s="60"/>
      <c r="AI7" s="60"/>
      <c r="AJ7" s="60"/>
      <c r="AK7" s="48">
        <f>ROUND(SUM(K7:AJ7),2)</f>
        <v>3664.18</v>
      </c>
      <c r="AL7" s="48">
        <f>ROUND(AK7*12/100,2)</f>
        <v>439.7</v>
      </c>
      <c r="AM7" s="48">
        <f>ROUND(AK7*3/100,2)</f>
        <v>109.93</v>
      </c>
      <c r="AN7" s="48">
        <f>ROUND(AK7*1/100,2)</f>
        <v>36.64</v>
      </c>
      <c r="AO7" s="48">
        <f>ROUND(AK7*1.25/100,2)</f>
        <v>45.8</v>
      </c>
      <c r="AP7" s="48">
        <f>ROUND(SUM(AL7:AO7),2)</f>
        <v>632.07000000000005</v>
      </c>
      <c r="AQ7" s="48"/>
      <c r="AR7" s="48"/>
      <c r="AS7" s="48">
        <f>IF(D7=1,10,0)</f>
        <v>10</v>
      </c>
      <c r="AT7" s="48">
        <f>ROUND(SUM(K7:AS7),2)-AK7-AP7</f>
        <v>4306.25</v>
      </c>
      <c r="AU7" s="48">
        <f t="shared" si="0"/>
        <v>439.7</v>
      </c>
      <c r="AV7" s="48">
        <f t="shared" si="0"/>
        <v>109.93</v>
      </c>
      <c r="AW7" s="48">
        <f t="shared" si="0"/>
        <v>36.64</v>
      </c>
      <c r="AX7" s="48">
        <f t="shared" si="0"/>
        <v>45.8</v>
      </c>
      <c r="AY7" s="48">
        <f t="shared" si="0"/>
        <v>632.07000000000005</v>
      </c>
      <c r="AZ7" s="48">
        <f>ROUND(IF(AK7&lt;7000,AK7*0.09,IF(AK7&gt;=7000,$AK$3*0.09)),2)</f>
        <v>329.78</v>
      </c>
      <c r="BA7" s="48">
        <f>ROUND(IF(AK7&lt;7000,AK7*0.01,IF(AK7&gt;=7000,$AK$3*0.01)),2)</f>
        <v>36.64</v>
      </c>
      <c r="BB7" s="48">
        <f>ROUND(IF(AK7&lt;7000,AK7*0.01,IF(AK7&gt;=7000,$AK$3*0.01)),2)</f>
        <v>36.64</v>
      </c>
      <c r="BC7" s="48">
        <f>ROUND(SUM(AZ7:BB7),2)</f>
        <v>403.06</v>
      </c>
      <c r="BD7" s="48"/>
      <c r="BE7" s="48"/>
      <c r="BF7" s="48"/>
      <c r="BG7" s="48"/>
      <c r="BH7" s="48"/>
      <c r="BI7" s="48"/>
      <c r="BJ7" s="48">
        <f>ROUND(SUM(AY7:BI7),2)-BC7</f>
        <v>1035.1300000000001</v>
      </c>
      <c r="BK7" s="48">
        <f>EH7</f>
        <v>26.400000000000002</v>
      </c>
      <c r="BL7" s="48">
        <f>EA7</f>
        <v>20.450000000000003</v>
      </c>
      <c r="BM7" s="48">
        <f>IF(D7=2,0,IF(D7=1,4.5,))</f>
        <v>4.5</v>
      </c>
      <c r="BN7" s="48">
        <f>IF(D7=2,0,IF(D7=1,3,))</f>
        <v>3</v>
      </c>
      <c r="BO7" s="48">
        <f>ROUND(IF(D7="2",0,IF(D7=1,K7*7%)),2)</f>
        <v>99.41</v>
      </c>
      <c r="BP7" s="48">
        <f>IF(D7&gt;=1,0.25,"")</f>
        <v>0.25</v>
      </c>
      <c r="BQ7" s="48">
        <f>IF(D7=2,2,IF(D7=1,2,))</f>
        <v>2</v>
      </c>
      <c r="BR7" s="48">
        <f t="shared" ref="BR7" si="5">IF(G7="جامعيين",0.5,)</f>
        <v>0.5</v>
      </c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>
        <v>0.01</v>
      </c>
      <c r="CM7" s="48">
        <f>ROUND(SUM(BJ7:CK7),2)+CL7</f>
        <v>1191.6500000000001</v>
      </c>
      <c r="CN7" s="48">
        <f>AT7-CM7</f>
        <v>3114.6</v>
      </c>
      <c r="CO7" s="48">
        <f>ROUND(CN7*1/100,2)</f>
        <v>31.15</v>
      </c>
      <c r="CP7" s="48">
        <f>CM7+CO7</f>
        <v>1222.8000000000002</v>
      </c>
      <c r="CQ7" s="50">
        <f>ROUND(CN7-CO7,2)</f>
        <v>3083.45</v>
      </c>
      <c r="CR7" s="46" t="str">
        <f>B7</f>
        <v xml:space="preserve">  إبراهيم محمو د</v>
      </c>
      <c r="CS7" s="63" t="s">
        <v>117</v>
      </c>
      <c r="CT7" s="49"/>
      <c r="CU7" s="29"/>
      <c r="CV7" s="10">
        <f>A7</f>
        <v>2</v>
      </c>
      <c r="CW7" s="10" t="str">
        <f>B7</f>
        <v xml:space="preserve">  إبراهيم محمو د</v>
      </c>
      <c r="CX7" s="18">
        <v>197</v>
      </c>
      <c r="CY7" s="18">
        <v>65</v>
      </c>
      <c r="CZ7" s="18">
        <v>65</v>
      </c>
      <c r="DA7" s="18">
        <v>65</v>
      </c>
      <c r="DB7" s="18">
        <v>82</v>
      </c>
      <c r="DC7" s="18">
        <v>190</v>
      </c>
      <c r="DD7" s="18">
        <v>114.2</v>
      </c>
      <c r="DE7" s="18">
        <v>152.15</v>
      </c>
      <c r="DF7" s="51">
        <f t="shared" si="1"/>
        <v>45.8</v>
      </c>
      <c r="DG7" s="51">
        <f t="shared" si="1"/>
        <v>48.71</v>
      </c>
      <c r="DH7" s="22">
        <f t="shared" si="1"/>
        <v>150</v>
      </c>
      <c r="DI7" s="22">
        <f t="shared" si="1"/>
        <v>325</v>
      </c>
      <c r="DJ7" s="10">
        <f t="shared" si="2"/>
        <v>121.78</v>
      </c>
      <c r="DK7" s="10">
        <f t="shared" si="2"/>
        <v>121.78</v>
      </c>
      <c r="DL7" s="10">
        <f t="shared" si="2"/>
        <v>243.55</v>
      </c>
      <c r="DM7" s="10">
        <f t="shared" si="2"/>
        <v>852.43</v>
      </c>
      <c r="DN7" s="10">
        <f t="shared" si="2"/>
        <v>325</v>
      </c>
      <c r="DO7" s="10">
        <f>AB7</f>
        <v>0</v>
      </c>
      <c r="DP7" s="10">
        <f>AS7</f>
        <v>10</v>
      </c>
      <c r="DQ7" s="10">
        <f t="shared" si="3"/>
        <v>0</v>
      </c>
      <c r="DR7" s="10">
        <f t="shared" si="3"/>
        <v>0</v>
      </c>
      <c r="DS7" s="10">
        <f t="shared" si="3"/>
        <v>0</v>
      </c>
      <c r="DT7" s="10">
        <f>ROUND(J7*10/12,2)</f>
        <v>405.92</v>
      </c>
      <c r="DU7" s="10"/>
      <c r="DV7" s="10"/>
      <c r="DW7" s="10"/>
      <c r="DX7" s="10">
        <f>ROUND(SUM(CX7:DW7),2)</f>
        <v>3580.32</v>
      </c>
      <c r="DY7" s="10">
        <f>BC7</f>
        <v>403.06</v>
      </c>
      <c r="DZ7" s="10">
        <f>ROUND(DX7-DY7-DT7,0)</f>
        <v>2771</v>
      </c>
      <c r="EA7" s="10">
        <f>CEILING(IF(DZ7&gt;10000,IF(DZ7&gt;=10000,79.6+(DZ7-10000)*0.003,+(DZ7-50)*0.008),IF(DZ7&gt;5000,+(DZ7-50)*0.008,IF(DZ7&gt;1000,+(DZ7-50)*0.0075,IF(DZ7&gt;500,+(DZ7-50)*0.007,IF(DZ7&gt;250,+(DZ7-50)*0.0065,IF(DZ7&gt;50,+(DZ7-50)*0.006,0)))))),0.05)</f>
        <v>20.450000000000003</v>
      </c>
      <c r="EB7" s="10">
        <f>BO7</f>
        <v>99.41</v>
      </c>
      <c r="EC7" s="10">
        <v>750</v>
      </c>
      <c r="ED7" s="10">
        <v>1250</v>
      </c>
      <c r="EE7" s="18"/>
      <c r="EF7" s="10">
        <f>SUM(EA7:ED7)+DY7</f>
        <v>2522.92</v>
      </c>
      <c r="EG7" s="10">
        <f>DX7-EF7</f>
        <v>1057.4000000000001</v>
      </c>
      <c r="EH7" s="24">
        <f>FLOOR(IF(EG7&gt;32083.33,6427.083+(EG7-32083.33)*0.25,IF(EG7&gt;15416.66,2677.08+(EG7-15416.66)*0.225,IF(EG7&gt;3750,343.75+(EG7-3750)*0.2,IF(EG7&gt;2500,156.25+(EG7-2500)*0.15,IF(EG7&gt;1250,31.25+(EG7-1250)*0.1,IF(EG7&gt;0,EG7*0.025,0)))))),0.2)</f>
        <v>26.400000000000002</v>
      </c>
      <c r="EI7" s="23" t="str">
        <f>CW7</f>
        <v xml:space="preserve">  إبراهيم محمو د</v>
      </c>
      <c r="EJ7" s="32"/>
    </row>
    <row r="8" spans="1:140" s="9" customFormat="1" ht="12" customHeight="1" thickBot="1">
      <c r="A8" s="21"/>
      <c r="B8" s="7"/>
      <c r="C8" s="7"/>
      <c r="D8" s="8"/>
      <c r="E8" s="8"/>
      <c r="F8" s="8"/>
      <c r="G8" s="8"/>
      <c r="H8" s="8"/>
      <c r="I8" s="8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9"/>
      <c r="CV8" s="21"/>
      <c r="CW8" s="7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33"/>
    </row>
    <row r="9" spans="1:140" s="5" customFormat="1" ht="42.75" customHeight="1" thickBot="1">
      <c r="A9" s="68"/>
      <c r="J9" s="36" t="s">
        <v>76</v>
      </c>
      <c r="K9" s="47">
        <f t="shared" ref="K9:AP9" si="6" xml:space="preserve"> ROUND(SUM(K6:K7),2)</f>
        <v>1420.13</v>
      </c>
      <c r="L9" s="47">
        <f t="shared" si="6"/>
        <v>45.8</v>
      </c>
      <c r="M9" s="47">
        <f t="shared" si="6"/>
        <v>48.71</v>
      </c>
      <c r="N9" s="47">
        <f t="shared" si="6"/>
        <v>300</v>
      </c>
      <c r="O9" s="47">
        <f t="shared" si="6"/>
        <v>650</v>
      </c>
      <c r="P9" s="47">
        <f t="shared" si="6"/>
        <v>0</v>
      </c>
      <c r="Q9" s="47">
        <f t="shared" si="6"/>
        <v>0</v>
      </c>
      <c r="R9" s="47">
        <f t="shared" si="6"/>
        <v>0</v>
      </c>
      <c r="S9" s="47">
        <f t="shared" si="6"/>
        <v>0</v>
      </c>
      <c r="T9" s="47">
        <f t="shared" si="6"/>
        <v>0</v>
      </c>
      <c r="U9" s="47">
        <f t="shared" si="6"/>
        <v>121.78</v>
      </c>
      <c r="V9" s="47">
        <f t="shared" si="6"/>
        <v>121.78</v>
      </c>
      <c r="W9" s="47">
        <f t="shared" si="6"/>
        <v>243.55</v>
      </c>
      <c r="X9" s="47">
        <f t="shared" si="6"/>
        <v>852.43</v>
      </c>
      <c r="Y9" s="47">
        <f t="shared" si="6"/>
        <v>325</v>
      </c>
      <c r="Z9" s="47">
        <f t="shared" si="6"/>
        <v>8</v>
      </c>
      <c r="AA9" s="47">
        <f t="shared" si="6"/>
        <v>6</v>
      </c>
      <c r="AB9" s="47">
        <f t="shared" si="6"/>
        <v>0</v>
      </c>
      <c r="AC9" s="47">
        <f t="shared" si="6"/>
        <v>0</v>
      </c>
      <c r="AD9" s="47">
        <f t="shared" si="6"/>
        <v>0</v>
      </c>
      <c r="AE9" s="47">
        <f t="shared" si="6"/>
        <v>0</v>
      </c>
      <c r="AF9" s="47">
        <f t="shared" si="6"/>
        <v>0</v>
      </c>
      <c r="AG9" s="47">
        <f t="shared" si="6"/>
        <v>0</v>
      </c>
      <c r="AH9" s="47">
        <f t="shared" si="6"/>
        <v>2568</v>
      </c>
      <c r="AI9" s="47">
        <f t="shared" si="6"/>
        <v>240</v>
      </c>
      <c r="AJ9" s="47">
        <f t="shared" si="6"/>
        <v>120</v>
      </c>
      <c r="AK9" s="47">
        <f t="shared" si="6"/>
        <v>7071.18</v>
      </c>
      <c r="AL9" s="47">
        <f t="shared" si="6"/>
        <v>848.54</v>
      </c>
      <c r="AM9" s="47">
        <f t="shared" si="6"/>
        <v>212.14</v>
      </c>
      <c r="AN9" s="47">
        <f t="shared" si="6"/>
        <v>70.709999999999994</v>
      </c>
      <c r="AO9" s="47">
        <f t="shared" si="6"/>
        <v>88.39</v>
      </c>
      <c r="AP9" s="47">
        <f t="shared" si="6"/>
        <v>1219.78</v>
      </c>
      <c r="AQ9" s="47">
        <f t="shared" ref="AQ9:BV9" si="7" xml:space="preserve"> ROUND(SUM(AQ6:AQ7),2)</f>
        <v>0</v>
      </c>
      <c r="AR9" s="47">
        <f t="shared" si="7"/>
        <v>0</v>
      </c>
      <c r="AS9" s="47">
        <f t="shared" si="7"/>
        <v>10</v>
      </c>
      <c r="AT9" s="47">
        <f t="shared" si="7"/>
        <v>8300.9599999999991</v>
      </c>
      <c r="AU9" s="47">
        <f t="shared" si="7"/>
        <v>848.54</v>
      </c>
      <c r="AV9" s="47">
        <f t="shared" si="7"/>
        <v>212.14</v>
      </c>
      <c r="AW9" s="47">
        <f t="shared" si="7"/>
        <v>70.709999999999994</v>
      </c>
      <c r="AX9" s="47">
        <f t="shared" si="7"/>
        <v>88.39</v>
      </c>
      <c r="AY9" s="47">
        <f t="shared" si="7"/>
        <v>1219.78</v>
      </c>
      <c r="AZ9" s="47">
        <f t="shared" si="7"/>
        <v>636.41</v>
      </c>
      <c r="BA9" s="47">
        <f t="shared" si="7"/>
        <v>70.709999999999994</v>
      </c>
      <c r="BB9" s="47">
        <f t="shared" si="7"/>
        <v>70.709999999999994</v>
      </c>
      <c r="BC9" s="47">
        <f t="shared" si="7"/>
        <v>777.83</v>
      </c>
      <c r="BD9" s="47">
        <f t="shared" si="7"/>
        <v>0</v>
      </c>
      <c r="BE9" s="47">
        <f t="shared" si="7"/>
        <v>0</v>
      </c>
      <c r="BF9" s="47">
        <f t="shared" si="7"/>
        <v>0</v>
      </c>
      <c r="BG9" s="47">
        <f t="shared" si="7"/>
        <v>0</v>
      </c>
      <c r="BH9" s="47">
        <f t="shared" si="7"/>
        <v>0</v>
      </c>
      <c r="BI9" s="47">
        <f t="shared" si="7"/>
        <v>0</v>
      </c>
      <c r="BJ9" s="47">
        <f t="shared" si="7"/>
        <v>1997.61</v>
      </c>
      <c r="BK9" s="47">
        <f t="shared" si="7"/>
        <v>87.4</v>
      </c>
      <c r="BL9" s="47">
        <f t="shared" si="7"/>
        <v>42.8</v>
      </c>
      <c r="BM9" s="47">
        <f t="shared" si="7"/>
        <v>4.5</v>
      </c>
      <c r="BN9" s="47">
        <f t="shared" si="7"/>
        <v>3</v>
      </c>
      <c r="BO9" s="47">
        <f t="shared" si="7"/>
        <v>99.41</v>
      </c>
      <c r="BP9" s="47">
        <f t="shared" si="7"/>
        <v>0.5</v>
      </c>
      <c r="BQ9" s="47">
        <f t="shared" si="7"/>
        <v>4</v>
      </c>
      <c r="BR9" s="47">
        <f t="shared" si="7"/>
        <v>0.5</v>
      </c>
      <c r="BS9" s="47">
        <f t="shared" si="7"/>
        <v>0</v>
      </c>
      <c r="BT9" s="47">
        <f t="shared" si="7"/>
        <v>0</v>
      </c>
      <c r="BU9" s="47">
        <f t="shared" si="7"/>
        <v>0</v>
      </c>
      <c r="BV9" s="47">
        <f t="shared" si="7"/>
        <v>0</v>
      </c>
      <c r="BW9" s="47">
        <f t="shared" ref="BW9:CQ9" si="8" xml:space="preserve"> ROUND(SUM(BW6:BW7),2)</f>
        <v>0</v>
      </c>
      <c r="BX9" s="47">
        <f t="shared" si="8"/>
        <v>0</v>
      </c>
      <c r="BY9" s="47">
        <f t="shared" si="8"/>
        <v>0</v>
      </c>
      <c r="BZ9" s="47">
        <f t="shared" si="8"/>
        <v>0</v>
      </c>
      <c r="CA9" s="47">
        <f t="shared" si="8"/>
        <v>0</v>
      </c>
      <c r="CB9" s="47">
        <f t="shared" si="8"/>
        <v>0</v>
      </c>
      <c r="CC9" s="47">
        <f t="shared" si="8"/>
        <v>0</v>
      </c>
      <c r="CD9" s="47">
        <f t="shared" si="8"/>
        <v>0</v>
      </c>
      <c r="CE9" s="47">
        <f t="shared" si="8"/>
        <v>0</v>
      </c>
      <c r="CF9" s="47">
        <f t="shared" si="8"/>
        <v>0</v>
      </c>
      <c r="CG9" s="47">
        <f t="shared" si="8"/>
        <v>0</v>
      </c>
      <c r="CH9" s="47">
        <f t="shared" si="8"/>
        <v>0</v>
      </c>
      <c r="CI9" s="47">
        <f t="shared" si="8"/>
        <v>0</v>
      </c>
      <c r="CJ9" s="47">
        <f t="shared" si="8"/>
        <v>0</v>
      </c>
      <c r="CK9" s="47">
        <f t="shared" si="8"/>
        <v>0</v>
      </c>
      <c r="CL9" s="47">
        <f t="shared" si="8"/>
        <v>0.02</v>
      </c>
      <c r="CM9" s="47">
        <f t="shared" si="8"/>
        <v>2239.7399999999998</v>
      </c>
      <c r="CN9" s="47">
        <f t="shared" si="8"/>
        <v>6061.22</v>
      </c>
      <c r="CO9" s="47">
        <f t="shared" si="8"/>
        <v>60.62</v>
      </c>
      <c r="CP9" s="47">
        <f t="shared" si="8"/>
        <v>2300.36</v>
      </c>
      <c r="CQ9" s="50">
        <f t="shared" si="8"/>
        <v>6000.6</v>
      </c>
      <c r="CR9" s="47"/>
      <c r="CS9" s="47"/>
      <c r="CT9" s="4"/>
      <c r="CV9" s="11" t="s">
        <v>76</v>
      </c>
      <c r="CW9" s="51"/>
      <c r="CX9" s="20">
        <f t="shared" ref="CX9:ED9" si="9" xml:space="preserve"> ROUND(SUM(CX6:CX7),2)</f>
        <v>197</v>
      </c>
      <c r="CY9" s="20">
        <f t="shared" si="9"/>
        <v>65</v>
      </c>
      <c r="CZ9" s="20">
        <f t="shared" si="9"/>
        <v>65</v>
      </c>
      <c r="DA9" s="20">
        <f t="shared" si="9"/>
        <v>65</v>
      </c>
      <c r="DB9" s="20">
        <f t="shared" si="9"/>
        <v>82</v>
      </c>
      <c r="DC9" s="20">
        <f t="shared" si="9"/>
        <v>190</v>
      </c>
      <c r="DD9" s="20">
        <f t="shared" si="9"/>
        <v>114.2</v>
      </c>
      <c r="DE9" s="20">
        <f t="shared" si="9"/>
        <v>152.15</v>
      </c>
      <c r="DF9" s="20">
        <f t="shared" si="9"/>
        <v>45.8</v>
      </c>
      <c r="DG9" s="20">
        <f t="shared" si="9"/>
        <v>48.71</v>
      </c>
      <c r="DH9" s="20">
        <f t="shared" si="9"/>
        <v>300</v>
      </c>
      <c r="DI9" s="20">
        <f t="shared" si="9"/>
        <v>650</v>
      </c>
      <c r="DJ9" s="20">
        <f t="shared" si="9"/>
        <v>121.78</v>
      </c>
      <c r="DK9" s="20">
        <f t="shared" si="9"/>
        <v>121.78</v>
      </c>
      <c r="DL9" s="20">
        <f t="shared" si="9"/>
        <v>243.55</v>
      </c>
      <c r="DM9" s="20">
        <f t="shared" si="9"/>
        <v>852.43</v>
      </c>
      <c r="DN9" s="20">
        <f t="shared" si="9"/>
        <v>325</v>
      </c>
      <c r="DO9" s="20">
        <f t="shared" si="9"/>
        <v>0</v>
      </c>
      <c r="DP9" s="20">
        <f t="shared" si="9"/>
        <v>10</v>
      </c>
      <c r="DQ9" s="20">
        <f t="shared" si="9"/>
        <v>2568</v>
      </c>
      <c r="DR9" s="20">
        <f t="shared" si="9"/>
        <v>240</v>
      </c>
      <c r="DS9" s="20">
        <f t="shared" si="9"/>
        <v>120</v>
      </c>
      <c r="DT9" s="20">
        <f t="shared" si="9"/>
        <v>947.59</v>
      </c>
      <c r="DU9" s="20">
        <f t="shared" si="9"/>
        <v>0</v>
      </c>
      <c r="DV9" s="20">
        <f t="shared" si="9"/>
        <v>0</v>
      </c>
      <c r="DW9" s="20">
        <f t="shared" si="9"/>
        <v>0</v>
      </c>
      <c r="DX9" s="20">
        <f t="shared" si="9"/>
        <v>7524.99</v>
      </c>
      <c r="DY9" s="20">
        <f t="shared" si="9"/>
        <v>777.83</v>
      </c>
      <c r="DZ9" s="20">
        <f t="shared" si="9"/>
        <v>5799</v>
      </c>
      <c r="EA9" s="20">
        <f t="shared" si="9"/>
        <v>42.8</v>
      </c>
      <c r="EB9" s="20">
        <f t="shared" si="9"/>
        <v>99.41</v>
      </c>
      <c r="EC9" s="20">
        <f t="shared" si="9"/>
        <v>1500</v>
      </c>
      <c r="ED9" s="20">
        <f t="shared" si="9"/>
        <v>2500</v>
      </c>
      <c r="EE9" s="20"/>
      <c r="EF9" s="20">
        <f xml:space="preserve"> ROUND(SUM(EF6:EF7),2)</f>
        <v>4920.04</v>
      </c>
      <c r="EG9" s="20">
        <f xml:space="preserve"> ROUND(SUM(EG6:EG7),2)</f>
        <v>2604.9499999999998</v>
      </c>
      <c r="EH9" s="20">
        <f xml:space="preserve"> ROUND(SUM(EH6:EH7),2)</f>
        <v>87.4</v>
      </c>
      <c r="EI9" s="6"/>
      <c r="EJ9" s="1"/>
    </row>
    <row r="10" spans="1:140" hidden="1"/>
    <row r="11" spans="1:140" hidden="1"/>
    <row r="12" spans="1:140" hidden="1"/>
    <row r="13" spans="1:140" hidden="1"/>
    <row r="14" spans="1:140" hidden="1"/>
    <row r="15" spans="1:140" hidden="1"/>
    <row r="16" spans="1:140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</sheetData>
  <sheetProtection password="CF7A" sheet="1" objects="1" scenarios="1" deleteColumns="0"/>
  <autoFilter ref="A5:EJ7">
    <sortState ref="A6:EK37">
      <sortCondition ref="B5:B37"/>
    </sortState>
  </autoFilter>
  <mergeCells count="52">
    <mergeCell ref="EI3:EI4"/>
    <mergeCell ref="EC3:EC4"/>
    <mergeCell ref="EH3:EH4"/>
    <mergeCell ref="DX3:DX4"/>
    <mergeCell ref="DY3:DY4"/>
    <mergeCell ref="DZ3:DZ4"/>
    <mergeCell ref="EA3:EA4"/>
    <mergeCell ref="EB3:EB4"/>
    <mergeCell ref="EE3:EE4"/>
    <mergeCell ref="CV3:CW3"/>
    <mergeCell ref="CX3:DG3"/>
    <mergeCell ref="ED3:ED4"/>
    <mergeCell ref="EF3:EF4"/>
    <mergeCell ref="EG3:EG4"/>
    <mergeCell ref="DH3:DJ3"/>
    <mergeCell ref="DK3:DM3"/>
    <mergeCell ref="DN3:DP3"/>
    <mergeCell ref="DQ3:DS3"/>
    <mergeCell ref="DT3:DV3"/>
    <mergeCell ref="BM3:BO3"/>
    <mergeCell ref="BJ3:BJ4"/>
    <mergeCell ref="BK3:BL3"/>
    <mergeCell ref="AU3:AX3"/>
    <mergeCell ref="AY3:AY4"/>
    <mergeCell ref="AZ3:BB3"/>
    <mergeCell ref="BC3:BC4"/>
    <mergeCell ref="BD3:BF3"/>
    <mergeCell ref="BG3:BI3"/>
    <mergeCell ref="CD3:CF3"/>
    <mergeCell ref="CG3:CI3"/>
    <mergeCell ref="BP3:BR3"/>
    <mergeCell ref="BS3:BT3"/>
    <mergeCell ref="BU3:BW3"/>
    <mergeCell ref="BX3:BZ3"/>
    <mergeCell ref="CA3:CC3"/>
    <mergeCell ref="L3:N3"/>
    <mergeCell ref="O3:Q3"/>
    <mergeCell ref="R3:T3"/>
    <mergeCell ref="AL3:AO3"/>
    <mergeCell ref="AT3:AT4"/>
    <mergeCell ref="AP3:AP4"/>
    <mergeCell ref="AQ3:AS3"/>
    <mergeCell ref="U3:W3"/>
    <mergeCell ref="X3:Z3"/>
    <mergeCell ref="AA3:AC3"/>
    <mergeCell ref="AD3:AF3"/>
    <mergeCell ref="AG3:AI3"/>
    <mergeCell ref="CR3:CR4"/>
    <mergeCell ref="CS3:CS4"/>
    <mergeCell ref="CT3:CT4"/>
    <mergeCell ref="CP3:CP4"/>
    <mergeCell ref="CQ3:CQ4"/>
  </mergeCells>
  <conditionalFormatting sqref="EH6:EH7">
    <cfRule type="cellIs" dxfId="2" priority="12" stopIfTrue="1" operator="equal">
      <formula>0</formula>
    </cfRule>
  </conditionalFormatting>
  <conditionalFormatting sqref="EH5">
    <cfRule type="cellIs" dxfId="1" priority="7" stopIfTrue="1" operator="equal">
      <formula>0</formula>
    </cfRule>
  </conditionalFormatting>
  <conditionalFormatting sqref="AK3">
    <cfRule type="cellIs" dxfId="0" priority="3" stopIfTrue="1" operator="greaterThanOrEqual">
      <formula>238.5</formula>
    </cfRule>
  </conditionalFormatting>
  <printOptions horizontalCentered="1"/>
  <pageMargins left="0.59055118110236227" right="0.59055118110236227" top="0.59055118110236227" bottom="0.59055118110236227" header="0.31496062992125984" footer="0.31496062992125984"/>
  <pageSetup paperSize="258" scale="63" orientation="landscape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ورقة2!$F$7:$F$19</xm:f>
          </x14:formula1>
          <xm:sqref>C6:C8</xm:sqref>
        </x14:dataValidation>
        <x14:dataValidation type="list" allowBlank="1" showInputMessage="1" showErrorMessage="1" errorTitle="تحذير" error="اختيار غير موجود">
          <x14:formula1>
            <xm:f>قوائم!$B$2:$B$3</xm:f>
          </x14:formula1>
          <xm:sqref>E6:E7</xm:sqref>
        </x14:dataValidation>
        <x14:dataValidation type="list" allowBlank="1" showInputMessage="1" showErrorMessage="1" errorTitle="تحذير" error="اختيار غير موجود">
          <x14:formula1>
            <xm:f>قوائم!$C$2:$C$10</xm:f>
          </x14:formula1>
          <xm:sqref>F6</xm:sqref>
        </x14:dataValidation>
        <x14:dataValidation type="list" allowBlank="1" showInputMessage="1" showErrorMessage="1" errorTitle="نحذير" error="اختيار غير موجود" promptTitle="الصرف">
          <x14:formula1>
            <xm:f>قوائم!$D$2:$D$3</xm:f>
          </x14:formula1>
          <xm:sqref>CS6:CS7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7:I19"/>
  <sheetViews>
    <sheetView rightToLeft="1" workbookViewId="0">
      <selection activeCell="O19" sqref="O19"/>
    </sheetView>
  </sheetViews>
  <sheetFormatPr defaultRowHeight="14.25"/>
  <sheetData>
    <row r="7" spans="6:9">
      <c r="F7" t="s">
        <v>3</v>
      </c>
    </row>
    <row r="8" spans="6:9">
      <c r="F8" t="s">
        <v>2</v>
      </c>
      <c r="I8" t="s">
        <v>18</v>
      </c>
    </row>
    <row r="9" spans="6:9">
      <c r="F9" t="s">
        <v>1</v>
      </c>
      <c r="I9" t="s">
        <v>19</v>
      </c>
    </row>
    <row r="10" spans="6:9">
      <c r="F10" t="s">
        <v>4</v>
      </c>
    </row>
    <row r="11" spans="6:9">
      <c r="F11" t="s">
        <v>5</v>
      </c>
    </row>
    <row r="12" spans="6:9">
      <c r="F12" t="s">
        <v>6</v>
      </c>
    </row>
    <row r="13" spans="6:9">
      <c r="F13" t="s">
        <v>7</v>
      </c>
    </row>
    <row r="14" spans="6:9">
      <c r="F14" t="s">
        <v>8</v>
      </c>
    </row>
    <row r="15" spans="6:9">
      <c r="F15" t="s">
        <v>9</v>
      </c>
    </row>
    <row r="16" spans="6:9">
      <c r="F16" t="s">
        <v>10</v>
      </c>
    </row>
    <row r="17" spans="6:6">
      <c r="F17" t="s">
        <v>11</v>
      </c>
    </row>
    <row r="18" spans="6:6">
      <c r="F18" t="s">
        <v>12</v>
      </c>
    </row>
    <row r="19" spans="6:6">
      <c r="F19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rightToLeft="1" workbookViewId="0">
      <selection activeCell="A14" sqref="A14"/>
    </sheetView>
  </sheetViews>
  <sheetFormatPr defaultRowHeight="14.25"/>
  <cols>
    <col min="1" max="1" width="30.75" customWidth="1"/>
    <col min="2" max="2" width="17.75" customWidth="1"/>
    <col min="3" max="3" width="25.125" customWidth="1"/>
  </cols>
  <sheetData>
    <row r="1" spans="1:4" ht="31.5" thickBot="1">
      <c r="A1" s="54" t="s">
        <v>108</v>
      </c>
      <c r="B1" s="54" t="s">
        <v>78</v>
      </c>
      <c r="C1" s="54" t="s">
        <v>81</v>
      </c>
      <c r="D1" s="62" t="s">
        <v>116</v>
      </c>
    </row>
    <row r="2" spans="1:4" ht="27" thickBot="1">
      <c r="A2" s="55" t="s">
        <v>3</v>
      </c>
      <c r="B2" s="56" t="s">
        <v>79</v>
      </c>
      <c r="C2" s="57" t="s">
        <v>109</v>
      </c>
      <c r="D2" s="55" t="s">
        <v>117</v>
      </c>
    </row>
    <row r="3" spans="1:4" ht="27" thickBot="1">
      <c r="A3" s="55" t="s">
        <v>2</v>
      </c>
      <c r="B3" s="58" t="s">
        <v>80</v>
      </c>
      <c r="C3" s="57" t="s">
        <v>110</v>
      </c>
      <c r="D3" s="55" t="s">
        <v>118</v>
      </c>
    </row>
    <row r="4" spans="1:4" ht="27" thickBot="1">
      <c r="A4" s="55" t="s">
        <v>1</v>
      </c>
      <c r="B4" s="1"/>
      <c r="C4" s="57" t="s">
        <v>0</v>
      </c>
    </row>
    <row r="5" spans="1:4" ht="27" thickBot="1">
      <c r="A5" s="55" t="s">
        <v>4</v>
      </c>
      <c r="B5" s="1"/>
      <c r="C5" s="57" t="s">
        <v>111</v>
      </c>
    </row>
    <row r="6" spans="1:4" ht="27" thickBot="1">
      <c r="A6" s="55" t="s">
        <v>5</v>
      </c>
      <c r="B6" s="1"/>
      <c r="C6" s="57" t="s">
        <v>82</v>
      </c>
    </row>
    <row r="7" spans="1:4" ht="27" thickBot="1">
      <c r="A7" s="55" t="s">
        <v>6</v>
      </c>
      <c r="B7" s="1"/>
      <c r="C7" s="57" t="s">
        <v>112</v>
      </c>
    </row>
    <row r="8" spans="1:4" ht="27" thickBot="1">
      <c r="A8" s="55" t="s">
        <v>7</v>
      </c>
      <c r="B8" s="1"/>
      <c r="C8" s="57" t="s">
        <v>113</v>
      </c>
    </row>
    <row r="9" spans="1:4" ht="27" thickBot="1">
      <c r="A9" s="55" t="s">
        <v>8</v>
      </c>
      <c r="B9" s="1"/>
      <c r="C9" s="57" t="s">
        <v>114</v>
      </c>
    </row>
    <row r="10" spans="1:4" ht="27" thickBot="1">
      <c r="A10" s="55" t="s">
        <v>9</v>
      </c>
      <c r="B10" s="1"/>
      <c r="C10" s="57" t="s">
        <v>115</v>
      </c>
    </row>
    <row r="11" spans="1:4" ht="27" thickBot="1">
      <c r="A11" s="55" t="s">
        <v>10</v>
      </c>
      <c r="B11" s="1"/>
      <c r="C11" s="1"/>
    </row>
    <row r="12" spans="1:4" ht="27" thickBot="1">
      <c r="A12" s="55" t="s">
        <v>11</v>
      </c>
      <c r="B12" s="1"/>
      <c r="C12" s="1"/>
    </row>
    <row r="13" spans="1:4" ht="27" thickBot="1">
      <c r="A13" s="55" t="s">
        <v>12</v>
      </c>
      <c r="B13" s="1"/>
      <c r="C13" s="1"/>
    </row>
    <row r="14" spans="1:4" ht="27" thickBot="1">
      <c r="A14" s="55" t="s">
        <v>13</v>
      </c>
      <c r="B14" s="1"/>
      <c r="C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SALARY</vt:lpstr>
      <vt:lpstr>ورقة2</vt:lpstr>
      <vt:lpstr>قوائم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</dc:creator>
  <cp:lastModifiedBy>Ahmed</cp:lastModifiedBy>
  <cp:lastPrinted>2019-10-26T19:18:39Z</cp:lastPrinted>
  <dcterms:created xsi:type="dcterms:W3CDTF">2019-10-25T16:50:48Z</dcterms:created>
  <dcterms:modified xsi:type="dcterms:W3CDTF">2020-07-26T12:14:42Z</dcterms:modified>
</cp:coreProperties>
</file>