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0590" windowHeight="8040" activeTab="4"/>
  </bookViews>
  <sheets>
    <sheet name="اعدادى" sheetId="10" r:id="rId1"/>
    <sheet name="اعدادى 1" sheetId="11" r:id="rId2"/>
    <sheet name="ثانوى1" sheetId="14" r:id="rId3"/>
    <sheet name="بنك" sheetId="8" r:id="rId4"/>
    <sheet name="خلفية (3)" sheetId="19" r:id="rId5"/>
    <sheet name="خلفية بنك" sheetId="21" r:id="rId6"/>
    <sheet name="مفردات مدرس" sheetId="25" r:id="rId7"/>
    <sheet name="مفردات إدارى" sheetId="16" r:id="rId8"/>
    <sheet name="بيان استقطاعات" sheetId="17" r:id="rId9"/>
    <sheet name="استقطاعات 2" sheetId="18" r:id="rId10"/>
    <sheet name="Sheet1" sheetId="22" r:id="rId11"/>
    <sheet name="Sheet2" sheetId="23" r:id="rId12"/>
  </sheets>
  <externalReferences>
    <externalReference r:id="rId13"/>
  </externalReferences>
  <definedNames>
    <definedName name="_xlnm.Print_Area" localSheetId="10">Sheet1!$A$1:$K$29</definedName>
    <definedName name="_xlnm.Print_Area" localSheetId="9">'استقطاعات 2'!$A$1:$I$39</definedName>
    <definedName name="_xlnm.Print_Area" localSheetId="0">اعدادى!$D$6:$BL$35</definedName>
    <definedName name="_xlnm.Print_Area" localSheetId="1">'اعدادى 1'!$D$6:$BL$34</definedName>
    <definedName name="_xlnm.Print_Area" localSheetId="3">بنك!$D$6:$BM$32</definedName>
    <definedName name="_xlnm.Print_Area" localSheetId="2">ثانوى1!$D$6:$BL$35</definedName>
    <definedName name="_xlnm.Print_Area" localSheetId="4">'خلفية (3)'!$A$6:$M$77</definedName>
    <definedName name="_xlnm.Print_Area" localSheetId="5">'خلفية بنك'!$A$6:$N$78</definedName>
    <definedName name="_xlnm.Print_Area" localSheetId="7">'مفردات إدارى'!$B$1:$H$44</definedName>
    <definedName name="_xlnm.Print_Area" localSheetId="6">'مفردات مدرس'!$B$1:$H$43</definedName>
  </definedNames>
  <calcPr calcId="144525"/>
</workbook>
</file>

<file path=xl/calcChain.xml><?xml version="1.0" encoding="utf-8"?>
<calcChain xmlns="http://schemas.openxmlformats.org/spreadsheetml/2006/main">
  <c r="F16" i="16" l="1"/>
  <c r="F15" i="16"/>
  <c r="F14" i="16"/>
  <c r="F13" i="16"/>
  <c r="F12" i="16"/>
  <c r="F11" i="16"/>
  <c r="F10" i="16"/>
  <c r="F9" i="16"/>
  <c r="B36" i="16"/>
  <c r="B24" i="16"/>
  <c r="B23" i="16"/>
  <c r="B22" i="16"/>
  <c r="B21" i="16"/>
  <c r="B19" i="16"/>
  <c r="B17" i="16"/>
  <c r="B16" i="16"/>
  <c r="B15" i="16"/>
  <c r="B14" i="16"/>
  <c r="B13" i="16"/>
  <c r="B12" i="16"/>
  <c r="B11" i="16"/>
  <c r="B10" i="16"/>
  <c r="B9" i="16"/>
  <c r="F39" i="25"/>
  <c r="F38" i="25"/>
  <c r="F37" i="25"/>
  <c r="F36" i="25"/>
  <c r="F35" i="25"/>
  <c r="F34" i="25"/>
  <c r="F33" i="25"/>
  <c r="F32" i="25"/>
  <c r="F31" i="25"/>
  <c r="F30" i="25"/>
  <c r="B30" i="25"/>
  <c r="F29" i="25"/>
  <c r="F28" i="25"/>
  <c r="B28" i="25"/>
  <c r="F27" i="25"/>
  <c r="B27" i="25"/>
  <c r="F26" i="25"/>
  <c r="B26" i="25"/>
  <c r="F25" i="25"/>
  <c r="B25" i="25"/>
  <c r="F24" i="25"/>
  <c r="B24" i="25"/>
  <c r="F23" i="25"/>
  <c r="B23" i="25"/>
  <c r="B22" i="25"/>
  <c r="F21" i="25"/>
  <c r="B21" i="25"/>
  <c r="F20" i="25"/>
  <c r="B20" i="25"/>
  <c r="B19" i="25"/>
  <c r="F18" i="25"/>
  <c r="B18" i="25"/>
  <c r="F17" i="25"/>
  <c r="B17" i="25"/>
  <c r="B16" i="25"/>
  <c r="B15" i="25"/>
  <c r="B14" i="25"/>
  <c r="B13" i="25"/>
  <c r="B12" i="25"/>
  <c r="B11" i="25"/>
  <c r="B10" i="25"/>
  <c r="B9" i="25"/>
  <c r="C6" i="25"/>
  <c r="H4" i="25"/>
  <c r="D4" i="25"/>
  <c r="C4" i="25"/>
  <c r="C93" i="10"/>
  <c r="C94" i="10"/>
  <c r="C80" i="10"/>
  <c r="C81" i="10"/>
  <c r="C82" i="10"/>
  <c r="C83" i="10"/>
  <c r="C84" i="10"/>
  <c r="C85" i="10"/>
  <c r="C86" i="10"/>
  <c r="C87" i="10"/>
  <c r="C88" i="10"/>
  <c r="C89" i="10"/>
  <c r="C90" i="10"/>
  <c r="C91" i="10"/>
  <c r="C92" i="10"/>
  <c r="C79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C76" i="10"/>
  <c r="C77" i="10"/>
  <c r="C78" i="10"/>
  <c r="C63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60" i="10"/>
  <c r="C61" i="10"/>
  <c r="C62" i="10"/>
  <c r="C42" i="10"/>
  <c r="BQ11" i="14"/>
  <c r="BQ12" i="14"/>
  <c r="BQ13" i="14"/>
  <c r="BQ14" i="14"/>
  <c r="BQ15" i="14"/>
  <c r="BQ16" i="14"/>
  <c r="BQ17" i="14"/>
  <c r="BQ18" i="14"/>
  <c r="BQ19" i="14"/>
  <c r="BQ20" i="14"/>
  <c r="BQ21" i="14"/>
  <c r="BQ22" i="14"/>
  <c r="BQ23" i="14"/>
  <c r="BQ24" i="14"/>
  <c r="BQ25" i="14"/>
  <c r="BQ10" i="14"/>
  <c r="F80" i="10"/>
  <c r="G80" i="10"/>
  <c r="H80" i="10"/>
  <c r="I80" i="10"/>
  <c r="J80" i="10"/>
  <c r="K80" i="10"/>
  <c r="L80" i="10"/>
  <c r="M80" i="10"/>
  <c r="N80" i="10"/>
  <c r="O80" i="10"/>
  <c r="BQ80" i="10" s="1"/>
  <c r="P80" i="10"/>
  <c r="Q80" i="10"/>
  <c r="R80" i="10"/>
  <c r="S80" i="10"/>
  <c r="T80" i="10"/>
  <c r="U80" i="10"/>
  <c r="V80" i="10"/>
  <c r="W80" i="10"/>
  <c r="X80" i="10"/>
  <c r="Y80" i="10"/>
  <c r="Z80" i="10"/>
  <c r="AA80" i="10"/>
  <c r="AB80" i="10"/>
  <c r="AC80" i="10"/>
  <c r="AD80" i="10"/>
  <c r="AE80" i="10"/>
  <c r="AF80" i="10"/>
  <c r="AG80" i="10"/>
  <c r="AH80" i="10"/>
  <c r="AI80" i="10"/>
  <c r="AJ80" i="10"/>
  <c r="AK80" i="10"/>
  <c r="AL80" i="10"/>
  <c r="AM80" i="10"/>
  <c r="AN80" i="10"/>
  <c r="AO80" i="10"/>
  <c r="AP80" i="10"/>
  <c r="AQ80" i="10"/>
  <c r="AR80" i="10"/>
  <c r="AS80" i="10"/>
  <c r="AT80" i="10"/>
  <c r="AU80" i="10"/>
  <c r="AV80" i="10"/>
  <c r="AW80" i="10"/>
  <c r="AX80" i="10"/>
  <c r="AY80" i="10"/>
  <c r="AZ80" i="10"/>
  <c r="BA80" i="10"/>
  <c r="BB80" i="10"/>
  <c r="BC80" i="10"/>
  <c r="BD80" i="10"/>
  <c r="BE80" i="10"/>
  <c r="BF80" i="10"/>
  <c r="BG80" i="10"/>
  <c r="BH80" i="10"/>
  <c r="BI80" i="10"/>
  <c r="BJ80" i="10"/>
  <c r="BK80" i="10"/>
  <c r="BL80" i="10"/>
  <c r="BM80" i="10"/>
  <c r="BN80" i="10"/>
  <c r="BO80" i="10"/>
  <c r="BP80" i="10"/>
  <c r="BS80" i="10"/>
  <c r="BT80" i="10"/>
  <c r="F81" i="10"/>
  <c r="G81" i="10"/>
  <c r="H81" i="10"/>
  <c r="I81" i="10"/>
  <c r="J81" i="10"/>
  <c r="K81" i="10"/>
  <c r="L81" i="10"/>
  <c r="M81" i="10"/>
  <c r="N81" i="10"/>
  <c r="O81" i="10"/>
  <c r="P81" i="10"/>
  <c r="Q81" i="10"/>
  <c r="R81" i="10"/>
  <c r="S81" i="10"/>
  <c r="T81" i="10"/>
  <c r="U81" i="10"/>
  <c r="V81" i="10"/>
  <c r="W81" i="10"/>
  <c r="X81" i="10"/>
  <c r="Y81" i="10"/>
  <c r="Z81" i="10"/>
  <c r="AA81" i="10"/>
  <c r="AB81" i="10"/>
  <c r="AC81" i="10"/>
  <c r="AD81" i="10"/>
  <c r="AE81" i="10"/>
  <c r="AF81" i="10"/>
  <c r="AG81" i="10"/>
  <c r="AH81" i="10"/>
  <c r="AI81" i="10"/>
  <c r="AJ81" i="10"/>
  <c r="AK81" i="10"/>
  <c r="AL81" i="10"/>
  <c r="AM81" i="10"/>
  <c r="AN81" i="10"/>
  <c r="AO81" i="10"/>
  <c r="AP81" i="10"/>
  <c r="AQ81" i="10"/>
  <c r="AR81" i="10"/>
  <c r="AS81" i="10"/>
  <c r="AT81" i="10"/>
  <c r="AU81" i="10"/>
  <c r="AV81" i="10"/>
  <c r="AW81" i="10"/>
  <c r="AX81" i="10"/>
  <c r="AY81" i="10"/>
  <c r="AZ81" i="10"/>
  <c r="BA81" i="10"/>
  <c r="BB81" i="10"/>
  <c r="BC81" i="10"/>
  <c r="BD81" i="10"/>
  <c r="BE81" i="10"/>
  <c r="BF81" i="10"/>
  <c r="BG81" i="10"/>
  <c r="BH81" i="10"/>
  <c r="BI81" i="10"/>
  <c r="BJ81" i="10"/>
  <c r="BK81" i="10"/>
  <c r="BL81" i="10"/>
  <c r="BM81" i="10"/>
  <c r="BN81" i="10"/>
  <c r="BO81" i="10"/>
  <c r="BP81" i="10"/>
  <c r="BS81" i="10"/>
  <c r="BT81" i="10"/>
  <c r="F82" i="10"/>
  <c r="G82" i="10"/>
  <c r="H82" i="10"/>
  <c r="I82" i="10"/>
  <c r="J82" i="10"/>
  <c r="K82" i="10"/>
  <c r="L82" i="10"/>
  <c r="M82" i="10"/>
  <c r="N82" i="10"/>
  <c r="O82" i="10"/>
  <c r="P82" i="10"/>
  <c r="Q82" i="10"/>
  <c r="R82" i="10"/>
  <c r="S82" i="10"/>
  <c r="T82" i="10"/>
  <c r="U82" i="10"/>
  <c r="V82" i="10"/>
  <c r="W82" i="10"/>
  <c r="X82" i="10"/>
  <c r="Y82" i="10"/>
  <c r="Z82" i="10"/>
  <c r="AA82" i="10"/>
  <c r="AB82" i="10"/>
  <c r="AC82" i="10"/>
  <c r="AD82" i="10"/>
  <c r="AE82" i="10"/>
  <c r="AF82" i="10"/>
  <c r="AG82" i="10"/>
  <c r="AH82" i="10"/>
  <c r="AI82" i="10"/>
  <c r="AJ82" i="10"/>
  <c r="AK82" i="10"/>
  <c r="AL82" i="10"/>
  <c r="AM82" i="10"/>
  <c r="AN82" i="10"/>
  <c r="AO82" i="10"/>
  <c r="AP82" i="10"/>
  <c r="AQ82" i="10"/>
  <c r="AR82" i="10"/>
  <c r="AS82" i="10"/>
  <c r="AT82" i="10"/>
  <c r="AU82" i="10"/>
  <c r="AV82" i="10"/>
  <c r="AW82" i="10"/>
  <c r="AX82" i="10"/>
  <c r="AY82" i="10"/>
  <c r="AZ82" i="10"/>
  <c r="BA82" i="10"/>
  <c r="BB82" i="10"/>
  <c r="BC82" i="10"/>
  <c r="BD82" i="10"/>
  <c r="BE82" i="10"/>
  <c r="BF82" i="10"/>
  <c r="BG82" i="10"/>
  <c r="BH82" i="10"/>
  <c r="BI82" i="10"/>
  <c r="BJ82" i="10"/>
  <c r="BK82" i="10"/>
  <c r="BL82" i="10"/>
  <c r="BM82" i="10"/>
  <c r="BN82" i="10"/>
  <c r="BO82" i="10"/>
  <c r="BP82" i="10"/>
  <c r="BS82" i="10"/>
  <c r="BT82" i="10"/>
  <c r="F83" i="10"/>
  <c r="G83" i="10"/>
  <c r="H83" i="10"/>
  <c r="I83" i="10"/>
  <c r="J83" i="10"/>
  <c r="K83" i="10"/>
  <c r="L83" i="10"/>
  <c r="M83" i="10"/>
  <c r="N83" i="10"/>
  <c r="O83" i="10"/>
  <c r="P83" i="10"/>
  <c r="Q83" i="10"/>
  <c r="R83" i="10"/>
  <c r="S83" i="10"/>
  <c r="T83" i="10"/>
  <c r="U83" i="10"/>
  <c r="V83" i="10"/>
  <c r="W83" i="10"/>
  <c r="X83" i="10"/>
  <c r="Y83" i="10"/>
  <c r="Z83" i="10"/>
  <c r="AA83" i="10"/>
  <c r="AB83" i="10"/>
  <c r="AC83" i="10"/>
  <c r="AD83" i="10"/>
  <c r="AE83" i="10"/>
  <c r="AF83" i="10"/>
  <c r="AG83" i="10"/>
  <c r="AH83" i="10"/>
  <c r="AI83" i="10"/>
  <c r="AJ83" i="10"/>
  <c r="AK83" i="10"/>
  <c r="AL83" i="10"/>
  <c r="AM83" i="10"/>
  <c r="AN83" i="10"/>
  <c r="AO83" i="10"/>
  <c r="AP83" i="10"/>
  <c r="AQ83" i="10"/>
  <c r="AR83" i="10"/>
  <c r="AS83" i="10"/>
  <c r="AT83" i="10"/>
  <c r="AU83" i="10"/>
  <c r="AV83" i="10"/>
  <c r="AW83" i="10"/>
  <c r="AX83" i="10"/>
  <c r="AY83" i="10"/>
  <c r="AZ83" i="10"/>
  <c r="BA83" i="10"/>
  <c r="BB83" i="10"/>
  <c r="BC83" i="10"/>
  <c r="BD83" i="10"/>
  <c r="BE83" i="10"/>
  <c r="BF83" i="10"/>
  <c r="BG83" i="10"/>
  <c r="BH83" i="10"/>
  <c r="BI83" i="10"/>
  <c r="BJ83" i="10"/>
  <c r="BK83" i="10"/>
  <c r="BL83" i="10"/>
  <c r="BM83" i="10"/>
  <c r="BN83" i="10"/>
  <c r="BO83" i="10"/>
  <c r="BP83" i="10"/>
  <c r="BS83" i="10"/>
  <c r="BT83" i="10"/>
  <c r="F84" i="10"/>
  <c r="G84" i="10"/>
  <c r="H84" i="10"/>
  <c r="I84" i="10"/>
  <c r="J84" i="10"/>
  <c r="K84" i="10"/>
  <c r="L84" i="10"/>
  <c r="M84" i="10"/>
  <c r="N84" i="10"/>
  <c r="O84" i="10"/>
  <c r="BQ84" i="10" s="1"/>
  <c r="P84" i="10"/>
  <c r="Q84" i="10"/>
  <c r="R84" i="10"/>
  <c r="S84" i="10"/>
  <c r="T84" i="10"/>
  <c r="U84" i="10"/>
  <c r="V84" i="10"/>
  <c r="W84" i="10"/>
  <c r="X84" i="10"/>
  <c r="Y84" i="10"/>
  <c r="Z84" i="10"/>
  <c r="AA84" i="10"/>
  <c r="AB84" i="10"/>
  <c r="AC84" i="10"/>
  <c r="AD84" i="10"/>
  <c r="AE84" i="10"/>
  <c r="AF84" i="10"/>
  <c r="AG84" i="10"/>
  <c r="AH84" i="10"/>
  <c r="AI84" i="10"/>
  <c r="AJ84" i="10"/>
  <c r="AK84" i="10"/>
  <c r="AL84" i="10"/>
  <c r="AM84" i="10"/>
  <c r="AN84" i="10"/>
  <c r="AO84" i="10"/>
  <c r="AP84" i="10"/>
  <c r="AQ84" i="10"/>
  <c r="AR84" i="10"/>
  <c r="AS84" i="10"/>
  <c r="AT84" i="10"/>
  <c r="AU84" i="10"/>
  <c r="AV84" i="10"/>
  <c r="AW84" i="10"/>
  <c r="AX84" i="10"/>
  <c r="AY84" i="10"/>
  <c r="AZ84" i="10"/>
  <c r="BA84" i="10"/>
  <c r="BB84" i="10"/>
  <c r="BC84" i="10"/>
  <c r="BD84" i="10"/>
  <c r="BE84" i="10"/>
  <c r="BF84" i="10"/>
  <c r="BG84" i="10"/>
  <c r="BH84" i="10"/>
  <c r="BI84" i="10"/>
  <c r="BJ84" i="10"/>
  <c r="BK84" i="10"/>
  <c r="BL84" i="10"/>
  <c r="BM84" i="10"/>
  <c r="BN84" i="10"/>
  <c r="BO84" i="10"/>
  <c r="BP84" i="10"/>
  <c r="BS84" i="10"/>
  <c r="BT84" i="10"/>
  <c r="F85" i="10"/>
  <c r="G85" i="10"/>
  <c r="H85" i="10"/>
  <c r="I85" i="10"/>
  <c r="J85" i="10"/>
  <c r="K85" i="10"/>
  <c r="L85" i="10"/>
  <c r="M85" i="10"/>
  <c r="N85" i="10"/>
  <c r="O85" i="10"/>
  <c r="P85" i="10"/>
  <c r="Q85" i="10"/>
  <c r="R85" i="10"/>
  <c r="S85" i="10"/>
  <c r="T85" i="10"/>
  <c r="U85" i="10"/>
  <c r="V85" i="10"/>
  <c r="W85" i="10"/>
  <c r="X85" i="10"/>
  <c r="Y85" i="10"/>
  <c r="Z85" i="10"/>
  <c r="AA85" i="10"/>
  <c r="AB85" i="10"/>
  <c r="AC85" i="10"/>
  <c r="AD85" i="10"/>
  <c r="AE85" i="10"/>
  <c r="AF85" i="10"/>
  <c r="AG85" i="10"/>
  <c r="AH85" i="10"/>
  <c r="AI85" i="10"/>
  <c r="AJ85" i="10"/>
  <c r="AK85" i="10"/>
  <c r="AL85" i="10"/>
  <c r="AM85" i="10"/>
  <c r="AN85" i="10"/>
  <c r="AO85" i="10"/>
  <c r="AP85" i="10"/>
  <c r="AQ85" i="10"/>
  <c r="AR85" i="10"/>
  <c r="AS85" i="10"/>
  <c r="AT85" i="10"/>
  <c r="AU85" i="10"/>
  <c r="AV85" i="10"/>
  <c r="AW85" i="10"/>
  <c r="AX85" i="10"/>
  <c r="AY85" i="10"/>
  <c r="AZ85" i="10"/>
  <c r="BA85" i="10"/>
  <c r="BB85" i="10"/>
  <c r="BC85" i="10"/>
  <c r="BD85" i="10"/>
  <c r="BE85" i="10"/>
  <c r="BF85" i="10"/>
  <c r="BG85" i="10"/>
  <c r="BH85" i="10"/>
  <c r="BI85" i="10"/>
  <c r="BJ85" i="10"/>
  <c r="BK85" i="10"/>
  <c r="BL85" i="10"/>
  <c r="BM85" i="10"/>
  <c r="BN85" i="10"/>
  <c r="BO85" i="10"/>
  <c r="BP85" i="10"/>
  <c r="BS85" i="10"/>
  <c r="BT85" i="10"/>
  <c r="F86" i="10"/>
  <c r="G86" i="10"/>
  <c r="H86" i="10"/>
  <c r="I86" i="10"/>
  <c r="J86" i="10"/>
  <c r="K86" i="10"/>
  <c r="L86" i="10"/>
  <c r="M86" i="10"/>
  <c r="N86" i="10"/>
  <c r="O86" i="10"/>
  <c r="P86" i="10"/>
  <c r="Q86" i="10"/>
  <c r="R86" i="10"/>
  <c r="S86" i="10"/>
  <c r="T86" i="10"/>
  <c r="U86" i="10"/>
  <c r="V86" i="10"/>
  <c r="W86" i="10"/>
  <c r="X86" i="10"/>
  <c r="Y86" i="10"/>
  <c r="Z86" i="10"/>
  <c r="AA86" i="10"/>
  <c r="AB86" i="10"/>
  <c r="AC86" i="10"/>
  <c r="AD86" i="10"/>
  <c r="AE86" i="10"/>
  <c r="AF86" i="10"/>
  <c r="AG86" i="10"/>
  <c r="AH86" i="10"/>
  <c r="AI86" i="10"/>
  <c r="AJ86" i="10"/>
  <c r="AK86" i="10"/>
  <c r="AL86" i="10"/>
  <c r="AM86" i="10"/>
  <c r="AN86" i="10"/>
  <c r="AO86" i="10"/>
  <c r="AP86" i="10"/>
  <c r="AQ86" i="10"/>
  <c r="AR86" i="10"/>
  <c r="AS86" i="10"/>
  <c r="AT86" i="10"/>
  <c r="AU86" i="10"/>
  <c r="AV86" i="10"/>
  <c r="AW86" i="10"/>
  <c r="AX86" i="10"/>
  <c r="AY86" i="10"/>
  <c r="AZ86" i="10"/>
  <c r="BA86" i="10"/>
  <c r="BB86" i="10"/>
  <c r="BC86" i="10"/>
  <c r="BD86" i="10"/>
  <c r="BE86" i="10"/>
  <c r="BF86" i="10"/>
  <c r="BG86" i="10"/>
  <c r="BH86" i="10"/>
  <c r="BI86" i="10"/>
  <c r="BJ86" i="10"/>
  <c r="BK86" i="10"/>
  <c r="BL86" i="10"/>
  <c r="BM86" i="10"/>
  <c r="BN86" i="10"/>
  <c r="BO86" i="10"/>
  <c r="BP86" i="10"/>
  <c r="BS86" i="10"/>
  <c r="BT86" i="10"/>
  <c r="F87" i="10"/>
  <c r="G87" i="10"/>
  <c r="H87" i="10"/>
  <c r="I87" i="10"/>
  <c r="J87" i="10"/>
  <c r="K87" i="10"/>
  <c r="L87" i="10"/>
  <c r="M87" i="10"/>
  <c r="N87" i="10"/>
  <c r="O87" i="10"/>
  <c r="P87" i="10"/>
  <c r="Q87" i="10"/>
  <c r="R87" i="10"/>
  <c r="S87" i="10"/>
  <c r="T87" i="10"/>
  <c r="U87" i="10"/>
  <c r="V87" i="10"/>
  <c r="W87" i="10"/>
  <c r="X87" i="10"/>
  <c r="Y87" i="10"/>
  <c r="Z87" i="10"/>
  <c r="AA87" i="10"/>
  <c r="AB87" i="10"/>
  <c r="AC87" i="10"/>
  <c r="AD87" i="10"/>
  <c r="AE87" i="10"/>
  <c r="AF87" i="10"/>
  <c r="AG87" i="10"/>
  <c r="AH87" i="10"/>
  <c r="AI87" i="10"/>
  <c r="AJ87" i="10"/>
  <c r="AK87" i="10"/>
  <c r="AL87" i="10"/>
  <c r="AM87" i="10"/>
  <c r="AN87" i="10"/>
  <c r="AO87" i="10"/>
  <c r="AP87" i="10"/>
  <c r="AQ87" i="10"/>
  <c r="AR87" i="10"/>
  <c r="AS87" i="10"/>
  <c r="AT87" i="10"/>
  <c r="AU87" i="10"/>
  <c r="AV87" i="10"/>
  <c r="AW87" i="10"/>
  <c r="AX87" i="10"/>
  <c r="AY87" i="10"/>
  <c r="AZ87" i="10"/>
  <c r="BA87" i="10"/>
  <c r="BB87" i="10"/>
  <c r="BC87" i="10"/>
  <c r="BD87" i="10"/>
  <c r="BE87" i="10"/>
  <c r="BF87" i="10"/>
  <c r="BG87" i="10"/>
  <c r="BH87" i="10"/>
  <c r="BI87" i="10"/>
  <c r="BJ87" i="10"/>
  <c r="BK87" i="10"/>
  <c r="BL87" i="10"/>
  <c r="BM87" i="10"/>
  <c r="BN87" i="10"/>
  <c r="BO87" i="10"/>
  <c r="BP87" i="10"/>
  <c r="BS87" i="10"/>
  <c r="BT87" i="10"/>
  <c r="F88" i="10"/>
  <c r="G88" i="10"/>
  <c r="H88" i="10"/>
  <c r="I88" i="10"/>
  <c r="J88" i="10"/>
  <c r="K88" i="10"/>
  <c r="L88" i="10"/>
  <c r="M88" i="10"/>
  <c r="N88" i="10"/>
  <c r="O88" i="10"/>
  <c r="P88" i="10"/>
  <c r="Q88" i="10"/>
  <c r="R88" i="10"/>
  <c r="S88" i="10"/>
  <c r="T88" i="10"/>
  <c r="U88" i="10"/>
  <c r="V88" i="10"/>
  <c r="W88" i="10"/>
  <c r="X88" i="10"/>
  <c r="Y88" i="10"/>
  <c r="Z88" i="10"/>
  <c r="AA88" i="10"/>
  <c r="AB88" i="10"/>
  <c r="AC88" i="10"/>
  <c r="AD88" i="10"/>
  <c r="AE88" i="10"/>
  <c r="AF88" i="10"/>
  <c r="AG88" i="10"/>
  <c r="AH88" i="10"/>
  <c r="AI88" i="10"/>
  <c r="AJ88" i="10"/>
  <c r="AK88" i="10"/>
  <c r="AL88" i="10"/>
  <c r="AM88" i="10"/>
  <c r="AN88" i="10"/>
  <c r="AO88" i="10"/>
  <c r="AP88" i="10"/>
  <c r="AQ88" i="10"/>
  <c r="AR88" i="10"/>
  <c r="AS88" i="10"/>
  <c r="AT88" i="10"/>
  <c r="AU88" i="10"/>
  <c r="AV88" i="10"/>
  <c r="AW88" i="10"/>
  <c r="AX88" i="10"/>
  <c r="AY88" i="10"/>
  <c r="AZ88" i="10"/>
  <c r="BA88" i="10"/>
  <c r="BB88" i="10"/>
  <c r="BC88" i="10"/>
  <c r="BD88" i="10"/>
  <c r="BE88" i="10"/>
  <c r="BF88" i="10"/>
  <c r="BG88" i="10"/>
  <c r="BH88" i="10"/>
  <c r="BI88" i="10"/>
  <c r="BJ88" i="10"/>
  <c r="BK88" i="10"/>
  <c r="BL88" i="10"/>
  <c r="BM88" i="10"/>
  <c r="BN88" i="10"/>
  <c r="BO88" i="10"/>
  <c r="BP88" i="10"/>
  <c r="BS88" i="10"/>
  <c r="BT88" i="10"/>
  <c r="F89" i="10"/>
  <c r="G89" i="10"/>
  <c r="H89" i="10"/>
  <c r="I89" i="10"/>
  <c r="J89" i="10"/>
  <c r="K89" i="10"/>
  <c r="L89" i="10"/>
  <c r="M89" i="10"/>
  <c r="N89" i="10"/>
  <c r="O89" i="10"/>
  <c r="P89" i="10"/>
  <c r="Q89" i="10"/>
  <c r="R89" i="10"/>
  <c r="S89" i="10"/>
  <c r="T89" i="10"/>
  <c r="U89" i="10"/>
  <c r="V89" i="10"/>
  <c r="W89" i="10"/>
  <c r="X89" i="10"/>
  <c r="Y89" i="10"/>
  <c r="Z89" i="10"/>
  <c r="AA89" i="10"/>
  <c r="AB89" i="10"/>
  <c r="AC89" i="10"/>
  <c r="AD89" i="10"/>
  <c r="AE89" i="10"/>
  <c r="AF89" i="10"/>
  <c r="AG89" i="10"/>
  <c r="AH89" i="10"/>
  <c r="AI89" i="10"/>
  <c r="AJ89" i="10"/>
  <c r="AK89" i="10"/>
  <c r="AL89" i="10"/>
  <c r="AM89" i="10"/>
  <c r="AN89" i="10"/>
  <c r="AO89" i="10"/>
  <c r="AP89" i="10"/>
  <c r="AQ89" i="10"/>
  <c r="AR89" i="10"/>
  <c r="AS89" i="10"/>
  <c r="AT89" i="10"/>
  <c r="AU89" i="10"/>
  <c r="AV89" i="10"/>
  <c r="AW89" i="10"/>
  <c r="AX89" i="10"/>
  <c r="AY89" i="10"/>
  <c r="AZ89" i="10"/>
  <c r="BA89" i="10"/>
  <c r="BB89" i="10"/>
  <c r="BC89" i="10"/>
  <c r="BD89" i="10"/>
  <c r="BE89" i="10"/>
  <c r="BF89" i="10"/>
  <c r="BG89" i="10"/>
  <c r="BH89" i="10"/>
  <c r="BI89" i="10"/>
  <c r="BJ89" i="10"/>
  <c r="BK89" i="10"/>
  <c r="BL89" i="10"/>
  <c r="BM89" i="10"/>
  <c r="BN89" i="10"/>
  <c r="BO89" i="10"/>
  <c r="BP89" i="10"/>
  <c r="BS89" i="10"/>
  <c r="BT89" i="10"/>
  <c r="F90" i="10"/>
  <c r="G90" i="10"/>
  <c r="H90" i="10"/>
  <c r="I90" i="10"/>
  <c r="J90" i="10"/>
  <c r="K90" i="10"/>
  <c r="L90" i="10"/>
  <c r="M90" i="10"/>
  <c r="N90" i="10"/>
  <c r="O90" i="10"/>
  <c r="P90" i="10"/>
  <c r="Q90" i="10"/>
  <c r="R90" i="10"/>
  <c r="S90" i="10"/>
  <c r="T90" i="10"/>
  <c r="U90" i="10"/>
  <c r="V90" i="10"/>
  <c r="W90" i="10"/>
  <c r="X90" i="10"/>
  <c r="Y90" i="10"/>
  <c r="Z90" i="10"/>
  <c r="AA90" i="10"/>
  <c r="AB90" i="10"/>
  <c r="AC90" i="10"/>
  <c r="AD90" i="10"/>
  <c r="AE90" i="10"/>
  <c r="AF90" i="10"/>
  <c r="AG90" i="10"/>
  <c r="AH90" i="10"/>
  <c r="AI90" i="10"/>
  <c r="AJ90" i="10"/>
  <c r="AK90" i="10"/>
  <c r="AL90" i="10"/>
  <c r="AM90" i="10"/>
  <c r="AN90" i="10"/>
  <c r="AO90" i="10"/>
  <c r="AP90" i="10"/>
  <c r="AQ90" i="10"/>
  <c r="AR90" i="10"/>
  <c r="AS90" i="10"/>
  <c r="AT90" i="10"/>
  <c r="AU90" i="10"/>
  <c r="AV90" i="10"/>
  <c r="AW90" i="10"/>
  <c r="AX90" i="10"/>
  <c r="AY90" i="10"/>
  <c r="AZ90" i="10"/>
  <c r="BA90" i="10"/>
  <c r="BB90" i="10"/>
  <c r="BC90" i="10"/>
  <c r="BD90" i="10"/>
  <c r="BE90" i="10"/>
  <c r="BF90" i="10"/>
  <c r="BG90" i="10"/>
  <c r="BH90" i="10"/>
  <c r="BI90" i="10"/>
  <c r="BJ90" i="10"/>
  <c r="BK90" i="10"/>
  <c r="BL90" i="10"/>
  <c r="BM90" i="10"/>
  <c r="BN90" i="10"/>
  <c r="BO90" i="10"/>
  <c r="BP90" i="10"/>
  <c r="BS90" i="10"/>
  <c r="BT90" i="10"/>
  <c r="F91" i="10"/>
  <c r="G91" i="10"/>
  <c r="H91" i="10"/>
  <c r="I91" i="10"/>
  <c r="J91" i="10"/>
  <c r="K91" i="10"/>
  <c r="L91" i="10"/>
  <c r="M91" i="10"/>
  <c r="N91" i="10"/>
  <c r="O91" i="10"/>
  <c r="P91" i="10"/>
  <c r="Q91" i="10"/>
  <c r="R91" i="10"/>
  <c r="S91" i="10"/>
  <c r="T91" i="10"/>
  <c r="U91" i="10"/>
  <c r="V91" i="10"/>
  <c r="W91" i="10"/>
  <c r="X91" i="10"/>
  <c r="Y91" i="10"/>
  <c r="Z91" i="10"/>
  <c r="AA91" i="10"/>
  <c r="AB91" i="10"/>
  <c r="AC91" i="10"/>
  <c r="AD91" i="10"/>
  <c r="AE91" i="10"/>
  <c r="AF91" i="10"/>
  <c r="AG91" i="10"/>
  <c r="AH91" i="10"/>
  <c r="AI91" i="10"/>
  <c r="AJ91" i="10"/>
  <c r="AK91" i="10"/>
  <c r="AL91" i="10"/>
  <c r="AM91" i="10"/>
  <c r="AN91" i="10"/>
  <c r="AO91" i="10"/>
  <c r="AP91" i="10"/>
  <c r="AQ91" i="10"/>
  <c r="AR91" i="10"/>
  <c r="AS91" i="10"/>
  <c r="AT91" i="10"/>
  <c r="AU91" i="10"/>
  <c r="AV91" i="10"/>
  <c r="AW91" i="10"/>
  <c r="AX91" i="10"/>
  <c r="AY91" i="10"/>
  <c r="AZ91" i="10"/>
  <c r="BA91" i="10"/>
  <c r="BB91" i="10"/>
  <c r="BC91" i="10"/>
  <c r="BD91" i="10"/>
  <c r="BE91" i="10"/>
  <c r="BF91" i="10"/>
  <c r="BG91" i="10"/>
  <c r="BH91" i="10"/>
  <c r="BI91" i="10"/>
  <c r="BJ91" i="10"/>
  <c r="BK91" i="10"/>
  <c r="BL91" i="10"/>
  <c r="BM91" i="10"/>
  <c r="BN91" i="10"/>
  <c r="BO91" i="10"/>
  <c r="BP91" i="10"/>
  <c r="BS91" i="10"/>
  <c r="BT91" i="10"/>
  <c r="F92" i="10"/>
  <c r="G92" i="10"/>
  <c r="H92" i="10"/>
  <c r="I92" i="10"/>
  <c r="J92" i="10"/>
  <c r="K92" i="10"/>
  <c r="L92" i="10"/>
  <c r="M92" i="10"/>
  <c r="N92" i="10"/>
  <c r="O92" i="10"/>
  <c r="P92" i="10"/>
  <c r="Q92" i="10"/>
  <c r="R92" i="10"/>
  <c r="S92" i="10"/>
  <c r="T92" i="10"/>
  <c r="U92" i="10"/>
  <c r="V92" i="10"/>
  <c r="W92" i="10"/>
  <c r="X92" i="10"/>
  <c r="Y92" i="10"/>
  <c r="Z92" i="10"/>
  <c r="AA92" i="10"/>
  <c r="AB92" i="10"/>
  <c r="AC92" i="10"/>
  <c r="AD92" i="10"/>
  <c r="AE92" i="10"/>
  <c r="AF92" i="10"/>
  <c r="AG92" i="10"/>
  <c r="AH92" i="10"/>
  <c r="AI92" i="10"/>
  <c r="AJ92" i="10"/>
  <c r="AK92" i="10"/>
  <c r="AL92" i="10"/>
  <c r="AM92" i="10"/>
  <c r="AN92" i="10"/>
  <c r="AO92" i="10"/>
  <c r="AP92" i="10"/>
  <c r="AQ92" i="10"/>
  <c r="AR92" i="10"/>
  <c r="AS92" i="10"/>
  <c r="AT92" i="10"/>
  <c r="AU92" i="10"/>
  <c r="AV92" i="10"/>
  <c r="AW92" i="10"/>
  <c r="AX92" i="10"/>
  <c r="AY92" i="10"/>
  <c r="AZ92" i="10"/>
  <c r="BA92" i="10"/>
  <c r="BB92" i="10"/>
  <c r="BC92" i="10"/>
  <c r="BD92" i="10"/>
  <c r="BE92" i="10"/>
  <c r="BF92" i="10"/>
  <c r="BG92" i="10"/>
  <c r="BH92" i="10"/>
  <c r="BI92" i="10"/>
  <c r="BJ92" i="10"/>
  <c r="BK92" i="10"/>
  <c r="BL92" i="10"/>
  <c r="BM92" i="10"/>
  <c r="BN92" i="10"/>
  <c r="BO92" i="10"/>
  <c r="BP92" i="10"/>
  <c r="BS92" i="10"/>
  <c r="BT92" i="10"/>
  <c r="F93" i="10"/>
  <c r="G93" i="10"/>
  <c r="H93" i="10"/>
  <c r="I93" i="10"/>
  <c r="J93" i="10"/>
  <c r="K93" i="10"/>
  <c r="L93" i="10"/>
  <c r="M93" i="10"/>
  <c r="N93" i="10"/>
  <c r="O93" i="10"/>
  <c r="P93" i="10"/>
  <c r="Q93" i="10"/>
  <c r="R93" i="10"/>
  <c r="S93" i="10"/>
  <c r="T93" i="10"/>
  <c r="U93" i="10"/>
  <c r="V93" i="10"/>
  <c r="W93" i="10"/>
  <c r="X93" i="10"/>
  <c r="Y93" i="10"/>
  <c r="Z93" i="10"/>
  <c r="AA93" i="10"/>
  <c r="AB93" i="10"/>
  <c r="AC93" i="10"/>
  <c r="AD93" i="10"/>
  <c r="AE93" i="10"/>
  <c r="AF93" i="10"/>
  <c r="AG93" i="10"/>
  <c r="AH93" i="10"/>
  <c r="AI93" i="10"/>
  <c r="AJ93" i="10"/>
  <c r="AK93" i="10"/>
  <c r="AL93" i="10"/>
  <c r="AM93" i="10"/>
  <c r="AN93" i="10"/>
  <c r="AO93" i="10"/>
  <c r="AP93" i="10"/>
  <c r="AQ93" i="10"/>
  <c r="AR93" i="10"/>
  <c r="AS93" i="10"/>
  <c r="AT93" i="10"/>
  <c r="AU93" i="10"/>
  <c r="AV93" i="10"/>
  <c r="AW93" i="10"/>
  <c r="AX93" i="10"/>
  <c r="AY93" i="10"/>
  <c r="AZ93" i="10"/>
  <c r="BA93" i="10"/>
  <c r="BB93" i="10"/>
  <c r="BC93" i="10"/>
  <c r="BD93" i="10"/>
  <c r="BE93" i="10"/>
  <c r="BF93" i="10"/>
  <c r="BG93" i="10"/>
  <c r="BH93" i="10"/>
  <c r="BI93" i="10"/>
  <c r="BJ93" i="10"/>
  <c r="BK93" i="10"/>
  <c r="BL93" i="10"/>
  <c r="BM93" i="10"/>
  <c r="BN93" i="10"/>
  <c r="BO93" i="10"/>
  <c r="BP93" i="10"/>
  <c r="BS93" i="10"/>
  <c r="BT93" i="10"/>
  <c r="BT79" i="10"/>
  <c r="G79" i="10"/>
  <c r="H79" i="10"/>
  <c r="I79" i="10"/>
  <c r="J79" i="10"/>
  <c r="K79" i="10"/>
  <c r="L79" i="10"/>
  <c r="M79" i="10"/>
  <c r="N79" i="10"/>
  <c r="O79" i="10"/>
  <c r="BQ79" i="10" s="1"/>
  <c r="P79" i="10"/>
  <c r="Q79" i="10"/>
  <c r="R79" i="10"/>
  <c r="S79" i="10"/>
  <c r="T79" i="10"/>
  <c r="U79" i="10"/>
  <c r="V79" i="10"/>
  <c r="W79" i="10"/>
  <c r="X79" i="10"/>
  <c r="Y79" i="10"/>
  <c r="Z79" i="10"/>
  <c r="AA79" i="10"/>
  <c r="AB79" i="10"/>
  <c r="AC79" i="10"/>
  <c r="AD79" i="10"/>
  <c r="AE79" i="10"/>
  <c r="AF79" i="10"/>
  <c r="AG79" i="10"/>
  <c r="AH79" i="10"/>
  <c r="AI79" i="10"/>
  <c r="AJ79" i="10"/>
  <c r="AK79" i="10"/>
  <c r="AL79" i="10"/>
  <c r="AM79" i="10"/>
  <c r="AN79" i="10"/>
  <c r="AO79" i="10"/>
  <c r="AP79" i="10"/>
  <c r="AQ79" i="10"/>
  <c r="AR79" i="10"/>
  <c r="AS79" i="10"/>
  <c r="AT79" i="10"/>
  <c r="AU79" i="10"/>
  <c r="AV79" i="10"/>
  <c r="AW79" i="10"/>
  <c r="AX79" i="10"/>
  <c r="AY79" i="10"/>
  <c r="AZ79" i="10"/>
  <c r="BA79" i="10"/>
  <c r="BB79" i="10"/>
  <c r="BC79" i="10"/>
  <c r="BD79" i="10"/>
  <c r="BE79" i="10"/>
  <c r="BF79" i="10"/>
  <c r="BG79" i="10"/>
  <c r="BH79" i="10"/>
  <c r="BI79" i="10"/>
  <c r="BJ79" i="10"/>
  <c r="BK79" i="10"/>
  <c r="BL79" i="10"/>
  <c r="BM79" i="10"/>
  <c r="BN79" i="10"/>
  <c r="BO79" i="10"/>
  <c r="BP79" i="10"/>
  <c r="BS79" i="10"/>
  <c r="F79" i="10"/>
  <c r="F64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S64" i="10"/>
  <c r="T64" i="10"/>
  <c r="U64" i="10"/>
  <c r="V64" i="10"/>
  <c r="W64" i="10"/>
  <c r="X64" i="10"/>
  <c r="Y64" i="10"/>
  <c r="Z64" i="10"/>
  <c r="AA64" i="10"/>
  <c r="AB64" i="10"/>
  <c r="AC64" i="10"/>
  <c r="AD64" i="10"/>
  <c r="AE64" i="10"/>
  <c r="AF64" i="10"/>
  <c r="AG64" i="10"/>
  <c r="AH64" i="10"/>
  <c r="AI64" i="10"/>
  <c r="AJ64" i="10"/>
  <c r="AK64" i="10"/>
  <c r="AL64" i="10"/>
  <c r="AM64" i="10"/>
  <c r="AN64" i="10"/>
  <c r="AO64" i="10"/>
  <c r="AP64" i="10"/>
  <c r="AQ64" i="10"/>
  <c r="AR64" i="10"/>
  <c r="AS64" i="10"/>
  <c r="AT64" i="10"/>
  <c r="AU64" i="10"/>
  <c r="AV64" i="10"/>
  <c r="AW64" i="10"/>
  <c r="AX64" i="10"/>
  <c r="AY64" i="10"/>
  <c r="AZ64" i="10"/>
  <c r="BA64" i="10"/>
  <c r="BB64" i="10"/>
  <c r="BC64" i="10"/>
  <c r="BD64" i="10"/>
  <c r="BE64" i="10"/>
  <c r="BF64" i="10"/>
  <c r="BG64" i="10"/>
  <c r="BH64" i="10"/>
  <c r="BI64" i="10"/>
  <c r="BJ64" i="10"/>
  <c r="BK64" i="10"/>
  <c r="BL64" i="10"/>
  <c r="BM64" i="10"/>
  <c r="BN64" i="10"/>
  <c r="BO64" i="10"/>
  <c r="BP64" i="10"/>
  <c r="F65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S65" i="10"/>
  <c r="T65" i="10"/>
  <c r="U65" i="10"/>
  <c r="V65" i="10"/>
  <c r="W65" i="10"/>
  <c r="X65" i="10"/>
  <c r="Y65" i="10"/>
  <c r="Z65" i="10"/>
  <c r="AA65" i="10"/>
  <c r="AB65" i="10"/>
  <c r="AC65" i="10"/>
  <c r="AD65" i="10"/>
  <c r="AE65" i="10"/>
  <c r="AF65" i="10"/>
  <c r="AG65" i="10"/>
  <c r="AH65" i="10"/>
  <c r="AI65" i="10"/>
  <c r="AJ65" i="10"/>
  <c r="AK65" i="10"/>
  <c r="AL65" i="10"/>
  <c r="AM65" i="10"/>
  <c r="AN65" i="10"/>
  <c r="AO65" i="10"/>
  <c r="AP65" i="10"/>
  <c r="AQ65" i="10"/>
  <c r="AR65" i="10"/>
  <c r="AS65" i="10"/>
  <c r="AT65" i="10"/>
  <c r="AU65" i="10"/>
  <c r="AV65" i="10"/>
  <c r="AW65" i="10"/>
  <c r="AX65" i="10"/>
  <c r="AY65" i="10"/>
  <c r="AZ65" i="10"/>
  <c r="BA65" i="10"/>
  <c r="BB65" i="10"/>
  <c r="BC65" i="10"/>
  <c r="BD65" i="10"/>
  <c r="BE65" i="10"/>
  <c r="BF65" i="10"/>
  <c r="BG65" i="10"/>
  <c r="BH65" i="10"/>
  <c r="BI65" i="10"/>
  <c r="BJ65" i="10"/>
  <c r="BK65" i="10"/>
  <c r="BL65" i="10"/>
  <c r="BM65" i="10"/>
  <c r="BN65" i="10"/>
  <c r="BO65" i="10"/>
  <c r="BP65" i="10"/>
  <c r="F66" i="10"/>
  <c r="G66" i="10"/>
  <c r="H66" i="10"/>
  <c r="I66" i="10"/>
  <c r="J66" i="10"/>
  <c r="K66" i="10"/>
  <c r="L66" i="10"/>
  <c r="M66" i="10"/>
  <c r="N66" i="10"/>
  <c r="O66" i="10"/>
  <c r="P66" i="10"/>
  <c r="Q66" i="10"/>
  <c r="R66" i="10"/>
  <c r="S66" i="10"/>
  <c r="T66" i="10"/>
  <c r="U66" i="10"/>
  <c r="V66" i="10"/>
  <c r="W66" i="10"/>
  <c r="X66" i="10"/>
  <c r="Y66" i="10"/>
  <c r="Z66" i="10"/>
  <c r="AA66" i="10"/>
  <c r="AB66" i="10"/>
  <c r="AC66" i="10"/>
  <c r="AD66" i="10"/>
  <c r="AE66" i="10"/>
  <c r="AF66" i="10"/>
  <c r="AG66" i="10"/>
  <c r="AH66" i="10"/>
  <c r="AI66" i="10"/>
  <c r="AJ66" i="10"/>
  <c r="AK66" i="10"/>
  <c r="AL66" i="10"/>
  <c r="AM66" i="10"/>
  <c r="AN66" i="10"/>
  <c r="AO66" i="10"/>
  <c r="AP66" i="10"/>
  <c r="AQ66" i="10"/>
  <c r="AR66" i="10"/>
  <c r="AS66" i="10"/>
  <c r="AT66" i="10"/>
  <c r="AU66" i="10"/>
  <c r="AV66" i="10"/>
  <c r="AW66" i="10"/>
  <c r="AX66" i="10"/>
  <c r="AY66" i="10"/>
  <c r="AZ66" i="10"/>
  <c r="BA66" i="10"/>
  <c r="BB66" i="10"/>
  <c r="BC66" i="10"/>
  <c r="BD66" i="10"/>
  <c r="BE66" i="10"/>
  <c r="BF66" i="10"/>
  <c r="BG66" i="10"/>
  <c r="BH66" i="10"/>
  <c r="BI66" i="10"/>
  <c r="BJ66" i="10"/>
  <c r="BK66" i="10"/>
  <c r="BL66" i="10"/>
  <c r="BM66" i="10"/>
  <c r="BN66" i="10"/>
  <c r="BO66" i="10"/>
  <c r="BP66" i="10"/>
  <c r="F67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T67" i="10"/>
  <c r="U67" i="10"/>
  <c r="V67" i="10"/>
  <c r="W67" i="10"/>
  <c r="X67" i="10"/>
  <c r="Y67" i="10"/>
  <c r="Z67" i="10"/>
  <c r="AA67" i="10"/>
  <c r="AB67" i="10"/>
  <c r="AC67" i="10"/>
  <c r="AD67" i="10"/>
  <c r="AE67" i="10"/>
  <c r="AF67" i="10"/>
  <c r="AG67" i="10"/>
  <c r="AH67" i="10"/>
  <c r="AI67" i="10"/>
  <c r="AJ67" i="10"/>
  <c r="AK67" i="10"/>
  <c r="AL67" i="10"/>
  <c r="AM67" i="10"/>
  <c r="AN67" i="10"/>
  <c r="AO67" i="10"/>
  <c r="AP67" i="10"/>
  <c r="AQ67" i="10"/>
  <c r="AR67" i="10"/>
  <c r="AS67" i="10"/>
  <c r="AT67" i="10"/>
  <c r="AU67" i="10"/>
  <c r="AV67" i="10"/>
  <c r="AW67" i="10"/>
  <c r="AX67" i="10"/>
  <c r="AY67" i="10"/>
  <c r="AZ67" i="10"/>
  <c r="BA67" i="10"/>
  <c r="BB67" i="10"/>
  <c r="BC67" i="10"/>
  <c r="BD67" i="10"/>
  <c r="BE67" i="10"/>
  <c r="BF67" i="10"/>
  <c r="BG67" i="10"/>
  <c r="BH67" i="10"/>
  <c r="BI67" i="10"/>
  <c r="BJ67" i="10"/>
  <c r="BK67" i="10"/>
  <c r="BL67" i="10"/>
  <c r="BM67" i="10"/>
  <c r="BN67" i="10"/>
  <c r="BO67" i="10"/>
  <c r="BP67" i="10"/>
  <c r="F68" i="10"/>
  <c r="G68" i="10"/>
  <c r="H68" i="10"/>
  <c r="I68" i="10"/>
  <c r="J68" i="10"/>
  <c r="K68" i="10"/>
  <c r="L68" i="10"/>
  <c r="M68" i="10"/>
  <c r="N68" i="10"/>
  <c r="O68" i="10"/>
  <c r="P68" i="10"/>
  <c r="Q68" i="10"/>
  <c r="R68" i="10"/>
  <c r="S68" i="10"/>
  <c r="T68" i="10"/>
  <c r="U68" i="10"/>
  <c r="V68" i="10"/>
  <c r="W68" i="10"/>
  <c r="X68" i="10"/>
  <c r="Y68" i="10"/>
  <c r="Z68" i="10"/>
  <c r="AA68" i="10"/>
  <c r="AB68" i="10"/>
  <c r="AC68" i="10"/>
  <c r="AD68" i="10"/>
  <c r="AE68" i="10"/>
  <c r="AF68" i="10"/>
  <c r="AG68" i="10"/>
  <c r="AH68" i="10"/>
  <c r="AI68" i="10"/>
  <c r="AJ68" i="10"/>
  <c r="AK68" i="10"/>
  <c r="AL68" i="10"/>
  <c r="AM68" i="10"/>
  <c r="AN68" i="10"/>
  <c r="AO68" i="10"/>
  <c r="AP68" i="10"/>
  <c r="AQ68" i="10"/>
  <c r="AR68" i="10"/>
  <c r="AS68" i="10"/>
  <c r="AT68" i="10"/>
  <c r="AU68" i="10"/>
  <c r="AV68" i="10"/>
  <c r="AW68" i="10"/>
  <c r="AX68" i="10"/>
  <c r="AY68" i="10"/>
  <c r="AZ68" i="10"/>
  <c r="BA68" i="10"/>
  <c r="BB68" i="10"/>
  <c r="BC68" i="10"/>
  <c r="BD68" i="10"/>
  <c r="BE68" i="10"/>
  <c r="BF68" i="10"/>
  <c r="BG68" i="10"/>
  <c r="BH68" i="10"/>
  <c r="BI68" i="10"/>
  <c r="BJ68" i="10"/>
  <c r="BK68" i="10"/>
  <c r="BL68" i="10"/>
  <c r="BM68" i="10"/>
  <c r="BN68" i="10"/>
  <c r="BO68" i="10"/>
  <c r="BP68" i="10"/>
  <c r="F69" i="10"/>
  <c r="G69" i="10"/>
  <c r="H69" i="10"/>
  <c r="I69" i="10"/>
  <c r="J69" i="10"/>
  <c r="K69" i="10"/>
  <c r="L69" i="10"/>
  <c r="M69" i="10"/>
  <c r="N69" i="10"/>
  <c r="O69" i="10"/>
  <c r="P69" i="10"/>
  <c r="Q69" i="10"/>
  <c r="R69" i="10"/>
  <c r="S69" i="10"/>
  <c r="T69" i="10"/>
  <c r="U69" i="10"/>
  <c r="V69" i="10"/>
  <c r="W69" i="10"/>
  <c r="X69" i="10"/>
  <c r="Y69" i="10"/>
  <c r="Z69" i="10"/>
  <c r="AA69" i="10"/>
  <c r="AB69" i="10"/>
  <c r="AC69" i="10"/>
  <c r="AD69" i="10"/>
  <c r="AE69" i="10"/>
  <c r="AF69" i="10"/>
  <c r="AG69" i="10"/>
  <c r="AH69" i="10"/>
  <c r="AI69" i="10"/>
  <c r="AJ69" i="10"/>
  <c r="AK69" i="10"/>
  <c r="AL69" i="10"/>
  <c r="AM69" i="10"/>
  <c r="AN69" i="10"/>
  <c r="AO69" i="10"/>
  <c r="AP69" i="10"/>
  <c r="AQ69" i="10"/>
  <c r="AR69" i="10"/>
  <c r="AS69" i="10"/>
  <c r="AT69" i="10"/>
  <c r="AU69" i="10"/>
  <c r="AV69" i="10"/>
  <c r="AW69" i="10"/>
  <c r="AX69" i="10"/>
  <c r="AY69" i="10"/>
  <c r="AZ69" i="10"/>
  <c r="BA69" i="10"/>
  <c r="BB69" i="10"/>
  <c r="BC69" i="10"/>
  <c r="BD69" i="10"/>
  <c r="BE69" i="10"/>
  <c r="BF69" i="10"/>
  <c r="BG69" i="10"/>
  <c r="BH69" i="10"/>
  <c r="BI69" i="10"/>
  <c r="BJ69" i="10"/>
  <c r="BK69" i="10"/>
  <c r="BL69" i="10"/>
  <c r="BM69" i="10"/>
  <c r="BN69" i="10"/>
  <c r="BO69" i="10"/>
  <c r="BP69" i="10"/>
  <c r="F70" i="10"/>
  <c r="G70" i="10"/>
  <c r="H70" i="10"/>
  <c r="I70" i="10"/>
  <c r="J70" i="10"/>
  <c r="K70" i="10"/>
  <c r="L70" i="10"/>
  <c r="M70" i="10"/>
  <c r="N70" i="10"/>
  <c r="O70" i="10"/>
  <c r="P70" i="10"/>
  <c r="Q70" i="10"/>
  <c r="R70" i="10"/>
  <c r="S70" i="10"/>
  <c r="T70" i="10"/>
  <c r="U70" i="10"/>
  <c r="V70" i="10"/>
  <c r="W70" i="10"/>
  <c r="X70" i="10"/>
  <c r="Y70" i="10"/>
  <c r="Z70" i="10"/>
  <c r="AA70" i="10"/>
  <c r="AB70" i="10"/>
  <c r="AC70" i="10"/>
  <c r="AD70" i="10"/>
  <c r="AE70" i="10"/>
  <c r="AF70" i="10"/>
  <c r="AG70" i="10"/>
  <c r="AH70" i="10"/>
  <c r="AI70" i="10"/>
  <c r="AJ70" i="10"/>
  <c r="AK70" i="10"/>
  <c r="AL70" i="10"/>
  <c r="AM70" i="10"/>
  <c r="AN70" i="10"/>
  <c r="AO70" i="10"/>
  <c r="AP70" i="10"/>
  <c r="AQ70" i="10"/>
  <c r="AR70" i="10"/>
  <c r="AS70" i="10"/>
  <c r="AT70" i="10"/>
  <c r="AU70" i="10"/>
  <c r="AV70" i="10"/>
  <c r="AW70" i="10"/>
  <c r="AX70" i="10"/>
  <c r="AY70" i="10"/>
  <c r="AZ70" i="10"/>
  <c r="BA70" i="10"/>
  <c r="BB70" i="10"/>
  <c r="BC70" i="10"/>
  <c r="BD70" i="10"/>
  <c r="BE70" i="10"/>
  <c r="BF70" i="10"/>
  <c r="BG70" i="10"/>
  <c r="BH70" i="10"/>
  <c r="BI70" i="10"/>
  <c r="BJ70" i="10"/>
  <c r="BK70" i="10"/>
  <c r="BL70" i="10"/>
  <c r="BM70" i="10"/>
  <c r="BN70" i="10"/>
  <c r="BO70" i="10"/>
  <c r="BP70" i="10"/>
  <c r="F71" i="10"/>
  <c r="G71" i="10"/>
  <c r="H71" i="10"/>
  <c r="I71" i="10"/>
  <c r="J71" i="10"/>
  <c r="K71" i="10"/>
  <c r="L71" i="10"/>
  <c r="M71" i="10"/>
  <c r="N71" i="10"/>
  <c r="O71" i="10"/>
  <c r="P71" i="10"/>
  <c r="Q71" i="10"/>
  <c r="R71" i="10"/>
  <c r="S71" i="10"/>
  <c r="T71" i="10"/>
  <c r="U71" i="10"/>
  <c r="V71" i="10"/>
  <c r="W71" i="10"/>
  <c r="X71" i="10"/>
  <c r="Y71" i="10"/>
  <c r="Z71" i="10"/>
  <c r="AA71" i="10"/>
  <c r="AB71" i="10"/>
  <c r="AC71" i="10"/>
  <c r="AD71" i="10"/>
  <c r="AE71" i="10"/>
  <c r="AF71" i="10"/>
  <c r="AG71" i="10"/>
  <c r="AH71" i="10"/>
  <c r="AI71" i="10"/>
  <c r="AJ71" i="10"/>
  <c r="AK71" i="10"/>
  <c r="AL71" i="10"/>
  <c r="AM71" i="10"/>
  <c r="AN71" i="10"/>
  <c r="AO71" i="10"/>
  <c r="AP71" i="10"/>
  <c r="AQ71" i="10"/>
  <c r="AR71" i="10"/>
  <c r="AS71" i="10"/>
  <c r="AT71" i="10"/>
  <c r="AU71" i="10"/>
  <c r="AV71" i="10"/>
  <c r="AW71" i="10"/>
  <c r="AX71" i="10"/>
  <c r="AY71" i="10"/>
  <c r="AZ71" i="10"/>
  <c r="BA71" i="10"/>
  <c r="BB71" i="10"/>
  <c r="BC71" i="10"/>
  <c r="BD71" i="10"/>
  <c r="BE71" i="10"/>
  <c r="BF71" i="10"/>
  <c r="BG71" i="10"/>
  <c r="BH71" i="10"/>
  <c r="BI71" i="10"/>
  <c r="BJ71" i="10"/>
  <c r="BK71" i="10"/>
  <c r="BL71" i="10"/>
  <c r="BM71" i="10"/>
  <c r="BN71" i="10"/>
  <c r="BO71" i="10"/>
  <c r="BP71" i="10"/>
  <c r="F72" i="10"/>
  <c r="G72" i="10"/>
  <c r="H72" i="10"/>
  <c r="I72" i="10"/>
  <c r="J72" i="10"/>
  <c r="K72" i="10"/>
  <c r="L72" i="10"/>
  <c r="M72" i="10"/>
  <c r="N72" i="10"/>
  <c r="O72" i="10"/>
  <c r="P72" i="10"/>
  <c r="Q72" i="10"/>
  <c r="R72" i="10"/>
  <c r="S72" i="10"/>
  <c r="T72" i="10"/>
  <c r="U72" i="10"/>
  <c r="V72" i="10"/>
  <c r="W72" i="10"/>
  <c r="X72" i="10"/>
  <c r="Y72" i="10"/>
  <c r="Z72" i="10"/>
  <c r="AA72" i="10"/>
  <c r="AB72" i="10"/>
  <c r="AC72" i="10"/>
  <c r="AD72" i="10"/>
  <c r="AE72" i="10"/>
  <c r="AF72" i="10"/>
  <c r="AG72" i="10"/>
  <c r="AH72" i="10"/>
  <c r="AI72" i="10"/>
  <c r="AJ72" i="10"/>
  <c r="AK72" i="10"/>
  <c r="AL72" i="10"/>
  <c r="AM72" i="10"/>
  <c r="AN72" i="10"/>
  <c r="AO72" i="10"/>
  <c r="AP72" i="10"/>
  <c r="AQ72" i="10"/>
  <c r="AR72" i="10"/>
  <c r="AS72" i="10"/>
  <c r="AT72" i="10"/>
  <c r="AU72" i="10"/>
  <c r="AV72" i="10"/>
  <c r="AW72" i="10"/>
  <c r="AX72" i="10"/>
  <c r="AY72" i="10"/>
  <c r="AZ72" i="10"/>
  <c r="BA72" i="10"/>
  <c r="BB72" i="10"/>
  <c r="BC72" i="10"/>
  <c r="BD72" i="10"/>
  <c r="BE72" i="10"/>
  <c r="BF72" i="10"/>
  <c r="BG72" i="10"/>
  <c r="BH72" i="10"/>
  <c r="BI72" i="10"/>
  <c r="BJ72" i="10"/>
  <c r="BK72" i="10"/>
  <c r="BL72" i="10"/>
  <c r="BM72" i="10"/>
  <c r="BN72" i="10"/>
  <c r="BO72" i="10"/>
  <c r="BP72" i="10"/>
  <c r="F73" i="10"/>
  <c r="G73" i="10"/>
  <c r="H73" i="10"/>
  <c r="I73" i="10"/>
  <c r="J73" i="10"/>
  <c r="K73" i="10"/>
  <c r="L73" i="10"/>
  <c r="M73" i="10"/>
  <c r="N73" i="10"/>
  <c r="O73" i="10"/>
  <c r="P73" i="10"/>
  <c r="Q73" i="10"/>
  <c r="R73" i="10"/>
  <c r="S73" i="10"/>
  <c r="T73" i="10"/>
  <c r="U73" i="10"/>
  <c r="V73" i="10"/>
  <c r="W73" i="10"/>
  <c r="X73" i="10"/>
  <c r="Y73" i="10"/>
  <c r="Z73" i="10"/>
  <c r="AA73" i="10"/>
  <c r="AB73" i="10"/>
  <c r="AC73" i="10"/>
  <c r="AD73" i="10"/>
  <c r="AE73" i="10"/>
  <c r="AF73" i="10"/>
  <c r="AG73" i="10"/>
  <c r="AH73" i="10"/>
  <c r="AI73" i="10"/>
  <c r="AJ73" i="10"/>
  <c r="AK73" i="10"/>
  <c r="AL73" i="10"/>
  <c r="AM73" i="10"/>
  <c r="AN73" i="10"/>
  <c r="AO73" i="10"/>
  <c r="AP73" i="10"/>
  <c r="AQ73" i="10"/>
  <c r="AR73" i="10"/>
  <c r="AS73" i="10"/>
  <c r="AT73" i="10"/>
  <c r="AU73" i="10"/>
  <c r="AV73" i="10"/>
  <c r="AW73" i="10"/>
  <c r="AX73" i="10"/>
  <c r="AY73" i="10"/>
  <c r="AZ73" i="10"/>
  <c r="BA73" i="10"/>
  <c r="BB73" i="10"/>
  <c r="BC73" i="10"/>
  <c r="BD73" i="10"/>
  <c r="BE73" i="10"/>
  <c r="BF73" i="10"/>
  <c r="BG73" i="10"/>
  <c r="BH73" i="10"/>
  <c r="BI73" i="10"/>
  <c r="BJ73" i="10"/>
  <c r="BK73" i="10"/>
  <c r="BL73" i="10"/>
  <c r="BM73" i="10"/>
  <c r="BN73" i="10"/>
  <c r="BO73" i="10"/>
  <c r="BP73" i="10"/>
  <c r="F74" i="10"/>
  <c r="G74" i="10"/>
  <c r="H74" i="10"/>
  <c r="I74" i="10"/>
  <c r="J74" i="10"/>
  <c r="K74" i="10"/>
  <c r="L74" i="10"/>
  <c r="M74" i="10"/>
  <c r="N74" i="10"/>
  <c r="O74" i="10"/>
  <c r="P74" i="10"/>
  <c r="Q74" i="10"/>
  <c r="R74" i="10"/>
  <c r="S74" i="10"/>
  <c r="T74" i="10"/>
  <c r="U74" i="10"/>
  <c r="V74" i="10"/>
  <c r="W74" i="10"/>
  <c r="X74" i="10"/>
  <c r="Y74" i="10"/>
  <c r="Z74" i="10"/>
  <c r="AA74" i="10"/>
  <c r="AB74" i="10"/>
  <c r="AC74" i="10"/>
  <c r="AD74" i="10"/>
  <c r="AE74" i="10"/>
  <c r="AF74" i="10"/>
  <c r="AG74" i="10"/>
  <c r="AH74" i="10"/>
  <c r="AI74" i="10"/>
  <c r="AJ74" i="10"/>
  <c r="AK74" i="10"/>
  <c r="AL74" i="10"/>
  <c r="AM74" i="10"/>
  <c r="AN74" i="10"/>
  <c r="AO74" i="10"/>
  <c r="AP74" i="10"/>
  <c r="AQ74" i="10"/>
  <c r="AR74" i="10"/>
  <c r="AS74" i="10"/>
  <c r="AT74" i="10"/>
  <c r="AU74" i="10"/>
  <c r="AV74" i="10"/>
  <c r="AW74" i="10"/>
  <c r="AX74" i="10"/>
  <c r="AY74" i="10"/>
  <c r="AZ74" i="10"/>
  <c r="BA74" i="10"/>
  <c r="BB74" i="10"/>
  <c r="BC74" i="10"/>
  <c r="BD74" i="10"/>
  <c r="BE74" i="10"/>
  <c r="BF74" i="10"/>
  <c r="BG74" i="10"/>
  <c r="BH74" i="10"/>
  <c r="BI74" i="10"/>
  <c r="BJ74" i="10"/>
  <c r="BK74" i="10"/>
  <c r="BL74" i="10"/>
  <c r="BM74" i="10"/>
  <c r="BN74" i="10"/>
  <c r="BO74" i="10"/>
  <c r="BP74" i="10"/>
  <c r="F75" i="10"/>
  <c r="G75" i="10"/>
  <c r="H75" i="10"/>
  <c r="I75" i="10"/>
  <c r="J75" i="10"/>
  <c r="K75" i="10"/>
  <c r="L75" i="10"/>
  <c r="M75" i="10"/>
  <c r="N75" i="10"/>
  <c r="O75" i="10"/>
  <c r="P75" i="10"/>
  <c r="Q75" i="10"/>
  <c r="R75" i="10"/>
  <c r="S75" i="10"/>
  <c r="T75" i="10"/>
  <c r="U75" i="10"/>
  <c r="V75" i="10"/>
  <c r="W75" i="10"/>
  <c r="X75" i="10"/>
  <c r="Y75" i="10"/>
  <c r="Z75" i="10"/>
  <c r="AA75" i="10"/>
  <c r="AB75" i="10"/>
  <c r="AC75" i="10"/>
  <c r="AD75" i="10"/>
  <c r="AE75" i="10"/>
  <c r="AF75" i="10"/>
  <c r="AG75" i="10"/>
  <c r="AH75" i="10"/>
  <c r="AI75" i="10"/>
  <c r="AJ75" i="10"/>
  <c r="AK75" i="10"/>
  <c r="AL75" i="10"/>
  <c r="AM75" i="10"/>
  <c r="AN75" i="10"/>
  <c r="AO75" i="10"/>
  <c r="AP75" i="10"/>
  <c r="AQ75" i="10"/>
  <c r="AR75" i="10"/>
  <c r="AS75" i="10"/>
  <c r="AT75" i="10"/>
  <c r="AU75" i="10"/>
  <c r="AV75" i="10"/>
  <c r="AW75" i="10"/>
  <c r="AX75" i="10"/>
  <c r="AY75" i="10"/>
  <c r="AZ75" i="10"/>
  <c r="BA75" i="10"/>
  <c r="BB75" i="10"/>
  <c r="BC75" i="10"/>
  <c r="BD75" i="10"/>
  <c r="BE75" i="10"/>
  <c r="BF75" i="10"/>
  <c r="BG75" i="10"/>
  <c r="BH75" i="10"/>
  <c r="BI75" i="10"/>
  <c r="BJ75" i="10"/>
  <c r="BK75" i="10"/>
  <c r="BL75" i="10"/>
  <c r="BM75" i="10"/>
  <c r="BN75" i="10"/>
  <c r="BO75" i="10"/>
  <c r="BP75" i="10"/>
  <c r="F76" i="10"/>
  <c r="G76" i="10"/>
  <c r="H76" i="10"/>
  <c r="I76" i="10"/>
  <c r="J76" i="10"/>
  <c r="K76" i="10"/>
  <c r="L76" i="10"/>
  <c r="M76" i="10"/>
  <c r="N76" i="10"/>
  <c r="O76" i="10"/>
  <c r="P76" i="10"/>
  <c r="Q76" i="10"/>
  <c r="R76" i="10"/>
  <c r="S76" i="10"/>
  <c r="T76" i="10"/>
  <c r="U76" i="10"/>
  <c r="V76" i="10"/>
  <c r="W76" i="10"/>
  <c r="X76" i="10"/>
  <c r="Y76" i="10"/>
  <c r="Z76" i="10"/>
  <c r="AA76" i="10"/>
  <c r="AB76" i="10"/>
  <c r="AC76" i="10"/>
  <c r="AD76" i="10"/>
  <c r="AE76" i="10"/>
  <c r="AF76" i="10"/>
  <c r="AG76" i="10"/>
  <c r="AH76" i="10"/>
  <c r="AI76" i="10"/>
  <c r="AJ76" i="10"/>
  <c r="AK76" i="10"/>
  <c r="AL76" i="10"/>
  <c r="AM76" i="10"/>
  <c r="AN76" i="10"/>
  <c r="AO76" i="10"/>
  <c r="AP76" i="10"/>
  <c r="AQ76" i="10"/>
  <c r="AR76" i="10"/>
  <c r="AS76" i="10"/>
  <c r="AT76" i="10"/>
  <c r="AU76" i="10"/>
  <c r="AV76" i="10"/>
  <c r="AW76" i="10"/>
  <c r="AX76" i="10"/>
  <c r="AY76" i="10"/>
  <c r="AZ76" i="10"/>
  <c r="BA76" i="10"/>
  <c r="BB76" i="10"/>
  <c r="BC76" i="10"/>
  <c r="BD76" i="10"/>
  <c r="BE76" i="10"/>
  <c r="BF76" i="10"/>
  <c r="BG76" i="10"/>
  <c r="BH76" i="10"/>
  <c r="BI76" i="10"/>
  <c r="BJ76" i="10"/>
  <c r="BK76" i="10"/>
  <c r="BL76" i="10"/>
  <c r="BM76" i="10"/>
  <c r="BN76" i="10"/>
  <c r="BO76" i="10"/>
  <c r="BP76" i="10"/>
  <c r="F77" i="10"/>
  <c r="G77" i="10"/>
  <c r="H77" i="10"/>
  <c r="I77" i="10"/>
  <c r="J77" i="10"/>
  <c r="K77" i="10"/>
  <c r="L77" i="10"/>
  <c r="M77" i="10"/>
  <c r="N77" i="10"/>
  <c r="O77" i="10"/>
  <c r="P77" i="10"/>
  <c r="Q77" i="10"/>
  <c r="R77" i="10"/>
  <c r="S77" i="10"/>
  <c r="T77" i="10"/>
  <c r="U77" i="10"/>
  <c r="V77" i="10"/>
  <c r="W77" i="10"/>
  <c r="X77" i="10"/>
  <c r="Y77" i="10"/>
  <c r="Z77" i="10"/>
  <c r="AA77" i="10"/>
  <c r="AB77" i="10"/>
  <c r="AC77" i="10"/>
  <c r="AD77" i="10"/>
  <c r="AE77" i="10"/>
  <c r="AF77" i="10"/>
  <c r="AG77" i="10"/>
  <c r="AH77" i="10"/>
  <c r="AI77" i="10"/>
  <c r="AJ77" i="10"/>
  <c r="AK77" i="10"/>
  <c r="AL77" i="10"/>
  <c r="AM77" i="10"/>
  <c r="AN77" i="10"/>
  <c r="AO77" i="10"/>
  <c r="AP77" i="10"/>
  <c r="AQ77" i="10"/>
  <c r="AR77" i="10"/>
  <c r="AS77" i="10"/>
  <c r="AT77" i="10"/>
  <c r="AU77" i="10"/>
  <c r="AV77" i="10"/>
  <c r="AW77" i="10"/>
  <c r="AX77" i="10"/>
  <c r="AY77" i="10"/>
  <c r="AZ77" i="10"/>
  <c r="BA77" i="10"/>
  <c r="BB77" i="10"/>
  <c r="BC77" i="10"/>
  <c r="BD77" i="10"/>
  <c r="BE77" i="10"/>
  <c r="BF77" i="10"/>
  <c r="BG77" i="10"/>
  <c r="BH77" i="10"/>
  <c r="BI77" i="10"/>
  <c r="BJ77" i="10"/>
  <c r="BK77" i="10"/>
  <c r="BL77" i="10"/>
  <c r="BM77" i="10"/>
  <c r="BN77" i="10"/>
  <c r="BO77" i="10"/>
  <c r="BP77" i="10"/>
  <c r="F78" i="10"/>
  <c r="G78" i="10"/>
  <c r="H78" i="10"/>
  <c r="I78" i="10"/>
  <c r="J78" i="10"/>
  <c r="K78" i="10"/>
  <c r="L78" i="10"/>
  <c r="M78" i="10"/>
  <c r="N78" i="10"/>
  <c r="O78" i="10"/>
  <c r="P78" i="10"/>
  <c r="Q78" i="10"/>
  <c r="R78" i="10"/>
  <c r="S78" i="10"/>
  <c r="T78" i="10"/>
  <c r="U78" i="10"/>
  <c r="V78" i="10"/>
  <c r="W78" i="10"/>
  <c r="X78" i="10"/>
  <c r="Y78" i="10"/>
  <c r="Z78" i="10"/>
  <c r="AA78" i="10"/>
  <c r="AB78" i="10"/>
  <c r="AC78" i="10"/>
  <c r="AD78" i="10"/>
  <c r="AE78" i="10"/>
  <c r="AF78" i="10"/>
  <c r="AG78" i="10"/>
  <c r="AH78" i="10"/>
  <c r="AI78" i="10"/>
  <c r="AJ78" i="10"/>
  <c r="AK78" i="10"/>
  <c r="AL78" i="10"/>
  <c r="AM78" i="10"/>
  <c r="AN78" i="10"/>
  <c r="AO78" i="10"/>
  <c r="AP78" i="10"/>
  <c r="AQ78" i="10"/>
  <c r="AR78" i="10"/>
  <c r="AS78" i="10"/>
  <c r="AT78" i="10"/>
  <c r="AU78" i="10"/>
  <c r="AV78" i="10"/>
  <c r="AW78" i="10"/>
  <c r="AX78" i="10"/>
  <c r="AY78" i="10"/>
  <c r="AZ78" i="10"/>
  <c r="BA78" i="10"/>
  <c r="BB78" i="10"/>
  <c r="BC78" i="10"/>
  <c r="BD78" i="10"/>
  <c r="BE78" i="10"/>
  <c r="BF78" i="10"/>
  <c r="BG78" i="10"/>
  <c r="BH78" i="10"/>
  <c r="BI78" i="10"/>
  <c r="BJ78" i="10"/>
  <c r="BK78" i="10"/>
  <c r="BL78" i="10"/>
  <c r="BM78" i="10"/>
  <c r="BN78" i="10"/>
  <c r="BO78" i="10"/>
  <c r="BP78" i="10"/>
  <c r="G63" i="10"/>
  <c r="H63" i="10"/>
  <c r="I63" i="10"/>
  <c r="J63" i="10"/>
  <c r="K63" i="10"/>
  <c r="L63" i="10"/>
  <c r="M63" i="10"/>
  <c r="N63" i="10"/>
  <c r="O63" i="10"/>
  <c r="P63" i="10"/>
  <c r="Q63" i="10"/>
  <c r="R63" i="10"/>
  <c r="S63" i="10"/>
  <c r="T63" i="10"/>
  <c r="U63" i="10"/>
  <c r="V63" i="10"/>
  <c r="W63" i="10"/>
  <c r="X63" i="10"/>
  <c r="Y63" i="10"/>
  <c r="Z63" i="10"/>
  <c r="AA63" i="10"/>
  <c r="AB63" i="10"/>
  <c r="AC63" i="10"/>
  <c r="AD63" i="10"/>
  <c r="AE63" i="10"/>
  <c r="AF63" i="10"/>
  <c r="AG63" i="10"/>
  <c r="AH63" i="10"/>
  <c r="AI63" i="10"/>
  <c r="AJ63" i="10"/>
  <c r="AK63" i="10"/>
  <c r="AL63" i="10"/>
  <c r="AM63" i="10"/>
  <c r="AN63" i="10"/>
  <c r="AO63" i="10"/>
  <c r="AP63" i="10"/>
  <c r="AQ63" i="10"/>
  <c r="AR63" i="10"/>
  <c r="AS63" i="10"/>
  <c r="AT63" i="10"/>
  <c r="AU63" i="10"/>
  <c r="AV63" i="10"/>
  <c r="AW63" i="10"/>
  <c r="AX63" i="10"/>
  <c r="AY63" i="10"/>
  <c r="AZ63" i="10"/>
  <c r="BA63" i="10"/>
  <c r="BB63" i="10"/>
  <c r="BC63" i="10"/>
  <c r="BD63" i="10"/>
  <c r="BE63" i="10"/>
  <c r="BF63" i="10"/>
  <c r="BG63" i="10"/>
  <c r="BH63" i="10"/>
  <c r="BI63" i="10"/>
  <c r="BJ63" i="10"/>
  <c r="BK63" i="10"/>
  <c r="BL63" i="10"/>
  <c r="BM63" i="10"/>
  <c r="BN63" i="10"/>
  <c r="BO63" i="10"/>
  <c r="BP63" i="10"/>
  <c r="F63" i="10"/>
  <c r="F43" i="10"/>
  <c r="G43" i="10"/>
  <c r="H43" i="10"/>
  <c r="I43" i="10"/>
  <c r="J43" i="10"/>
  <c r="K43" i="10"/>
  <c r="L43" i="10"/>
  <c r="M43" i="10"/>
  <c r="N43" i="10"/>
  <c r="O43" i="10"/>
  <c r="P43" i="10"/>
  <c r="Q43" i="10"/>
  <c r="R43" i="10"/>
  <c r="S43" i="10"/>
  <c r="T43" i="10"/>
  <c r="U43" i="10"/>
  <c r="V43" i="10"/>
  <c r="W43" i="10"/>
  <c r="X43" i="10"/>
  <c r="Y43" i="10"/>
  <c r="Z43" i="10"/>
  <c r="AA43" i="10"/>
  <c r="AB43" i="10"/>
  <c r="AC43" i="10"/>
  <c r="AD43" i="10"/>
  <c r="AE43" i="10"/>
  <c r="AF43" i="10"/>
  <c r="AG43" i="10"/>
  <c r="AH43" i="10"/>
  <c r="AI43" i="10"/>
  <c r="AJ43" i="10"/>
  <c r="AK43" i="10"/>
  <c r="AL43" i="10"/>
  <c r="AM43" i="10"/>
  <c r="AN43" i="10"/>
  <c r="AO43" i="10"/>
  <c r="AP43" i="10"/>
  <c r="AQ43" i="10"/>
  <c r="AR43" i="10"/>
  <c r="AS43" i="10"/>
  <c r="AT43" i="10"/>
  <c r="AU43" i="10"/>
  <c r="AV43" i="10"/>
  <c r="AW43" i="10"/>
  <c r="AX43" i="10"/>
  <c r="AY43" i="10"/>
  <c r="AZ43" i="10"/>
  <c r="BA43" i="10"/>
  <c r="BB43" i="10"/>
  <c r="BC43" i="10"/>
  <c r="BD43" i="10"/>
  <c r="BE43" i="10"/>
  <c r="BF43" i="10"/>
  <c r="BG43" i="10"/>
  <c r="BH43" i="10"/>
  <c r="BI43" i="10"/>
  <c r="BJ43" i="10"/>
  <c r="BK43" i="10"/>
  <c r="BL43" i="10"/>
  <c r="BM43" i="10"/>
  <c r="BN43" i="10"/>
  <c r="BP43" i="10"/>
  <c r="F44" i="10"/>
  <c r="G44" i="10"/>
  <c r="H44" i="10"/>
  <c r="I44" i="10"/>
  <c r="J44" i="10"/>
  <c r="K44" i="10"/>
  <c r="L44" i="10"/>
  <c r="M44" i="10"/>
  <c r="N44" i="10"/>
  <c r="O44" i="10"/>
  <c r="P44" i="10"/>
  <c r="Q44" i="10"/>
  <c r="R44" i="10"/>
  <c r="S44" i="10"/>
  <c r="T44" i="10"/>
  <c r="U44" i="10"/>
  <c r="V44" i="10"/>
  <c r="W44" i="10"/>
  <c r="X44" i="10"/>
  <c r="Y44" i="10"/>
  <c r="Z44" i="10"/>
  <c r="AA44" i="10"/>
  <c r="AB44" i="10"/>
  <c r="AC44" i="10"/>
  <c r="AD44" i="10"/>
  <c r="AE44" i="10"/>
  <c r="AF44" i="10"/>
  <c r="AG44" i="10"/>
  <c r="AH44" i="10"/>
  <c r="AI44" i="10"/>
  <c r="AJ44" i="10"/>
  <c r="AK44" i="10"/>
  <c r="AL44" i="10"/>
  <c r="AM44" i="10"/>
  <c r="AN44" i="10"/>
  <c r="AO44" i="10"/>
  <c r="AP44" i="10"/>
  <c r="AQ44" i="10"/>
  <c r="AR44" i="10"/>
  <c r="AS44" i="10"/>
  <c r="AT44" i="10"/>
  <c r="AU44" i="10"/>
  <c r="AV44" i="10"/>
  <c r="AW44" i="10"/>
  <c r="AX44" i="10"/>
  <c r="AY44" i="10"/>
  <c r="AZ44" i="10"/>
  <c r="BA44" i="10"/>
  <c r="BB44" i="10"/>
  <c r="BC44" i="10"/>
  <c r="BD44" i="10"/>
  <c r="BE44" i="10"/>
  <c r="BF44" i="10"/>
  <c r="BG44" i="10"/>
  <c r="BH44" i="10"/>
  <c r="BI44" i="10"/>
  <c r="BJ44" i="10"/>
  <c r="BK44" i="10"/>
  <c r="BL44" i="10"/>
  <c r="BM44" i="10"/>
  <c r="BN44" i="10"/>
  <c r="BP44" i="10"/>
  <c r="F45" i="10"/>
  <c r="G45" i="10"/>
  <c r="H45" i="10"/>
  <c r="I45" i="10"/>
  <c r="J45" i="10"/>
  <c r="K45" i="10"/>
  <c r="L45" i="10"/>
  <c r="M45" i="10"/>
  <c r="N45" i="10"/>
  <c r="O45" i="10"/>
  <c r="P45" i="10"/>
  <c r="Q45" i="10"/>
  <c r="R45" i="10"/>
  <c r="S45" i="10"/>
  <c r="T45" i="10"/>
  <c r="U45" i="10"/>
  <c r="V45" i="10"/>
  <c r="W45" i="10"/>
  <c r="X45" i="10"/>
  <c r="Y45" i="10"/>
  <c r="Z45" i="10"/>
  <c r="AA45" i="10"/>
  <c r="AB45" i="10"/>
  <c r="AC45" i="10"/>
  <c r="AD45" i="10"/>
  <c r="AE45" i="10"/>
  <c r="AF45" i="10"/>
  <c r="AG45" i="10"/>
  <c r="AH45" i="10"/>
  <c r="AI45" i="10"/>
  <c r="AJ45" i="10"/>
  <c r="AK45" i="10"/>
  <c r="AL45" i="10"/>
  <c r="AM45" i="10"/>
  <c r="AN45" i="10"/>
  <c r="AO45" i="10"/>
  <c r="AP45" i="10"/>
  <c r="AQ45" i="10"/>
  <c r="AR45" i="10"/>
  <c r="AS45" i="10"/>
  <c r="AT45" i="10"/>
  <c r="AU45" i="10"/>
  <c r="AV45" i="10"/>
  <c r="AW45" i="10"/>
  <c r="AX45" i="10"/>
  <c r="AY45" i="10"/>
  <c r="AZ45" i="10"/>
  <c r="BA45" i="10"/>
  <c r="BB45" i="10"/>
  <c r="BC45" i="10"/>
  <c r="BD45" i="10"/>
  <c r="BE45" i="10"/>
  <c r="BF45" i="10"/>
  <c r="BG45" i="10"/>
  <c r="BH45" i="10"/>
  <c r="BI45" i="10"/>
  <c r="BJ45" i="10"/>
  <c r="BK45" i="10"/>
  <c r="BL45" i="10"/>
  <c r="BM45" i="10"/>
  <c r="BN45" i="10"/>
  <c r="BP45" i="10"/>
  <c r="F46" i="10"/>
  <c r="G46" i="10"/>
  <c r="H46" i="10"/>
  <c r="I46" i="10"/>
  <c r="J46" i="10"/>
  <c r="K46" i="10"/>
  <c r="L46" i="10"/>
  <c r="M46" i="10"/>
  <c r="N46" i="10"/>
  <c r="O46" i="10"/>
  <c r="BQ46" i="10" s="1"/>
  <c r="P46" i="10"/>
  <c r="Q46" i="10"/>
  <c r="R46" i="10"/>
  <c r="S46" i="10"/>
  <c r="T46" i="10"/>
  <c r="U46" i="10"/>
  <c r="V46" i="10"/>
  <c r="W46" i="10"/>
  <c r="X46" i="10"/>
  <c r="Y46" i="10"/>
  <c r="Z46" i="10"/>
  <c r="AA46" i="10"/>
  <c r="AB46" i="10"/>
  <c r="AC46" i="10"/>
  <c r="AD46" i="10"/>
  <c r="AE46" i="10"/>
  <c r="AF46" i="10"/>
  <c r="AG46" i="10"/>
  <c r="AH46" i="10"/>
  <c r="AI46" i="10"/>
  <c r="AJ46" i="10"/>
  <c r="AK46" i="10"/>
  <c r="AL46" i="10"/>
  <c r="AM46" i="10"/>
  <c r="AN46" i="10"/>
  <c r="AO46" i="10"/>
  <c r="AP46" i="10"/>
  <c r="AQ46" i="10"/>
  <c r="AR46" i="10"/>
  <c r="AS46" i="10"/>
  <c r="AT46" i="10"/>
  <c r="AU46" i="10"/>
  <c r="AV46" i="10"/>
  <c r="AW46" i="10"/>
  <c r="AX46" i="10"/>
  <c r="AY46" i="10"/>
  <c r="AZ46" i="10"/>
  <c r="BA46" i="10"/>
  <c r="BB46" i="10"/>
  <c r="BC46" i="10"/>
  <c r="BD46" i="10"/>
  <c r="BE46" i="10"/>
  <c r="BF46" i="10"/>
  <c r="BG46" i="10"/>
  <c r="BH46" i="10"/>
  <c r="BI46" i="10"/>
  <c r="BJ46" i="10"/>
  <c r="BK46" i="10"/>
  <c r="BL46" i="10"/>
  <c r="BM46" i="10"/>
  <c r="BN46" i="10"/>
  <c r="BP46" i="10"/>
  <c r="F47" i="10"/>
  <c r="G47" i="10"/>
  <c r="H47" i="10"/>
  <c r="I47" i="10"/>
  <c r="J47" i="10"/>
  <c r="K47" i="10"/>
  <c r="L47" i="10"/>
  <c r="M47" i="10"/>
  <c r="N47" i="10"/>
  <c r="O47" i="10"/>
  <c r="P47" i="10"/>
  <c r="Q47" i="10"/>
  <c r="R47" i="10"/>
  <c r="S47" i="10"/>
  <c r="T47" i="10"/>
  <c r="U47" i="10"/>
  <c r="V47" i="10"/>
  <c r="W47" i="10"/>
  <c r="X47" i="10"/>
  <c r="Y47" i="10"/>
  <c r="Z47" i="10"/>
  <c r="AA47" i="10"/>
  <c r="AB47" i="10"/>
  <c r="AC47" i="10"/>
  <c r="AD47" i="10"/>
  <c r="AE47" i="10"/>
  <c r="AF47" i="10"/>
  <c r="AG47" i="10"/>
  <c r="AH47" i="10"/>
  <c r="AI47" i="10"/>
  <c r="AJ47" i="10"/>
  <c r="AK47" i="10"/>
  <c r="AL47" i="10"/>
  <c r="AM47" i="10"/>
  <c r="AN47" i="10"/>
  <c r="AO47" i="10"/>
  <c r="AP47" i="10"/>
  <c r="AQ47" i="10"/>
  <c r="AR47" i="10"/>
  <c r="AS47" i="10"/>
  <c r="AT47" i="10"/>
  <c r="AU47" i="10"/>
  <c r="AV47" i="10"/>
  <c r="AW47" i="10"/>
  <c r="AX47" i="10"/>
  <c r="AY47" i="10"/>
  <c r="AZ47" i="10"/>
  <c r="BA47" i="10"/>
  <c r="BB47" i="10"/>
  <c r="BC47" i="10"/>
  <c r="BD47" i="10"/>
  <c r="BE47" i="10"/>
  <c r="BF47" i="10"/>
  <c r="BG47" i="10"/>
  <c r="BH47" i="10"/>
  <c r="BI47" i="10"/>
  <c r="BJ47" i="10"/>
  <c r="BK47" i="10"/>
  <c r="BL47" i="10"/>
  <c r="BM47" i="10"/>
  <c r="BN47" i="10"/>
  <c r="BP47" i="10"/>
  <c r="F48" i="10"/>
  <c r="G48" i="10"/>
  <c r="H48" i="10"/>
  <c r="I48" i="10"/>
  <c r="J48" i="10"/>
  <c r="K48" i="10"/>
  <c r="L48" i="10"/>
  <c r="M48" i="10"/>
  <c r="N48" i="10"/>
  <c r="O48" i="10"/>
  <c r="P48" i="10"/>
  <c r="Q48" i="10"/>
  <c r="R48" i="10"/>
  <c r="S48" i="10"/>
  <c r="T48" i="10"/>
  <c r="U48" i="10"/>
  <c r="V48" i="10"/>
  <c r="W48" i="10"/>
  <c r="X48" i="10"/>
  <c r="Y48" i="10"/>
  <c r="Z48" i="10"/>
  <c r="AA48" i="10"/>
  <c r="AB48" i="10"/>
  <c r="AC48" i="10"/>
  <c r="AD48" i="10"/>
  <c r="AE48" i="10"/>
  <c r="AF48" i="10"/>
  <c r="AG48" i="10"/>
  <c r="AH48" i="10"/>
  <c r="AI48" i="10"/>
  <c r="AJ48" i="10"/>
  <c r="AK48" i="10"/>
  <c r="AL48" i="10"/>
  <c r="AM48" i="10"/>
  <c r="AN48" i="10"/>
  <c r="AO48" i="10"/>
  <c r="AP48" i="10"/>
  <c r="AQ48" i="10"/>
  <c r="AR48" i="10"/>
  <c r="AS48" i="10"/>
  <c r="AT48" i="10"/>
  <c r="AU48" i="10"/>
  <c r="AV48" i="10"/>
  <c r="AW48" i="10"/>
  <c r="AX48" i="10"/>
  <c r="AY48" i="10"/>
  <c r="AZ48" i="10"/>
  <c r="BA48" i="10"/>
  <c r="BB48" i="10"/>
  <c r="BC48" i="10"/>
  <c r="BD48" i="10"/>
  <c r="BE48" i="10"/>
  <c r="BF48" i="10"/>
  <c r="BG48" i="10"/>
  <c r="BH48" i="10"/>
  <c r="BI48" i="10"/>
  <c r="BJ48" i="10"/>
  <c r="BK48" i="10"/>
  <c r="BL48" i="10"/>
  <c r="BM48" i="10"/>
  <c r="BN48" i="10"/>
  <c r="BP48" i="10"/>
  <c r="F49" i="10"/>
  <c r="G49" i="10"/>
  <c r="H49" i="10"/>
  <c r="I49" i="10"/>
  <c r="J49" i="10"/>
  <c r="K49" i="10"/>
  <c r="L49" i="10"/>
  <c r="M49" i="10"/>
  <c r="N49" i="10"/>
  <c r="O49" i="10"/>
  <c r="P49" i="10"/>
  <c r="Q49" i="10"/>
  <c r="R49" i="10"/>
  <c r="S49" i="10"/>
  <c r="T49" i="10"/>
  <c r="U49" i="10"/>
  <c r="V49" i="10"/>
  <c r="W49" i="10"/>
  <c r="X49" i="10"/>
  <c r="Y49" i="10"/>
  <c r="Z49" i="10"/>
  <c r="AA49" i="10"/>
  <c r="AB49" i="10"/>
  <c r="AC49" i="10"/>
  <c r="AD49" i="10"/>
  <c r="AE49" i="10"/>
  <c r="AF49" i="10"/>
  <c r="AG49" i="10"/>
  <c r="AH49" i="10"/>
  <c r="AI49" i="10"/>
  <c r="AJ49" i="10"/>
  <c r="AK49" i="10"/>
  <c r="AL49" i="10"/>
  <c r="AM49" i="10"/>
  <c r="AN49" i="10"/>
  <c r="AO49" i="10"/>
  <c r="AP49" i="10"/>
  <c r="AQ49" i="10"/>
  <c r="AR49" i="10"/>
  <c r="AS49" i="10"/>
  <c r="AT49" i="10"/>
  <c r="AU49" i="10"/>
  <c r="AV49" i="10"/>
  <c r="AW49" i="10"/>
  <c r="AX49" i="10"/>
  <c r="AY49" i="10"/>
  <c r="AZ49" i="10"/>
  <c r="BA49" i="10"/>
  <c r="BB49" i="10"/>
  <c r="BC49" i="10"/>
  <c r="BD49" i="10"/>
  <c r="BE49" i="10"/>
  <c r="BF49" i="10"/>
  <c r="BG49" i="10"/>
  <c r="BH49" i="10"/>
  <c r="BI49" i="10"/>
  <c r="BJ49" i="10"/>
  <c r="BK49" i="10"/>
  <c r="BL49" i="10"/>
  <c r="BM49" i="10"/>
  <c r="BN49" i="10"/>
  <c r="BP49" i="10"/>
  <c r="F50" i="10"/>
  <c r="G50" i="10"/>
  <c r="H50" i="10"/>
  <c r="I50" i="10"/>
  <c r="J50" i="10"/>
  <c r="K50" i="10"/>
  <c r="L50" i="10"/>
  <c r="M50" i="10"/>
  <c r="N50" i="10"/>
  <c r="O50" i="10"/>
  <c r="BQ50" i="10" s="1"/>
  <c r="P50" i="10"/>
  <c r="Q50" i="10"/>
  <c r="R50" i="10"/>
  <c r="S50" i="10"/>
  <c r="T50" i="10"/>
  <c r="U50" i="10"/>
  <c r="V50" i="10"/>
  <c r="W50" i="10"/>
  <c r="X50" i="10"/>
  <c r="Y50" i="10"/>
  <c r="Z50" i="10"/>
  <c r="AA50" i="10"/>
  <c r="AB50" i="10"/>
  <c r="AC50" i="10"/>
  <c r="AD50" i="10"/>
  <c r="AE50" i="10"/>
  <c r="AF50" i="10"/>
  <c r="AG50" i="10"/>
  <c r="AH50" i="10"/>
  <c r="AI50" i="10"/>
  <c r="AJ50" i="10"/>
  <c r="AK50" i="10"/>
  <c r="AL50" i="10"/>
  <c r="AM50" i="10"/>
  <c r="AN50" i="10"/>
  <c r="AO50" i="10"/>
  <c r="AP50" i="10"/>
  <c r="AQ50" i="10"/>
  <c r="AR50" i="10"/>
  <c r="AS50" i="10"/>
  <c r="AT50" i="10"/>
  <c r="AU50" i="10"/>
  <c r="AV50" i="10"/>
  <c r="AW50" i="10"/>
  <c r="AX50" i="10"/>
  <c r="AY50" i="10"/>
  <c r="AZ50" i="10"/>
  <c r="BA50" i="10"/>
  <c r="BB50" i="10"/>
  <c r="BC50" i="10"/>
  <c r="BD50" i="10"/>
  <c r="BE50" i="10"/>
  <c r="BF50" i="10"/>
  <c r="BG50" i="10"/>
  <c r="BH50" i="10"/>
  <c r="BI50" i="10"/>
  <c r="BJ50" i="10"/>
  <c r="BK50" i="10"/>
  <c r="BL50" i="10"/>
  <c r="BM50" i="10"/>
  <c r="BN50" i="10"/>
  <c r="BP50" i="10"/>
  <c r="F51" i="10"/>
  <c r="G51" i="10"/>
  <c r="H51" i="10"/>
  <c r="I51" i="10"/>
  <c r="J51" i="10"/>
  <c r="K51" i="10"/>
  <c r="L51" i="10"/>
  <c r="M51" i="10"/>
  <c r="N51" i="10"/>
  <c r="O51" i="10"/>
  <c r="P51" i="10"/>
  <c r="Q51" i="10"/>
  <c r="R51" i="10"/>
  <c r="S51" i="10"/>
  <c r="T51" i="10"/>
  <c r="U51" i="10"/>
  <c r="V51" i="10"/>
  <c r="W51" i="10"/>
  <c r="X51" i="10"/>
  <c r="Y51" i="10"/>
  <c r="Z51" i="10"/>
  <c r="AA51" i="10"/>
  <c r="AB51" i="10"/>
  <c r="AC51" i="10"/>
  <c r="AD51" i="10"/>
  <c r="AE51" i="10"/>
  <c r="AF51" i="10"/>
  <c r="AG51" i="10"/>
  <c r="AH51" i="10"/>
  <c r="AI51" i="10"/>
  <c r="AJ51" i="10"/>
  <c r="AK51" i="10"/>
  <c r="AL51" i="10"/>
  <c r="AM51" i="10"/>
  <c r="AN51" i="10"/>
  <c r="AO51" i="10"/>
  <c r="AP51" i="10"/>
  <c r="AQ51" i="10"/>
  <c r="AR51" i="10"/>
  <c r="AS51" i="10"/>
  <c r="AT51" i="10"/>
  <c r="AU51" i="10"/>
  <c r="AV51" i="10"/>
  <c r="AW51" i="10"/>
  <c r="AX51" i="10"/>
  <c r="AY51" i="10"/>
  <c r="AZ51" i="10"/>
  <c r="BA51" i="10"/>
  <c r="BB51" i="10"/>
  <c r="BC51" i="10"/>
  <c r="BD51" i="10"/>
  <c r="BE51" i="10"/>
  <c r="BF51" i="10"/>
  <c r="BG51" i="10"/>
  <c r="BH51" i="10"/>
  <c r="BI51" i="10"/>
  <c r="BJ51" i="10"/>
  <c r="BK51" i="10"/>
  <c r="BL51" i="10"/>
  <c r="BM51" i="10"/>
  <c r="BN51" i="10"/>
  <c r="BP51" i="10"/>
  <c r="F52" i="10"/>
  <c r="G52" i="10"/>
  <c r="H52" i="10"/>
  <c r="I52" i="10"/>
  <c r="J52" i="10"/>
  <c r="K52" i="10"/>
  <c r="L52" i="10"/>
  <c r="M52" i="10"/>
  <c r="N52" i="10"/>
  <c r="O52" i="10"/>
  <c r="P52" i="10"/>
  <c r="Q52" i="10"/>
  <c r="R52" i="10"/>
  <c r="S52" i="10"/>
  <c r="T52" i="10"/>
  <c r="U52" i="10"/>
  <c r="V52" i="10"/>
  <c r="W52" i="10"/>
  <c r="X52" i="10"/>
  <c r="Y52" i="10"/>
  <c r="Z52" i="10"/>
  <c r="AA52" i="10"/>
  <c r="AB52" i="10"/>
  <c r="AC52" i="10"/>
  <c r="AD52" i="10"/>
  <c r="AE52" i="10"/>
  <c r="AF52" i="10"/>
  <c r="AG52" i="10"/>
  <c r="AH52" i="10"/>
  <c r="AI52" i="10"/>
  <c r="AJ52" i="10"/>
  <c r="AK52" i="10"/>
  <c r="AL52" i="10"/>
  <c r="AM52" i="10"/>
  <c r="AN52" i="10"/>
  <c r="AO52" i="10"/>
  <c r="AP52" i="10"/>
  <c r="AQ52" i="10"/>
  <c r="AR52" i="10"/>
  <c r="AS52" i="10"/>
  <c r="AT52" i="10"/>
  <c r="AU52" i="10"/>
  <c r="AV52" i="10"/>
  <c r="AW52" i="10"/>
  <c r="AX52" i="10"/>
  <c r="AY52" i="10"/>
  <c r="AZ52" i="10"/>
  <c r="BA52" i="10"/>
  <c r="BB52" i="10"/>
  <c r="BC52" i="10"/>
  <c r="BD52" i="10"/>
  <c r="BE52" i="10"/>
  <c r="BF52" i="10"/>
  <c r="BG52" i="10"/>
  <c r="BH52" i="10"/>
  <c r="BI52" i="10"/>
  <c r="BJ52" i="10"/>
  <c r="BK52" i="10"/>
  <c r="BL52" i="10"/>
  <c r="BM52" i="10"/>
  <c r="BN52" i="10"/>
  <c r="BP52" i="10"/>
  <c r="F53" i="10"/>
  <c r="G53" i="10"/>
  <c r="H53" i="10"/>
  <c r="I53" i="10"/>
  <c r="J53" i="10"/>
  <c r="K53" i="10"/>
  <c r="L53" i="10"/>
  <c r="M53" i="10"/>
  <c r="N53" i="10"/>
  <c r="O53" i="10"/>
  <c r="P53" i="10"/>
  <c r="Q53" i="10"/>
  <c r="R53" i="10"/>
  <c r="S53" i="10"/>
  <c r="T53" i="10"/>
  <c r="U53" i="10"/>
  <c r="V53" i="10"/>
  <c r="W53" i="10"/>
  <c r="X53" i="10"/>
  <c r="Y53" i="10"/>
  <c r="Z53" i="10"/>
  <c r="AA53" i="10"/>
  <c r="AB53" i="10"/>
  <c r="AC53" i="10"/>
  <c r="AD53" i="10"/>
  <c r="AE53" i="10"/>
  <c r="AF53" i="10"/>
  <c r="AG53" i="10"/>
  <c r="AH53" i="10"/>
  <c r="AI53" i="10"/>
  <c r="AJ53" i="10"/>
  <c r="AK53" i="10"/>
  <c r="AL53" i="10"/>
  <c r="AM53" i="10"/>
  <c r="AN53" i="10"/>
  <c r="AO53" i="10"/>
  <c r="AP53" i="10"/>
  <c r="AQ53" i="10"/>
  <c r="AR53" i="10"/>
  <c r="AS53" i="10"/>
  <c r="AT53" i="10"/>
  <c r="AU53" i="10"/>
  <c r="AV53" i="10"/>
  <c r="AW53" i="10"/>
  <c r="AX53" i="10"/>
  <c r="AY53" i="10"/>
  <c r="AZ53" i="10"/>
  <c r="BA53" i="10"/>
  <c r="BB53" i="10"/>
  <c r="BC53" i="10"/>
  <c r="BD53" i="10"/>
  <c r="BE53" i="10"/>
  <c r="BF53" i="10"/>
  <c r="BG53" i="10"/>
  <c r="BH53" i="10"/>
  <c r="BI53" i="10"/>
  <c r="BJ53" i="10"/>
  <c r="BK53" i="10"/>
  <c r="BL53" i="10"/>
  <c r="BM53" i="10"/>
  <c r="BN53" i="10"/>
  <c r="BP53" i="10"/>
  <c r="F54" i="10"/>
  <c r="G54" i="10"/>
  <c r="H54" i="10"/>
  <c r="I54" i="10"/>
  <c r="J54" i="10"/>
  <c r="K54" i="10"/>
  <c r="L54" i="10"/>
  <c r="M54" i="10"/>
  <c r="N54" i="10"/>
  <c r="O54" i="10"/>
  <c r="BQ54" i="10" s="1"/>
  <c r="P54" i="10"/>
  <c r="Q54" i="10"/>
  <c r="R54" i="10"/>
  <c r="S54" i="10"/>
  <c r="T54" i="10"/>
  <c r="U54" i="10"/>
  <c r="V54" i="10"/>
  <c r="W54" i="10"/>
  <c r="X54" i="10"/>
  <c r="Y54" i="10"/>
  <c r="Z54" i="10"/>
  <c r="AA54" i="10"/>
  <c r="AB54" i="10"/>
  <c r="AC54" i="10"/>
  <c r="AD54" i="10"/>
  <c r="AE54" i="10"/>
  <c r="AF54" i="10"/>
  <c r="AG54" i="10"/>
  <c r="AH54" i="10"/>
  <c r="AI54" i="10"/>
  <c r="AJ54" i="10"/>
  <c r="AK54" i="10"/>
  <c r="AL54" i="10"/>
  <c r="AM54" i="10"/>
  <c r="AN54" i="10"/>
  <c r="AO54" i="10"/>
  <c r="AP54" i="10"/>
  <c r="AQ54" i="10"/>
  <c r="AR54" i="10"/>
  <c r="AS54" i="10"/>
  <c r="AT54" i="10"/>
  <c r="AU54" i="10"/>
  <c r="AV54" i="10"/>
  <c r="AW54" i="10"/>
  <c r="AX54" i="10"/>
  <c r="AY54" i="10"/>
  <c r="AZ54" i="10"/>
  <c r="BA54" i="10"/>
  <c r="BB54" i="10"/>
  <c r="BC54" i="10"/>
  <c r="BD54" i="10"/>
  <c r="BE54" i="10"/>
  <c r="BF54" i="10"/>
  <c r="BG54" i="10"/>
  <c r="BH54" i="10"/>
  <c r="BI54" i="10"/>
  <c r="BJ54" i="10"/>
  <c r="BK54" i="10"/>
  <c r="BL54" i="10"/>
  <c r="BM54" i="10"/>
  <c r="BN54" i="10"/>
  <c r="BP54" i="10"/>
  <c r="F55" i="10"/>
  <c r="G55" i="10"/>
  <c r="H55" i="10"/>
  <c r="I55" i="10"/>
  <c r="J55" i="10"/>
  <c r="K55" i="10"/>
  <c r="L55" i="10"/>
  <c r="M55" i="10"/>
  <c r="N55" i="10"/>
  <c r="O55" i="10"/>
  <c r="P55" i="10"/>
  <c r="Q55" i="10"/>
  <c r="R55" i="10"/>
  <c r="S55" i="10"/>
  <c r="T55" i="10"/>
  <c r="U55" i="10"/>
  <c r="V55" i="10"/>
  <c r="W55" i="10"/>
  <c r="X55" i="10"/>
  <c r="Y55" i="10"/>
  <c r="Z55" i="10"/>
  <c r="AA55" i="10"/>
  <c r="AB55" i="10"/>
  <c r="AC55" i="10"/>
  <c r="AD55" i="10"/>
  <c r="AE55" i="10"/>
  <c r="AF55" i="10"/>
  <c r="AG55" i="10"/>
  <c r="AH55" i="10"/>
  <c r="AI55" i="10"/>
  <c r="AJ55" i="10"/>
  <c r="AK55" i="10"/>
  <c r="AL55" i="10"/>
  <c r="AM55" i="10"/>
  <c r="AN55" i="10"/>
  <c r="AO55" i="10"/>
  <c r="AP55" i="10"/>
  <c r="AQ55" i="10"/>
  <c r="AR55" i="10"/>
  <c r="AS55" i="10"/>
  <c r="AT55" i="10"/>
  <c r="AU55" i="10"/>
  <c r="AV55" i="10"/>
  <c r="AW55" i="10"/>
  <c r="AX55" i="10"/>
  <c r="AY55" i="10"/>
  <c r="AZ55" i="10"/>
  <c r="BA55" i="10"/>
  <c r="BB55" i="10"/>
  <c r="BC55" i="10"/>
  <c r="BD55" i="10"/>
  <c r="BE55" i="10"/>
  <c r="BF55" i="10"/>
  <c r="BG55" i="10"/>
  <c r="BH55" i="10"/>
  <c r="BI55" i="10"/>
  <c r="BJ55" i="10"/>
  <c r="BK55" i="10"/>
  <c r="BL55" i="10"/>
  <c r="BM55" i="10"/>
  <c r="BN55" i="10"/>
  <c r="BP55" i="10"/>
  <c r="F56" i="10"/>
  <c r="G56" i="10"/>
  <c r="H56" i="10"/>
  <c r="I56" i="10"/>
  <c r="J56" i="10"/>
  <c r="K56" i="10"/>
  <c r="L56" i="10"/>
  <c r="M56" i="10"/>
  <c r="N56" i="10"/>
  <c r="O56" i="10"/>
  <c r="P56" i="10"/>
  <c r="Q56" i="10"/>
  <c r="R56" i="10"/>
  <c r="S56" i="10"/>
  <c r="T56" i="10"/>
  <c r="U56" i="10"/>
  <c r="V56" i="10"/>
  <c r="W56" i="10"/>
  <c r="X56" i="10"/>
  <c r="Y56" i="10"/>
  <c r="Z56" i="10"/>
  <c r="AA56" i="10"/>
  <c r="AB56" i="10"/>
  <c r="AC56" i="10"/>
  <c r="AD56" i="10"/>
  <c r="AE56" i="10"/>
  <c r="AF56" i="10"/>
  <c r="AG56" i="10"/>
  <c r="AH56" i="10"/>
  <c r="AI56" i="10"/>
  <c r="AJ56" i="10"/>
  <c r="AK56" i="10"/>
  <c r="AL56" i="10"/>
  <c r="AM56" i="10"/>
  <c r="AN56" i="10"/>
  <c r="AO56" i="10"/>
  <c r="AP56" i="10"/>
  <c r="AQ56" i="10"/>
  <c r="AR56" i="10"/>
  <c r="AS56" i="10"/>
  <c r="AT56" i="10"/>
  <c r="AU56" i="10"/>
  <c r="AV56" i="10"/>
  <c r="AW56" i="10"/>
  <c r="AX56" i="10"/>
  <c r="AY56" i="10"/>
  <c r="AZ56" i="10"/>
  <c r="BA56" i="10"/>
  <c r="BB56" i="10"/>
  <c r="BC56" i="10"/>
  <c r="BD56" i="10"/>
  <c r="BE56" i="10"/>
  <c r="BF56" i="10"/>
  <c r="BG56" i="10"/>
  <c r="BH56" i="10"/>
  <c r="BI56" i="10"/>
  <c r="BJ56" i="10"/>
  <c r="BK56" i="10"/>
  <c r="BL56" i="10"/>
  <c r="BM56" i="10"/>
  <c r="BN56" i="10"/>
  <c r="BP56" i="10"/>
  <c r="F57" i="10"/>
  <c r="G57" i="10"/>
  <c r="H57" i="10"/>
  <c r="I57" i="10"/>
  <c r="J57" i="10"/>
  <c r="K57" i="10"/>
  <c r="L57" i="10"/>
  <c r="M57" i="10"/>
  <c r="N57" i="10"/>
  <c r="O57" i="10"/>
  <c r="P57" i="10"/>
  <c r="Q57" i="10"/>
  <c r="R57" i="10"/>
  <c r="S57" i="10"/>
  <c r="T57" i="10"/>
  <c r="U57" i="10"/>
  <c r="V57" i="10"/>
  <c r="W57" i="10"/>
  <c r="X57" i="10"/>
  <c r="Y57" i="10"/>
  <c r="Z57" i="10"/>
  <c r="AA57" i="10"/>
  <c r="AB57" i="10"/>
  <c r="AC57" i="10"/>
  <c r="AD57" i="10"/>
  <c r="AE57" i="10"/>
  <c r="AF57" i="10"/>
  <c r="AG57" i="10"/>
  <c r="AH57" i="10"/>
  <c r="AI57" i="10"/>
  <c r="AJ57" i="10"/>
  <c r="AK57" i="10"/>
  <c r="AL57" i="10"/>
  <c r="AM57" i="10"/>
  <c r="AN57" i="10"/>
  <c r="AO57" i="10"/>
  <c r="AP57" i="10"/>
  <c r="AQ57" i="10"/>
  <c r="AR57" i="10"/>
  <c r="AS57" i="10"/>
  <c r="AT57" i="10"/>
  <c r="AU57" i="10"/>
  <c r="AV57" i="10"/>
  <c r="AW57" i="10"/>
  <c r="AX57" i="10"/>
  <c r="AY57" i="10"/>
  <c r="AZ57" i="10"/>
  <c r="BA57" i="10"/>
  <c r="BB57" i="10"/>
  <c r="BC57" i="10"/>
  <c r="BD57" i="10"/>
  <c r="BE57" i="10"/>
  <c r="BF57" i="10"/>
  <c r="BG57" i="10"/>
  <c r="BH57" i="10"/>
  <c r="BI57" i="10"/>
  <c r="BJ57" i="10"/>
  <c r="BK57" i="10"/>
  <c r="BL57" i="10"/>
  <c r="BM57" i="10"/>
  <c r="BN57" i="10"/>
  <c r="BP57" i="10"/>
  <c r="F58" i="10"/>
  <c r="G58" i="10"/>
  <c r="H58" i="10"/>
  <c r="I58" i="10"/>
  <c r="J58" i="10"/>
  <c r="K58" i="10"/>
  <c r="L58" i="10"/>
  <c r="M58" i="10"/>
  <c r="N58" i="10"/>
  <c r="O58" i="10"/>
  <c r="BQ58" i="10" s="1"/>
  <c r="P58" i="10"/>
  <c r="Q58" i="10"/>
  <c r="R58" i="10"/>
  <c r="S58" i="10"/>
  <c r="T58" i="10"/>
  <c r="U58" i="10"/>
  <c r="V58" i="10"/>
  <c r="W58" i="10"/>
  <c r="X58" i="10"/>
  <c r="Y58" i="10"/>
  <c r="Z58" i="10"/>
  <c r="AA58" i="10"/>
  <c r="AB58" i="10"/>
  <c r="AC58" i="10"/>
  <c r="AD58" i="10"/>
  <c r="AE58" i="10"/>
  <c r="AF58" i="10"/>
  <c r="AG58" i="10"/>
  <c r="AH58" i="10"/>
  <c r="AI58" i="10"/>
  <c r="AJ58" i="10"/>
  <c r="AK58" i="10"/>
  <c r="AL58" i="10"/>
  <c r="AM58" i="10"/>
  <c r="AN58" i="10"/>
  <c r="AO58" i="10"/>
  <c r="AP58" i="10"/>
  <c r="AQ58" i="10"/>
  <c r="AR58" i="10"/>
  <c r="AS58" i="10"/>
  <c r="AT58" i="10"/>
  <c r="AU58" i="10"/>
  <c r="AV58" i="10"/>
  <c r="AW58" i="10"/>
  <c r="AX58" i="10"/>
  <c r="AY58" i="10"/>
  <c r="AZ58" i="10"/>
  <c r="BA58" i="10"/>
  <c r="BB58" i="10"/>
  <c r="BC58" i="10"/>
  <c r="BD58" i="10"/>
  <c r="BE58" i="10"/>
  <c r="BF58" i="10"/>
  <c r="BG58" i="10"/>
  <c r="BH58" i="10"/>
  <c r="BI58" i="10"/>
  <c r="BJ58" i="10"/>
  <c r="BK58" i="10"/>
  <c r="BL58" i="10"/>
  <c r="BM58" i="10"/>
  <c r="BN58" i="10"/>
  <c r="BP58" i="10"/>
  <c r="F59" i="10"/>
  <c r="G59" i="10"/>
  <c r="H59" i="10"/>
  <c r="I59" i="10"/>
  <c r="J59" i="10"/>
  <c r="K59" i="10"/>
  <c r="L59" i="10"/>
  <c r="M59" i="10"/>
  <c r="N59" i="10"/>
  <c r="O59" i="10"/>
  <c r="P59" i="10"/>
  <c r="Q59" i="10"/>
  <c r="R59" i="10"/>
  <c r="S59" i="10"/>
  <c r="T59" i="10"/>
  <c r="U59" i="10"/>
  <c r="V59" i="10"/>
  <c r="W59" i="10"/>
  <c r="X59" i="10"/>
  <c r="Y59" i="10"/>
  <c r="Z59" i="10"/>
  <c r="AA59" i="10"/>
  <c r="AB59" i="10"/>
  <c r="AC59" i="10"/>
  <c r="AD59" i="10"/>
  <c r="AE59" i="10"/>
  <c r="AF59" i="10"/>
  <c r="AG59" i="10"/>
  <c r="AH59" i="10"/>
  <c r="AI59" i="10"/>
  <c r="AJ59" i="10"/>
  <c r="AK59" i="10"/>
  <c r="AL59" i="10"/>
  <c r="AM59" i="10"/>
  <c r="AN59" i="10"/>
  <c r="AO59" i="10"/>
  <c r="AP59" i="10"/>
  <c r="AQ59" i="10"/>
  <c r="AR59" i="10"/>
  <c r="AS59" i="10"/>
  <c r="AT59" i="10"/>
  <c r="AU59" i="10"/>
  <c r="AV59" i="10"/>
  <c r="AW59" i="10"/>
  <c r="AX59" i="10"/>
  <c r="AY59" i="10"/>
  <c r="AZ59" i="10"/>
  <c r="BA59" i="10"/>
  <c r="BB59" i="10"/>
  <c r="BC59" i="10"/>
  <c r="BD59" i="10"/>
  <c r="BE59" i="10"/>
  <c r="BF59" i="10"/>
  <c r="BG59" i="10"/>
  <c r="BH59" i="10"/>
  <c r="BI59" i="10"/>
  <c r="BJ59" i="10"/>
  <c r="BK59" i="10"/>
  <c r="BL59" i="10"/>
  <c r="BM59" i="10"/>
  <c r="BN59" i="10"/>
  <c r="BP59" i="10"/>
  <c r="F60" i="10"/>
  <c r="G60" i="10"/>
  <c r="H60" i="10"/>
  <c r="I60" i="10"/>
  <c r="J60" i="10"/>
  <c r="K60" i="10"/>
  <c r="L60" i="10"/>
  <c r="M60" i="10"/>
  <c r="N60" i="10"/>
  <c r="O60" i="10"/>
  <c r="P60" i="10"/>
  <c r="Q60" i="10"/>
  <c r="R60" i="10"/>
  <c r="S60" i="10"/>
  <c r="T60" i="10"/>
  <c r="U60" i="10"/>
  <c r="V60" i="10"/>
  <c r="W60" i="10"/>
  <c r="X60" i="10"/>
  <c r="Y60" i="10"/>
  <c r="Z60" i="10"/>
  <c r="AA60" i="10"/>
  <c r="AB60" i="10"/>
  <c r="AC60" i="10"/>
  <c r="AD60" i="10"/>
  <c r="AE60" i="10"/>
  <c r="AF60" i="10"/>
  <c r="AG60" i="10"/>
  <c r="AH60" i="10"/>
  <c r="AI60" i="10"/>
  <c r="AJ60" i="10"/>
  <c r="AK60" i="10"/>
  <c r="AL60" i="10"/>
  <c r="AM60" i="10"/>
  <c r="AN60" i="10"/>
  <c r="AO60" i="10"/>
  <c r="AP60" i="10"/>
  <c r="AQ60" i="10"/>
  <c r="AR60" i="10"/>
  <c r="AS60" i="10"/>
  <c r="AT60" i="10"/>
  <c r="AU60" i="10"/>
  <c r="AV60" i="10"/>
  <c r="AW60" i="10"/>
  <c r="AX60" i="10"/>
  <c r="AY60" i="10"/>
  <c r="AZ60" i="10"/>
  <c r="BA60" i="10"/>
  <c r="BB60" i="10"/>
  <c r="BC60" i="10"/>
  <c r="BD60" i="10"/>
  <c r="BE60" i="10"/>
  <c r="BF60" i="10"/>
  <c r="BG60" i="10"/>
  <c r="BH60" i="10"/>
  <c r="BI60" i="10"/>
  <c r="BJ60" i="10"/>
  <c r="BK60" i="10"/>
  <c r="BL60" i="10"/>
  <c r="BM60" i="10"/>
  <c r="BN60" i="10"/>
  <c r="BP60" i="10"/>
  <c r="F61" i="10"/>
  <c r="G61" i="10"/>
  <c r="H61" i="10"/>
  <c r="I61" i="10"/>
  <c r="J61" i="10"/>
  <c r="K61" i="10"/>
  <c r="L61" i="10"/>
  <c r="M61" i="10"/>
  <c r="N61" i="10"/>
  <c r="O61" i="10"/>
  <c r="P61" i="10"/>
  <c r="Q61" i="10"/>
  <c r="R61" i="10"/>
  <c r="S61" i="10"/>
  <c r="T61" i="10"/>
  <c r="U61" i="10"/>
  <c r="V61" i="10"/>
  <c r="W61" i="10"/>
  <c r="X61" i="10"/>
  <c r="Y61" i="10"/>
  <c r="Z61" i="10"/>
  <c r="AA61" i="10"/>
  <c r="AB61" i="10"/>
  <c r="AC61" i="10"/>
  <c r="AD61" i="10"/>
  <c r="AE61" i="10"/>
  <c r="AF61" i="10"/>
  <c r="AG61" i="10"/>
  <c r="AH61" i="10"/>
  <c r="AI61" i="10"/>
  <c r="AJ61" i="10"/>
  <c r="AK61" i="10"/>
  <c r="AL61" i="10"/>
  <c r="AM61" i="10"/>
  <c r="AN61" i="10"/>
  <c r="AO61" i="10"/>
  <c r="AP61" i="10"/>
  <c r="AQ61" i="10"/>
  <c r="AR61" i="10"/>
  <c r="AS61" i="10"/>
  <c r="AT61" i="10"/>
  <c r="AU61" i="10"/>
  <c r="AV61" i="10"/>
  <c r="AW61" i="10"/>
  <c r="AX61" i="10"/>
  <c r="AY61" i="10"/>
  <c r="AZ61" i="10"/>
  <c r="BA61" i="10"/>
  <c r="BB61" i="10"/>
  <c r="BC61" i="10"/>
  <c r="BD61" i="10"/>
  <c r="BE61" i="10"/>
  <c r="BF61" i="10"/>
  <c r="BG61" i="10"/>
  <c r="BH61" i="10"/>
  <c r="BI61" i="10"/>
  <c r="BJ61" i="10"/>
  <c r="BK61" i="10"/>
  <c r="BL61" i="10"/>
  <c r="BM61" i="10"/>
  <c r="BN61" i="10"/>
  <c r="BP61" i="10"/>
  <c r="F62" i="10"/>
  <c r="G62" i="10"/>
  <c r="H62" i="10"/>
  <c r="I62" i="10"/>
  <c r="J62" i="10"/>
  <c r="K62" i="10"/>
  <c r="L62" i="10"/>
  <c r="M62" i="10"/>
  <c r="N62" i="10"/>
  <c r="O62" i="10"/>
  <c r="BQ62" i="10" s="1"/>
  <c r="P62" i="10"/>
  <c r="Q62" i="10"/>
  <c r="R62" i="10"/>
  <c r="S62" i="10"/>
  <c r="T62" i="10"/>
  <c r="U62" i="10"/>
  <c r="V62" i="10"/>
  <c r="W62" i="10"/>
  <c r="X62" i="10"/>
  <c r="Y62" i="10"/>
  <c r="Z62" i="10"/>
  <c r="AA62" i="10"/>
  <c r="AB62" i="10"/>
  <c r="AC62" i="10"/>
  <c r="AD62" i="10"/>
  <c r="AE62" i="10"/>
  <c r="AF62" i="10"/>
  <c r="AG62" i="10"/>
  <c r="AH62" i="10"/>
  <c r="AI62" i="10"/>
  <c r="AJ62" i="10"/>
  <c r="AK62" i="10"/>
  <c r="AL62" i="10"/>
  <c r="AM62" i="10"/>
  <c r="AN62" i="10"/>
  <c r="AO62" i="10"/>
  <c r="AP62" i="10"/>
  <c r="AQ62" i="10"/>
  <c r="AR62" i="10"/>
  <c r="AS62" i="10"/>
  <c r="AT62" i="10"/>
  <c r="AU62" i="10"/>
  <c r="AV62" i="10"/>
  <c r="AW62" i="10"/>
  <c r="AX62" i="10"/>
  <c r="AY62" i="10"/>
  <c r="AZ62" i="10"/>
  <c r="BA62" i="10"/>
  <c r="BB62" i="10"/>
  <c r="BC62" i="10"/>
  <c r="BD62" i="10"/>
  <c r="BE62" i="10"/>
  <c r="BF62" i="10"/>
  <c r="BG62" i="10"/>
  <c r="BH62" i="10"/>
  <c r="BI62" i="10"/>
  <c r="BJ62" i="10"/>
  <c r="BK62" i="10"/>
  <c r="BL62" i="10"/>
  <c r="BM62" i="10"/>
  <c r="BN62" i="10"/>
  <c r="BP62" i="10"/>
  <c r="BS11" i="11"/>
  <c r="BS12" i="11"/>
  <c r="BS13" i="11"/>
  <c r="BS14" i="11"/>
  <c r="BS15" i="11"/>
  <c r="BS16" i="11"/>
  <c r="BS17" i="11"/>
  <c r="BS18" i="11"/>
  <c r="BS19" i="11"/>
  <c r="BS20" i="11"/>
  <c r="BS21" i="11"/>
  <c r="BS22" i="11"/>
  <c r="BS23" i="11"/>
  <c r="BS24" i="11"/>
  <c r="BS25" i="11"/>
  <c r="BS26" i="11"/>
  <c r="BS27" i="11"/>
  <c r="BS28" i="11"/>
  <c r="BS29" i="11"/>
  <c r="BS30" i="11"/>
  <c r="BS31" i="11"/>
  <c r="BS32" i="11"/>
  <c r="BS33" i="11"/>
  <c r="BS10" i="11"/>
  <c r="BQ32" i="10"/>
  <c r="BQ33" i="10"/>
  <c r="BQ34" i="10"/>
  <c r="BQ35" i="10"/>
  <c r="BQ36" i="10"/>
  <c r="BQ37" i="10"/>
  <c r="BQ38" i="10"/>
  <c r="BQ39" i="10"/>
  <c r="BQ40" i="10"/>
  <c r="BQ41" i="10"/>
  <c r="BM42" i="10"/>
  <c r="BN42" i="10"/>
  <c r="BP42" i="10"/>
  <c r="BI42" i="10"/>
  <c r="BJ42" i="10"/>
  <c r="BK42" i="10"/>
  <c r="BL42" i="10"/>
  <c r="AR42" i="10"/>
  <c r="AS42" i="10"/>
  <c r="AT42" i="10"/>
  <c r="AU42" i="10"/>
  <c r="AV42" i="10"/>
  <c r="AW42" i="10"/>
  <c r="AX42" i="10"/>
  <c r="AY42" i="10"/>
  <c r="AZ42" i="10"/>
  <c r="BA42" i="10"/>
  <c r="BB42" i="10"/>
  <c r="BC42" i="10"/>
  <c r="BD42" i="10"/>
  <c r="BE42" i="10"/>
  <c r="BF42" i="10"/>
  <c r="BG42" i="10"/>
  <c r="BH42" i="10"/>
  <c r="AG42" i="10"/>
  <c r="AH42" i="10"/>
  <c r="AI42" i="10"/>
  <c r="AJ42" i="10"/>
  <c r="AK42" i="10"/>
  <c r="AL42" i="10"/>
  <c r="AM42" i="10"/>
  <c r="AN42" i="10"/>
  <c r="AO42" i="10"/>
  <c r="AP42" i="10"/>
  <c r="AQ42" i="10"/>
  <c r="Z42" i="10"/>
  <c r="AA42" i="10"/>
  <c r="AB42" i="10"/>
  <c r="AC42" i="10"/>
  <c r="AD42" i="10"/>
  <c r="AE42" i="10"/>
  <c r="AF42" i="10"/>
  <c r="Y42" i="10"/>
  <c r="G42" i="10"/>
  <c r="H42" i="10"/>
  <c r="I42" i="10"/>
  <c r="J42" i="10"/>
  <c r="K42" i="10"/>
  <c r="L42" i="10"/>
  <c r="M42" i="10"/>
  <c r="N42" i="10"/>
  <c r="O42" i="10"/>
  <c r="P42" i="10"/>
  <c r="Q42" i="10"/>
  <c r="BQ42" i="10" s="1"/>
  <c r="R42" i="10"/>
  <c r="S42" i="10"/>
  <c r="T42" i="10"/>
  <c r="U42" i="10"/>
  <c r="V42" i="10"/>
  <c r="W42" i="10"/>
  <c r="X42" i="10"/>
  <c r="F42" i="10"/>
  <c r="F40" i="16"/>
  <c r="F39" i="16"/>
  <c r="F38" i="16"/>
  <c r="F37" i="16"/>
  <c r="F36" i="16"/>
  <c r="F35" i="16"/>
  <c r="F34" i="16"/>
  <c r="F33" i="16"/>
  <c r="F32" i="16"/>
  <c r="F30" i="16"/>
  <c r="F29" i="16"/>
  <c r="F28" i="16"/>
  <c r="F27" i="16"/>
  <c r="F26" i="16"/>
  <c r="F25" i="16"/>
  <c r="F24" i="16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F31" i="16"/>
  <c r="F21" i="16"/>
  <c r="B42" i="10"/>
  <c r="F22" i="16"/>
  <c r="F17" i="16"/>
  <c r="C6" i="16"/>
  <c r="H4" i="16"/>
  <c r="C4" i="16"/>
  <c r="B29" i="25" l="1"/>
  <c r="B33" i="25" s="1"/>
  <c r="F11" i="25" s="1"/>
  <c r="F13" i="25"/>
  <c r="B34" i="25"/>
  <c r="F12" i="25" s="1"/>
  <c r="BQ93" i="10"/>
  <c r="BQ91" i="10"/>
  <c r="BQ89" i="10"/>
  <c r="BQ87" i="10"/>
  <c r="BQ85" i="10"/>
  <c r="BQ83" i="10"/>
  <c r="BQ81" i="10"/>
  <c r="BQ92" i="10"/>
  <c r="BQ90" i="10"/>
  <c r="BQ88" i="10"/>
  <c r="BQ86" i="10"/>
  <c r="BQ82" i="10"/>
  <c r="BQ78" i="10"/>
  <c r="BQ77" i="10"/>
  <c r="BQ76" i="10"/>
  <c r="BQ75" i="10"/>
  <c r="BQ74" i="10"/>
  <c r="BQ73" i="10"/>
  <c r="BQ72" i="10"/>
  <c r="BQ71" i="10"/>
  <c r="BQ70" i="10"/>
  <c r="BQ69" i="10"/>
  <c r="BQ68" i="10"/>
  <c r="BQ67" i="10"/>
  <c r="BQ66" i="10"/>
  <c r="BQ65" i="10"/>
  <c r="BQ64" i="10"/>
  <c r="BQ63" i="10"/>
  <c r="BQ59" i="10"/>
  <c r="BQ55" i="10"/>
  <c r="BQ51" i="10"/>
  <c r="BQ47" i="10"/>
  <c r="BQ43" i="10"/>
  <c r="BQ60" i="10"/>
  <c r="BQ56" i="10"/>
  <c r="BQ52" i="10"/>
  <c r="BQ48" i="10"/>
  <c r="BQ44" i="10"/>
  <c r="BQ61" i="10"/>
  <c r="BQ57" i="10"/>
  <c r="BQ53" i="10"/>
  <c r="BQ49" i="10"/>
  <c r="BQ45" i="10"/>
  <c r="G40" i="17"/>
  <c r="AG11" i="8"/>
  <c r="AG12" i="8"/>
  <c r="AG13" i="8"/>
  <c r="AG14" i="8"/>
  <c r="AG15" i="8"/>
  <c r="AG16" i="8"/>
  <c r="AG17" i="8"/>
  <c r="AG18" i="8"/>
  <c r="AG19" i="8"/>
  <c r="AG20" i="8"/>
  <c r="AG21" i="8"/>
  <c r="AG22" i="8"/>
  <c r="AG23" i="8"/>
  <c r="AG24" i="8"/>
  <c r="AG25" i="8"/>
  <c r="AG26" i="8"/>
  <c r="AG27" i="8"/>
  <c r="AG28" i="8"/>
  <c r="AG29" i="8"/>
  <c r="AG30" i="8"/>
  <c r="AG31" i="8"/>
  <c r="AG10" i="8"/>
  <c r="D64" i="21"/>
  <c r="AY31" i="8"/>
  <c r="AX31" i="8"/>
  <c r="AW31" i="8"/>
  <c r="AV31" i="8"/>
  <c r="AU31" i="8"/>
  <c r="AT31" i="8"/>
  <c r="AY30" i="8"/>
  <c r="AX30" i="8"/>
  <c r="AW30" i="8"/>
  <c r="AV30" i="8"/>
  <c r="AU30" i="8"/>
  <c r="AT30" i="8"/>
  <c r="AY29" i="8"/>
  <c r="AX29" i="8"/>
  <c r="AW29" i="8"/>
  <c r="AV29" i="8"/>
  <c r="AU29" i="8"/>
  <c r="AT29" i="8"/>
  <c r="AY28" i="8"/>
  <c r="AX28" i="8"/>
  <c r="AW28" i="8"/>
  <c r="AV28" i="8"/>
  <c r="AU28" i="8"/>
  <c r="AT28" i="8"/>
  <c r="D74" i="21"/>
  <c r="D73" i="21"/>
  <c r="D72" i="21"/>
  <c r="D71" i="21"/>
  <c r="D70" i="21"/>
  <c r="D68" i="21"/>
  <c r="D67" i="21"/>
  <c r="D66" i="21"/>
  <c r="D65" i="21"/>
  <c r="D63" i="21"/>
  <c r="D62" i="21"/>
  <c r="D53" i="21"/>
  <c r="D52" i="21"/>
  <c r="B52" i="21" s="1"/>
  <c r="D50" i="21"/>
  <c r="K39" i="21" s="1"/>
  <c r="D44" i="21"/>
  <c r="A38" i="21"/>
  <c r="A32" i="21"/>
  <c r="A31" i="21"/>
  <c r="A30" i="21"/>
  <c r="A29" i="21"/>
  <c r="A28" i="21"/>
  <c r="A27" i="21"/>
  <c r="A26" i="21"/>
  <c r="A25" i="21"/>
  <c r="A24" i="21"/>
  <c r="A23" i="21"/>
  <c r="A22" i="21"/>
  <c r="A21" i="21"/>
  <c r="A20" i="21"/>
  <c r="A19" i="21"/>
  <c r="A18" i="21"/>
  <c r="A17" i="21"/>
  <c r="A16" i="21"/>
  <c r="A15" i="21"/>
  <c r="A14" i="21"/>
  <c r="A13" i="21"/>
  <c r="A12" i="21"/>
  <c r="A11" i="21"/>
  <c r="A10" i="21"/>
  <c r="A9" i="21"/>
  <c r="A8" i="21"/>
  <c r="A7" i="21"/>
  <c r="K38" i="21"/>
  <c r="B31" i="25" l="1"/>
  <c r="F9" i="25" s="1"/>
  <c r="B32" i="25"/>
  <c r="F10" i="25" s="1"/>
  <c r="F15" i="25"/>
  <c r="F14" i="25"/>
  <c r="F41" i="25" s="1"/>
  <c r="B36" i="25" s="1"/>
  <c r="B35" i="25"/>
  <c r="A37" i="21"/>
  <c r="A36" i="21" s="1"/>
  <c r="D42" i="21" s="1"/>
  <c r="B37" i="25" l="1"/>
  <c r="A35" i="21"/>
  <c r="D48" i="21" s="1"/>
  <c r="K37" i="21" s="1"/>
  <c r="D43" i="21"/>
  <c r="K32" i="21" s="1"/>
  <c r="A34" i="21"/>
  <c r="D49" i="21" s="1"/>
  <c r="K36" i="21" s="1"/>
  <c r="A33" i="21"/>
  <c r="K31" i="21"/>
  <c r="A39" i="21" l="1"/>
  <c r="D45" i="21"/>
  <c r="K33" i="21" s="1"/>
  <c r="D46" i="21" l="1"/>
  <c r="D47" i="21" s="1"/>
  <c r="B42" i="21" s="1"/>
  <c r="K35" i="21"/>
  <c r="K34" i="21"/>
  <c r="K40" i="21" l="1"/>
  <c r="I27" i="18" l="1"/>
  <c r="AE39" i="17"/>
  <c r="AA39" i="17"/>
  <c r="W39" i="17"/>
  <c r="S39" i="17"/>
  <c r="O39" i="17"/>
  <c r="K39" i="17"/>
  <c r="G39" i="17"/>
  <c r="C39" i="17"/>
  <c r="O40" i="17" l="1"/>
  <c r="AE40" i="17"/>
  <c r="W40" i="17"/>
  <c r="BI27" i="14" l="1"/>
  <c r="BH27" i="14"/>
  <c r="H34" i="11"/>
  <c r="D4" i="16" l="1"/>
  <c r="BK31" i="14" l="1"/>
  <c r="BL31" i="14"/>
  <c r="G27" i="14"/>
  <c r="L27" i="14"/>
  <c r="M27" i="14"/>
  <c r="O27" i="14"/>
  <c r="P27" i="14"/>
  <c r="R27" i="14"/>
  <c r="W27" i="14"/>
  <c r="X27" i="14"/>
  <c r="Y27" i="14"/>
  <c r="Z27" i="14"/>
  <c r="AA27" i="14"/>
  <c r="AB27" i="14"/>
  <c r="AC27" i="14"/>
  <c r="AD27" i="14"/>
  <c r="AE27" i="14"/>
  <c r="AH27" i="14"/>
  <c r="AJ27" i="14"/>
  <c r="AM27" i="14"/>
  <c r="AO27" i="14"/>
  <c r="AP27" i="14"/>
  <c r="AQ27" i="14"/>
  <c r="AR27" i="14"/>
  <c r="AS27" i="14"/>
  <c r="AZ27" i="14"/>
  <c r="BA27" i="14"/>
  <c r="BB27" i="14"/>
  <c r="BC27" i="14"/>
  <c r="BD27" i="14"/>
  <c r="BE27" i="14"/>
  <c r="BF27" i="14"/>
  <c r="F27" i="14"/>
  <c r="J11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10" i="14"/>
  <c r="J27" i="14" s="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3" i="11"/>
  <c r="Q11" i="11"/>
  <c r="K11" i="11"/>
  <c r="K12" i="11"/>
  <c r="K13" i="11"/>
  <c r="K14" i="11"/>
  <c r="K15" i="11"/>
  <c r="K16" i="11"/>
  <c r="K17" i="11"/>
  <c r="K18" i="11"/>
  <c r="K19" i="11"/>
  <c r="K20" i="11"/>
  <c r="K21" i="11"/>
  <c r="J11" i="11"/>
  <c r="J13" i="11"/>
  <c r="J14" i="11"/>
  <c r="J15" i="11"/>
  <c r="J16" i="11"/>
  <c r="J17" i="11"/>
  <c r="J18" i="11"/>
  <c r="J19" i="11"/>
  <c r="J20" i="11"/>
  <c r="K22" i="11"/>
  <c r="K23" i="11"/>
  <c r="K24" i="11"/>
  <c r="K25" i="11"/>
  <c r="K26" i="11"/>
  <c r="K27" i="11"/>
  <c r="K28" i="11"/>
  <c r="K29" i="11"/>
  <c r="K30" i="11"/>
  <c r="K33" i="11"/>
  <c r="K10" i="11"/>
  <c r="J22" i="11"/>
  <c r="J23" i="11"/>
  <c r="J24" i="11"/>
  <c r="J25" i="11"/>
  <c r="J26" i="11"/>
  <c r="J27" i="11"/>
  <c r="J28" i="11"/>
  <c r="J29" i="11"/>
  <c r="J30" i="11"/>
  <c r="J33" i="11"/>
  <c r="J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3" i="11"/>
  <c r="I10" i="11"/>
  <c r="H11" i="11"/>
  <c r="H12" i="11"/>
  <c r="H13" i="11"/>
  <c r="H14" i="11"/>
  <c r="H15" i="11"/>
  <c r="H16" i="11"/>
  <c r="H17" i="11"/>
  <c r="H18" i="11"/>
  <c r="H20" i="11"/>
  <c r="H22" i="11"/>
  <c r="H23" i="11"/>
  <c r="H24" i="11"/>
  <c r="H25" i="11"/>
  <c r="H26" i="11"/>
  <c r="H27" i="11"/>
  <c r="H28" i="11"/>
  <c r="H29" i="11"/>
  <c r="H30" i="11"/>
  <c r="H33" i="11"/>
  <c r="H10" i="11"/>
  <c r="B34" i="14" l="1"/>
  <c r="B33" i="14"/>
  <c r="B32" i="14"/>
  <c r="B31" i="14"/>
  <c r="B30" i="14"/>
  <c r="B29" i="14"/>
  <c r="B28" i="14"/>
  <c r="B27" i="14"/>
  <c r="AY26" i="14"/>
  <c r="AX26" i="14"/>
  <c r="AW26" i="14"/>
  <c r="AV26" i="14"/>
  <c r="AU26" i="14"/>
  <c r="AT26" i="14"/>
  <c r="AN26" i="14"/>
  <c r="AF26" i="14"/>
  <c r="V26" i="14"/>
  <c r="U26" i="14"/>
  <c r="T26" i="14"/>
  <c r="S26" i="14"/>
  <c r="Q26" i="14"/>
  <c r="N26" i="14"/>
  <c r="K26" i="14"/>
  <c r="I26" i="14"/>
  <c r="H26" i="14"/>
  <c r="B26" i="14"/>
  <c r="AY25" i="14"/>
  <c r="AN25" i="14"/>
  <c r="V25" i="14"/>
  <c r="U25" i="14"/>
  <c r="T25" i="14"/>
  <c r="S25" i="14"/>
  <c r="Q25" i="14"/>
  <c r="N25" i="14"/>
  <c r="K25" i="14"/>
  <c r="I25" i="14"/>
  <c r="H25" i="14"/>
  <c r="B25" i="14"/>
  <c r="AY24" i="14"/>
  <c r="AN24" i="14"/>
  <c r="V24" i="14"/>
  <c r="U24" i="14"/>
  <c r="T24" i="14"/>
  <c r="S24" i="14"/>
  <c r="Q24" i="14"/>
  <c r="N24" i="14"/>
  <c r="K24" i="14"/>
  <c r="I24" i="14"/>
  <c r="B24" i="14"/>
  <c r="AY23" i="14"/>
  <c r="AN23" i="14"/>
  <c r="V23" i="14"/>
  <c r="U23" i="14"/>
  <c r="T23" i="14"/>
  <c r="S23" i="14"/>
  <c r="Q23" i="14"/>
  <c r="N23" i="14"/>
  <c r="K23" i="14"/>
  <c r="I23" i="14"/>
  <c r="B23" i="14"/>
  <c r="AY22" i="14"/>
  <c r="AN22" i="14"/>
  <c r="V22" i="14"/>
  <c r="U22" i="14"/>
  <c r="T22" i="14"/>
  <c r="S22" i="14"/>
  <c r="Q22" i="14"/>
  <c r="N22" i="14"/>
  <c r="K22" i="14"/>
  <c r="I22" i="14"/>
  <c r="H22" i="14"/>
  <c r="B22" i="14"/>
  <c r="AY21" i="14"/>
  <c r="AN21" i="14"/>
  <c r="V21" i="14"/>
  <c r="U21" i="14"/>
  <c r="T21" i="14"/>
  <c r="S21" i="14"/>
  <c r="Q21" i="14"/>
  <c r="N21" i="14"/>
  <c r="K21" i="14"/>
  <c r="I21" i="14"/>
  <c r="H21" i="14"/>
  <c r="B21" i="14"/>
  <c r="AY20" i="14"/>
  <c r="AN20" i="14"/>
  <c r="V20" i="14"/>
  <c r="U20" i="14"/>
  <c r="T20" i="14"/>
  <c r="S20" i="14"/>
  <c r="Q20" i="14"/>
  <c r="N20" i="14"/>
  <c r="K20" i="14"/>
  <c r="I20" i="14"/>
  <c r="H20" i="14"/>
  <c r="B20" i="14"/>
  <c r="AY19" i="14"/>
  <c r="AN19" i="14"/>
  <c r="V19" i="14"/>
  <c r="U19" i="14"/>
  <c r="T19" i="14"/>
  <c r="S19" i="14"/>
  <c r="Q19" i="14"/>
  <c r="N19" i="14"/>
  <c r="K19" i="14"/>
  <c r="I19" i="14"/>
  <c r="H19" i="14"/>
  <c r="B19" i="14"/>
  <c r="AY18" i="14"/>
  <c r="AN18" i="14"/>
  <c r="V18" i="14"/>
  <c r="U18" i="14"/>
  <c r="T18" i="14"/>
  <c r="S18" i="14"/>
  <c r="Q18" i="14"/>
  <c r="N18" i="14"/>
  <c r="K18" i="14"/>
  <c r="I18" i="14"/>
  <c r="H18" i="14"/>
  <c r="B18" i="14"/>
  <c r="AY17" i="14"/>
  <c r="AN17" i="14"/>
  <c r="V17" i="14"/>
  <c r="U17" i="14"/>
  <c r="T17" i="14"/>
  <c r="S17" i="14"/>
  <c r="Q17" i="14"/>
  <c r="N17" i="14"/>
  <c r="K17" i="14"/>
  <c r="I17" i="14"/>
  <c r="H17" i="14"/>
  <c r="B17" i="14"/>
  <c r="AY16" i="14"/>
  <c r="AN16" i="14"/>
  <c r="V16" i="14"/>
  <c r="U16" i="14"/>
  <c r="T16" i="14"/>
  <c r="S16" i="14"/>
  <c r="Q16" i="14"/>
  <c r="N16" i="14"/>
  <c r="K16" i="14"/>
  <c r="I16" i="14"/>
  <c r="H16" i="14"/>
  <c r="B16" i="14"/>
  <c r="AY15" i="14"/>
  <c r="AN15" i="14"/>
  <c r="V15" i="14"/>
  <c r="U15" i="14"/>
  <c r="T15" i="14"/>
  <c r="S15" i="14"/>
  <c r="Q15" i="14"/>
  <c r="N15" i="14"/>
  <c r="K15" i="14"/>
  <c r="I15" i="14"/>
  <c r="H15" i="14"/>
  <c r="B15" i="14"/>
  <c r="AY14" i="14"/>
  <c r="AN14" i="14"/>
  <c r="V14" i="14"/>
  <c r="U14" i="14"/>
  <c r="T14" i="14"/>
  <c r="S14" i="14"/>
  <c r="Q14" i="14"/>
  <c r="N14" i="14"/>
  <c r="K14" i="14"/>
  <c r="I14" i="14"/>
  <c r="H14" i="14"/>
  <c r="B14" i="14"/>
  <c r="AY13" i="14"/>
  <c r="AN13" i="14"/>
  <c r="V13" i="14"/>
  <c r="U13" i="14"/>
  <c r="T13" i="14"/>
  <c r="S13" i="14"/>
  <c r="Q13" i="14"/>
  <c r="N13" i="14"/>
  <c r="K13" i="14"/>
  <c r="I13" i="14"/>
  <c r="H13" i="14"/>
  <c r="B13" i="14"/>
  <c r="AY12" i="14"/>
  <c r="AN12" i="14"/>
  <c r="V12" i="14"/>
  <c r="U12" i="14"/>
  <c r="T12" i="14"/>
  <c r="S12" i="14"/>
  <c r="Q12" i="14"/>
  <c r="N12" i="14"/>
  <c r="K12" i="14"/>
  <c r="I12" i="14"/>
  <c r="H12" i="14"/>
  <c r="B12" i="14"/>
  <c r="AY11" i="14"/>
  <c r="AN11" i="14"/>
  <c r="AF11" i="14"/>
  <c r="AF12" i="14" s="1"/>
  <c r="AF13" i="14" s="1"/>
  <c r="AF14" i="14" s="1"/>
  <c r="AF15" i="14" s="1"/>
  <c r="AF16" i="14" s="1"/>
  <c r="AF17" i="14" s="1"/>
  <c r="AF18" i="14" s="1"/>
  <c r="AF19" i="14" s="1"/>
  <c r="AF20" i="14" s="1"/>
  <c r="AF21" i="14" s="1"/>
  <c r="AF22" i="14" s="1"/>
  <c r="AF23" i="14" s="1"/>
  <c r="AF24" i="14" s="1"/>
  <c r="AF25" i="14" s="1"/>
  <c r="V11" i="14"/>
  <c r="U11" i="14"/>
  <c r="T11" i="14"/>
  <c r="S11" i="14"/>
  <c r="Q11" i="14"/>
  <c r="N11" i="14"/>
  <c r="K11" i="14"/>
  <c r="I11" i="14"/>
  <c r="H11" i="14"/>
  <c r="B11" i="14"/>
  <c r="AY10" i="14"/>
  <c r="AY27" i="14" s="1"/>
  <c r="AX10" i="14"/>
  <c r="AW10" i="14"/>
  <c r="AV10" i="14"/>
  <c r="AU10" i="14"/>
  <c r="AT10" i="14"/>
  <c r="AN10" i="14"/>
  <c r="AF10" i="14"/>
  <c r="V10" i="14"/>
  <c r="U10" i="14"/>
  <c r="U27" i="14" s="1"/>
  <c r="T10" i="14"/>
  <c r="S10" i="14"/>
  <c r="Q10" i="14"/>
  <c r="N10" i="14"/>
  <c r="N27" i="14" s="1"/>
  <c r="K10" i="14"/>
  <c r="I10" i="14"/>
  <c r="H10" i="14"/>
  <c r="H27" i="14" s="1"/>
  <c r="B10" i="14"/>
  <c r="BH34" i="11"/>
  <c r="BH31" i="14" s="1"/>
  <c r="BF34" i="11"/>
  <c r="BF31" i="14" s="1"/>
  <c r="BE34" i="11"/>
  <c r="BE31" i="14" s="1"/>
  <c r="BD34" i="11"/>
  <c r="BD31" i="14" s="1"/>
  <c r="BC34" i="11"/>
  <c r="BC31" i="14" s="1"/>
  <c r="BB34" i="11"/>
  <c r="BB31" i="14" s="1"/>
  <c r="BA34" i="11"/>
  <c r="BA31" i="14" s="1"/>
  <c r="AZ34" i="11"/>
  <c r="AZ31" i="14" s="1"/>
  <c r="AS34" i="11"/>
  <c r="AS31" i="14" s="1"/>
  <c r="AR34" i="11"/>
  <c r="AR31" i="14" s="1"/>
  <c r="AQ34" i="11"/>
  <c r="AQ31" i="14" s="1"/>
  <c r="AP34" i="11"/>
  <c r="AP31" i="14" s="1"/>
  <c r="AO34" i="11"/>
  <c r="AO31" i="14" s="1"/>
  <c r="AM34" i="11"/>
  <c r="AM31" i="14" s="1"/>
  <c r="AJ34" i="11"/>
  <c r="AJ31" i="14" s="1"/>
  <c r="AH34" i="11"/>
  <c r="AH31" i="14" s="1"/>
  <c r="AE34" i="11"/>
  <c r="AE31" i="14" s="1"/>
  <c r="AD34" i="11"/>
  <c r="AD31" i="14" s="1"/>
  <c r="AC34" i="11"/>
  <c r="AC31" i="14" s="1"/>
  <c r="AB34" i="11"/>
  <c r="AB31" i="14" s="1"/>
  <c r="AA34" i="11"/>
  <c r="AA31" i="14" s="1"/>
  <c r="Z34" i="11"/>
  <c r="Z31" i="14" s="1"/>
  <c r="Y34" i="11"/>
  <c r="Y31" i="14" s="1"/>
  <c r="X34" i="11"/>
  <c r="X31" i="14" s="1"/>
  <c r="W34" i="11"/>
  <c r="W31" i="14" s="1"/>
  <c r="R34" i="11"/>
  <c r="R31" i="14" s="1"/>
  <c r="P34" i="11"/>
  <c r="P31" i="14" s="1"/>
  <c r="O34" i="11"/>
  <c r="O31" i="14" s="1"/>
  <c r="M34" i="11"/>
  <c r="M31" i="14" s="1"/>
  <c r="F34" i="11"/>
  <c r="F31" i="14" s="1"/>
  <c r="L34" i="11"/>
  <c r="L31" i="14" s="1"/>
  <c r="AY33" i="11"/>
  <c r="AN33" i="11"/>
  <c r="V33" i="11"/>
  <c r="U33" i="11"/>
  <c r="T33" i="11"/>
  <c r="S33" i="11"/>
  <c r="N33" i="11"/>
  <c r="B33" i="11"/>
  <c r="AY30" i="11"/>
  <c r="AN30" i="11"/>
  <c r="V30" i="11"/>
  <c r="U30" i="11"/>
  <c r="T30" i="11"/>
  <c r="S30" i="11"/>
  <c r="N30" i="11"/>
  <c r="B30" i="11"/>
  <c r="AY29" i="11"/>
  <c r="AN29" i="11"/>
  <c r="V29" i="11"/>
  <c r="U29" i="11"/>
  <c r="T29" i="11"/>
  <c r="S29" i="11"/>
  <c r="N29" i="11"/>
  <c r="B29" i="11"/>
  <c r="AY28" i="11"/>
  <c r="AN28" i="11"/>
  <c r="V28" i="11"/>
  <c r="U28" i="11"/>
  <c r="T28" i="11"/>
  <c r="S28" i="11"/>
  <c r="N28" i="11"/>
  <c r="B28" i="11"/>
  <c r="AY27" i="11"/>
  <c r="AN27" i="11"/>
  <c r="V27" i="11"/>
  <c r="U27" i="11"/>
  <c r="T27" i="11"/>
  <c r="S27" i="11"/>
  <c r="N27" i="11"/>
  <c r="B27" i="11"/>
  <c r="AY26" i="11"/>
  <c r="AN26" i="11"/>
  <c r="V26" i="11"/>
  <c r="U26" i="11"/>
  <c r="T26" i="11"/>
  <c r="S26" i="11"/>
  <c r="N26" i="11"/>
  <c r="B26" i="11"/>
  <c r="AY25" i="11"/>
  <c r="AN25" i="11"/>
  <c r="V25" i="11"/>
  <c r="U25" i="11"/>
  <c r="T25" i="11"/>
  <c r="S25" i="11"/>
  <c r="N25" i="11"/>
  <c r="B25" i="11"/>
  <c r="AY24" i="11"/>
  <c r="AN24" i="11"/>
  <c r="V24" i="11"/>
  <c r="U24" i="11"/>
  <c r="T24" i="11"/>
  <c r="S24" i="11"/>
  <c r="N24" i="11"/>
  <c r="B24" i="11"/>
  <c r="AY23" i="11"/>
  <c r="AN23" i="11"/>
  <c r="V23" i="11"/>
  <c r="U23" i="11"/>
  <c r="T23" i="11"/>
  <c r="S23" i="11"/>
  <c r="N23" i="11"/>
  <c r="B23" i="11"/>
  <c r="AY22" i="11"/>
  <c r="AN22" i="11"/>
  <c r="V22" i="11"/>
  <c r="U22" i="11"/>
  <c r="T22" i="11"/>
  <c r="S22" i="11"/>
  <c r="N22" i="11"/>
  <c r="B22" i="11"/>
  <c r="AY21" i="11"/>
  <c r="AN21" i="11"/>
  <c r="V21" i="11"/>
  <c r="U21" i="11"/>
  <c r="T21" i="11"/>
  <c r="S21" i="11"/>
  <c r="B21" i="11"/>
  <c r="AY20" i="11"/>
  <c r="AN20" i="11"/>
  <c r="V20" i="11"/>
  <c r="U20" i="11"/>
  <c r="T20" i="11"/>
  <c r="S20" i="11"/>
  <c r="B20" i="11"/>
  <c r="AY19" i="11"/>
  <c r="AN19" i="11"/>
  <c r="V19" i="11"/>
  <c r="U19" i="11"/>
  <c r="T19" i="11"/>
  <c r="S19" i="11"/>
  <c r="N19" i="11"/>
  <c r="B19" i="11"/>
  <c r="AY18" i="11"/>
  <c r="AN18" i="11"/>
  <c r="V18" i="11"/>
  <c r="U18" i="11"/>
  <c r="T18" i="11"/>
  <c r="S18" i="11"/>
  <c r="N18" i="11"/>
  <c r="B18" i="11"/>
  <c r="AY17" i="11"/>
  <c r="AN17" i="11"/>
  <c r="V17" i="11"/>
  <c r="U17" i="11"/>
  <c r="T17" i="11"/>
  <c r="S17" i="11"/>
  <c r="N17" i="11"/>
  <c r="B17" i="11"/>
  <c r="AY16" i="11"/>
  <c r="AN16" i="11"/>
  <c r="V16" i="11"/>
  <c r="U16" i="11"/>
  <c r="T16" i="11"/>
  <c r="S16" i="11"/>
  <c r="N16" i="11"/>
  <c r="B16" i="11"/>
  <c r="AY15" i="11"/>
  <c r="AN15" i="11"/>
  <c r="V15" i="11"/>
  <c r="U15" i="11"/>
  <c r="T15" i="11"/>
  <c r="S15" i="11"/>
  <c r="N15" i="11"/>
  <c r="B15" i="11"/>
  <c r="AY14" i="11"/>
  <c r="AN14" i="11"/>
  <c r="V14" i="11"/>
  <c r="U14" i="11"/>
  <c r="T14" i="11"/>
  <c r="S14" i="11"/>
  <c r="N14" i="11"/>
  <c r="B14" i="11"/>
  <c r="AY13" i="11"/>
  <c r="AN13" i="11"/>
  <c r="V13" i="11"/>
  <c r="U13" i="11"/>
  <c r="T13" i="11"/>
  <c r="S13" i="11"/>
  <c r="N13" i="11"/>
  <c r="B13" i="11"/>
  <c r="AY12" i="11"/>
  <c r="AN12" i="11"/>
  <c r="V12" i="11"/>
  <c r="U12" i="11"/>
  <c r="T12" i="11"/>
  <c r="S12" i="11"/>
  <c r="N12" i="11"/>
  <c r="B12" i="11"/>
  <c r="AY11" i="11"/>
  <c r="AN11" i="11"/>
  <c r="V11" i="11"/>
  <c r="U11" i="11"/>
  <c r="T11" i="11"/>
  <c r="S11" i="11"/>
  <c r="N11" i="11"/>
  <c r="B11" i="11"/>
  <c r="AY10" i="11"/>
  <c r="AX10" i="11"/>
  <c r="AX11" i="11" s="1"/>
  <c r="AX12" i="11" s="1"/>
  <c r="AX13" i="11" s="1"/>
  <c r="AX14" i="11" s="1"/>
  <c r="AX15" i="11" s="1"/>
  <c r="AX16" i="11" s="1"/>
  <c r="AX17" i="11" s="1"/>
  <c r="AX18" i="11" s="1"/>
  <c r="AX19" i="11" s="1"/>
  <c r="AX20" i="11" s="1"/>
  <c r="AX21" i="11" s="1"/>
  <c r="AX22" i="11" s="1"/>
  <c r="AX23" i="11" s="1"/>
  <c r="AX24" i="11" s="1"/>
  <c r="AX25" i="11" s="1"/>
  <c r="AX26" i="11" s="1"/>
  <c r="AX27" i="11" s="1"/>
  <c r="AX28" i="11" s="1"/>
  <c r="AX29" i="11" s="1"/>
  <c r="AX30" i="11" s="1"/>
  <c r="AX33" i="11" s="1"/>
  <c r="AW10" i="11"/>
  <c r="AV10" i="11"/>
  <c r="AV11" i="11" s="1"/>
  <c r="AV12" i="11" s="1"/>
  <c r="AV13" i="11" s="1"/>
  <c r="AV14" i="11" s="1"/>
  <c r="AV15" i="11" s="1"/>
  <c r="AV16" i="11" s="1"/>
  <c r="AV17" i="11" s="1"/>
  <c r="AV18" i="11" s="1"/>
  <c r="AV19" i="11" s="1"/>
  <c r="AV20" i="11" s="1"/>
  <c r="AV21" i="11" s="1"/>
  <c r="AV22" i="11" s="1"/>
  <c r="AV23" i="11" s="1"/>
  <c r="AV24" i="11" s="1"/>
  <c r="AV25" i="11" s="1"/>
  <c r="AV26" i="11" s="1"/>
  <c r="AV27" i="11" s="1"/>
  <c r="AV28" i="11" s="1"/>
  <c r="AV29" i="11" s="1"/>
  <c r="AV30" i="11" s="1"/>
  <c r="AV33" i="11" s="1"/>
  <c r="AU10" i="11"/>
  <c r="AU11" i="11" s="1"/>
  <c r="AU12" i="11" s="1"/>
  <c r="AU13" i="11" s="1"/>
  <c r="AU14" i="11" s="1"/>
  <c r="AU15" i="11" s="1"/>
  <c r="AU16" i="11" s="1"/>
  <c r="AU17" i="11" s="1"/>
  <c r="AU18" i="11" s="1"/>
  <c r="AU19" i="11" s="1"/>
  <c r="AU20" i="11" s="1"/>
  <c r="AU21" i="11" s="1"/>
  <c r="AU22" i="11" s="1"/>
  <c r="AU23" i="11" s="1"/>
  <c r="AU24" i="11" s="1"/>
  <c r="AU25" i="11" s="1"/>
  <c r="AU26" i="11" s="1"/>
  <c r="AU27" i="11" s="1"/>
  <c r="AU28" i="11" s="1"/>
  <c r="AU29" i="11" s="1"/>
  <c r="AU30" i="11" s="1"/>
  <c r="AU33" i="11" s="1"/>
  <c r="AT10" i="11"/>
  <c r="AT11" i="11" s="1"/>
  <c r="AT12" i="11" s="1"/>
  <c r="AT13" i="11" s="1"/>
  <c r="AT14" i="11" s="1"/>
  <c r="AT15" i="11" s="1"/>
  <c r="AT16" i="11" s="1"/>
  <c r="AT17" i="11" s="1"/>
  <c r="AT18" i="11" s="1"/>
  <c r="AT19" i="11" s="1"/>
  <c r="AT20" i="11" s="1"/>
  <c r="AT21" i="11" s="1"/>
  <c r="AT22" i="11" s="1"/>
  <c r="AT23" i="11" s="1"/>
  <c r="AT24" i="11" s="1"/>
  <c r="AT25" i="11" s="1"/>
  <c r="AT26" i="11" s="1"/>
  <c r="AT27" i="11" s="1"/>
  <c r="AT28" i="11" s="1"/>
  <c r="AT29" i="11" s="1"/>
  <c r="AT30" i="11" s="1"/>
  <c r="AT33" i="11" s="1"/>
  <c r="AN10" i="11"/>
  <c r="AF10" i="11"/>
  <c r="AF11" i="11" s="1"/>
  <c r="AF12" i="11" s="1"/>
  <c r="AF13" i="11" s="1"/>
  <c r="AF14" i="11" s="1"/>
  <c r="AF15" i="11" s="1"/>
  <c r="AF16" i="11" s="1"/>
  <c r="AF17" i="11" s="1"/>
  <c r="AF18" i="11" s="1"/>
  <c r="AF19" i="11" s="1"/>
  <c r="AF20" i="11" s="1"/>
  <c r="AF21" i="11" s="1"/>
  <c r="AF22" i="11" s="1"/>
  <c r="AF23" i="11" s="1"/>
  <c r="AF24" i="11" s="1"/>
  <c r="AF25" i="11" s="1"/>
  <c r="AF26" i="11" s="1"/>
  <c r="AF27" i="11" s="1"/>
  <c r="AF28" i="11" s="1"/>
  <c r="AF29" i="11" s="1"/>
  <c r="AF30" i="11" s="1"/>
  <c r="AF33" i="11" s="1"/>
  <c r="V10" i="11"/>
  <c r="V34" i="11" s="1"/>
  <c r="V31" i="14" s="1"/>
  <c r="U10" i="11"/>
  <c r="T10" i="11"/>
  <c r="S10" i="11"/>
  <c r="Q34" i="11"/>
  <c r="Q31" i="14" s="1"/>
  <c r="N10" i="11"/>
  <c r="B10" i="11"/>
  <c r="AM35" i="10"/>
  <c r="AM29" i="14" s="1"/>
  <c r="AF32" i="10"/>
  <c r="AF33" i="10"/>
  <c r="AF34" i="10"/>
  <c r="AF10" i="10"/>
  <c r="AT21" i="8"/>
  <c r="AU21" i="8"/>
  <c r="AV21" i="8"/>
  <c r="AW21" i="8"/>
  <c r="AX21" i="8"/>
  <c r="AT22" i="8"/>
  <c r="AU22" i="8"/>
  <c r="AV22" i="8"/>
  <c r="AW22" i="8"/>
  <c r="AX22" i="8"/>
  <c r="AT23" i="8"/>
  <c r="AU23" i="8"/>
  <c r="AV23" i="8"/>
  <c r="AW23" i="8"/>
  <c r="AX23" i="8"/>
  <c r="AT24" i="8"/>
  <c r="AU24" i="8"/>
  <c r="AV24" i="8"/>
  <c r="AW24" i="8"/>
  <c r="AX24" i="8"/>
  <c r="AT25" i="8"/>
  <c r="AU25" i="8"/>
  <c r="AV25" i="8"/>
  <c r="AW25" i="8"/>
  <c r="AX25" i="8"/>
  <c r="AT26" i="8"/>
  <c r="AU26" i="8"/>
  <c r="AV26" i="8"/>
  <c r="AW26" i="8"/>
  <c r="AX26" i="8"/>
  <c r="AT27" i="8"/>
  <c r="AU27" i="8"/>
  <c r="AV27" i="8"/>
  <c r="AW27" i="8"/>
  <c r="AX27" i="8"/>
  <c r="AU10" i="8"/>
  <c r="AU11" i="8" s="1"/>
  <c r="AU12" i="8" s="1"/>
  <c r="AU13" i="8" s="1"/>
  <c r="AU14" i="8" s="1"/>
  <c r="AU15" i="8" s="1"/>
  <c r="AU16" i="8" s="1"/>
  <c r="AU17" i="8" s="1"/>
  <c r="AU18" i="8" s="1"/>
  <c r="AU19" i="8" s="1"/>
  <c r="AU20" i="8" s="1"/>
  <c r="AV10" i="8"/>
  <c r="AV11" i="8" s="1"/>
  <c r="AV12" i="8" s="1"/>
  <c r="AV13" i="8" s="1"/>
  <c r="AV14" i="8" s="1"/>
  <c r="AV15" i="8" s="1"/>
  <c r="AV16" i="8" s="1"/>
  <c r="AV17" i="8" s="1"/>
  <c r="AV18" i="8" s="1"/>
  <c r="AV19" i="8" s="1"/>
  <c r="AV20" i="8" s="1"/>
  <c r="AW10" i="8"/>
  <c r="AW11" i="8" s="1"/>
  <c r="AW12" i="8" s="1"/>
  <c r="AW13" i="8" s="1"/>
  <c r="AW14" i="8" s="1"/>
  <c r="AW15" i="8" s="1"/>
  <c r="AW16" i="8" s="1"/>
  <c r="AW17" i="8" s="1"/>
  <c r="AW18" i="8" s="1"/>
  <c r="AW19" i="8" s="1"/>
  <c r="AW20" i="8" s="1"/>
  <c r="AX10" i="8"/>
  <c r="AX11" i="8" s="1"/>
  <c r="AX12" i="8" s="1"/>
  <c r="AX13" i="8" s="1"/>
  <c r="AX14" i="8" s="1"/>
  <c r="AX15" i="8" s="1"/>
  <c r="AX16" i="8" s="1"/>
  <c r="AX17" i="8" s="1"/>
  <c r="AX18" i="8" s="1"/>
  <c r="AX19" i="8" s="1"/>
  <c r="AX20" i="8" s="1"/>
  <c r="AT10" i="8"/>
  <c r="AT11" i="8" s="1"/>
  <c r="AT12" i="8" s="1"/>
  <c r="AT13" i="8" s="1"/>
  <c r="AT14" i="8" s="1"/>
  <c r="AT15" i="8" s="1"/>
  <c r="AT16" i="8" s="1"/>
  <c r="AT17" i="8" s="1"/>
  <c r="AT18" i="8" s="1"/>
  <c r="AT19" i="8" s="1"/>
  <c r="AT20" i="8" s="1"/>
  <c r="AT32" i="10"/>
  <c r="AT33" i="10"/>
  <c r="AT34" i="10"/>
  <c r="AU32" i="10"/>
  <c r="AV32" i="10"/>
  <c r="AW32" i="10"/>
  <c r="AX32" i="10"/>
  <c r="AU33" i="10"/>
  <c r="AV33" i="10"/>
  <c r="AW33" i="10"/>
  <c r="AX33" i="10"/>
  <c r="AU34" i="10"/>
  <c r="AV34" i="10"/>
  <c r="AW34" i="10"/>
  <c r="AX34" i="10"/>
  <c r="AU10" i="10"/>
  <c r="AV10" i="10"/>
  <c r="AW10" i="10"/>
  <c r="AX10" i="10"/>
  <c r="AT10" i="10"/>
  <c r="V10" i="10"/>
  <c r="BH35" i="10"/>
  <c r="BH29" i="14" s="1"/>
  <c r="BF35" i="10"/>
  <c r="BF29" i="14" s="1"/>
  <c r="BE35" i="10"/>
  <c r="BE29" i="14" s="1"/>
  <c r="BD35" i="10"/>
  <c r="BD29" i="14" s="1"/>
  <c r="BC35" i="10"/>
  <c r="BC29" i="14" s="1"/>
  <c r="BB35" i="10"/>
  <c r="BB29" i="14" s="1"/>
  <c r="BA35" i="10"/>
  <c r="BA29" i="14" s="1"/>
  <c r="AZ35" i="10"/>
  <c r="AZ29" i="14" s="1"/>
  <c r="AS35" i="10"/>
  <c r="AS29" i="14" s="1"/>
  <c r="AR35" i="10"/>
  <c r="AR29" i="14" s="1"/>
  <c r="AQ35" i="10"/>
  <c r="AQ29" i="14" s="1"/>
  <c r="AP35" i="10"/>
  <c r="AP29" i="14" s="1"/>
  <c r="AO35" i="10"/>
  <c r="AO29" i="14" s="1"/>
  <c r="AJ35" i="10"/>
  <c r="AJ29" i="14" s="1"/>
  <c r="AH35" i="10"/>
  <c r="AH29" i="14" s="1"/>
  <c r="AE35" i="10"/>
  <c r="AE29" i="14" s="1"/>
  <c r="AD35" i="10"/>
  <c r="AD29" i="14" s="1"/>
  <c r="AC35" i="10"/>
  <c r="AC29" i="14" s="1"/>
  <c r="AB35" i="10"/>
  <c r="AB29" i="14" s="1"/>
  <c r="AA35" i="10"/>
  <c r="AA29" i="14" s="1"/>
  <c r="Z35" i="10"/>
  <c r="Z29" i="14" s="1"/>
  <c r="Y35" i="10"/>
  <c r="Y29" i="14" s="1"/>
  <c r="X35" i="10"/>
  <c r="X29" i="14" s="1"/>
  <c r="W35" i="10"/>
  <c r="W29" i="14" s="1"/>
  <c r="R35" i="10"/>
  <c r="R29" i="14" s="1"/>
  <c r="P35" i="10"/>
  <c r="P29" i="14" s="1"/>
  <c r="O35" i="10"/>
  <c r="O29" i="14" s="1"/>
  <c r="M35" i="10"/>
  <c r="M29" i="14" s="1"/>
  <c r="F35" i="10"/>
  <c r="F29" i="14" s="1"/>
  <c r="AY34" i="10"/>
  <c r="AN34" i="10"/>
  <c r="V34" i="10"/>
  <c r="U34" i="10"/>
  <c r="T34" i="10"/>
  <c r="S34" i="10"/>
  <c r="Q34" i="10"/>
  <c r="N34" i="10"/>
  <c r="L34" i="10"/>
  <c r="K34" i="10"/>
  <c r="J34" i="10"/>
  <c r="I34" i="10"/>
  <c r="H34" i="10"/>
  <c r="G34" i="10"/>
  <c r="B34" i="10"/>
  <c r="AY33" i="10"/>
  <c r="AN33" i="10"/>
  <c r="V33" i="10"/>
  <c r="U33" i="10"/>
  <c r="T33" i="10"/>
  <c r="S33" i="10"/>
  <c r="Q33" i="10"/>
  <c r="N33" i="10"/>
  <c r="L33" i="10"/>
  <c r="L35" i="10" s="1"/>
  <c r="L29" i="14" s="1"/>
  <c r="K33" i="10"/>
  <c r="J33" i="10"/>
  <c r="I33" i="10"/>
  <c r="H33" i="10"/>
  <c r="G33" i="10"/>
  <c r="B33" i="10"/>
  <c r="AY32" i="10"/>
  <c r="AN32" i="10"/>
  <c r="V32" i="10"/>
  <c r="U32" i="10"/>
  <c r="T32" i="10"/>
  <c r="S32" i="10"/>
  <c r="Q32" i="10"/>
  <c r="N32" i="10"/>
  <c r="K32" i="10"/>
  <c r="J32" i="10"/>
  <c r="I32" i="10"/>
  <c r="H32" i="10"/>
  <c r="AL32" i="10" s="1"/>
  <c r="B32" i="10"/>
  <c r="AY31" i="10"/>
  <c r="AN31" i="10"/>
  <c r="V31" i="10"/>
  <c r="U31" i="10"/>
  <c r="T31" i="10"/>
  <c r="S31" i="10"/>
  <c r="Q31" i="10"/>
  <c r="BQ31" i="10" s="1"/>
  <c r="N31" i="10"/>
  <c r="K31" i="10"/>
  <c r="J31" i="10"/>
  <c r="I31" i="10"/>
  <c r="H31" i="10"/>
  <c r="B31" i="10"/>
  <c r="AY30" i="10"/>
  <c r="AN30" i="10"/>
  <c r="V30" i="10"/>
  <c r="U30" i="10"/>
  <c r="T30" i="10"/>
  <c r="S30" i="10"/>
  <c r="Q30" i="10"/>
  <c r="BQ30" i="10" s="1"/>
  <c r="N30" i="10"/>
  <c r="K30" i="10"/>
  <c r="J30" i="10"/>
  <c r="I30" i="10"/>
  <c r="H30" i="10"/>
  <c r="B30" i="10"/>
  <c r="AY29" i="10"/>
  <c r="AN29" i="10"/>
  <c r="V29" i="10"/>
  <c r="U29" i="10"/>
  <c r="T29" i="10"/>
  <c r="S29" i="10"/>
  <c r="Q29" i="10"/>
  <c r="BQ29" i="10" s="1"/>
  <c r="N29" i="10"/>
  <c r="K29" i="10"/>
  <c r="J29" i="10"/>
  <c r="I29" i="10"/>
  <c r="H29" i="10"/>
  <c r="B29" i="10"/>
  <c r="AY28" i="10"/>
  <c r="AN28" i="10"/>
  <c r="V28" i="10"/>
  <c r="U28" i="10"/>
  <c r="T28" i="10"/>
  <c r="S28" i="10"/>
  <c r="Q28" i="10"/>
  <c r="BQ28" i="10" s="1"/>
  <c r="N28" i="10"/>
  <c r="K28" i="10"/>
  <c r="J28" i="10"/>
  <c r="I28" i="10"/>
  <c r="H28" i="10"/>
  <c r="B28" i="10"/>
  <c r="AY27" i="10"/>
  <c r="AN27" i="10"/>
  <c r="V27" i="10"/>
  <c r="U27" i="10"/>
  <c r="T27" i="10"/>
  <c r="S27" i="10"/>
  <c r="Q27" i="10"/>
  <c r="BQ27" i="10" s="1"/>
  <c r="N27" i="10"/>
  <c r="K27" i="10"/>
  <c r="J27" i="10"/>
  <c r="I27" i="10"/>
  <c r="H27" i="10"/>
  <c r="B27" i="10"/>
  <c r="AY26" i="10"/>
  <c r="AN26" i="10"/>
  <c r="V26" i="10"/>
  <c r="U26" i="10"/>
  <c r="T26" i="10"/>
  <c r="S26" i="10"/>
  <c r="Q26" i="10"/>
  <c r="BQ26" i="10" s="1"/>
  <c r="N26" i="10"/>
  <c r="K26" i="10"/>
  <c r="J26" i="10"/>
  <c r="I26" i="10"/>
  <c r="H26" i="10"/>
  <c r="B26" i="10"/>
  <c r="AY25" i="10"/>
  <c r="AN25" i="10"/>
  <c r="V25" i="10"/>
  <c r="U25" i="10"/>
  <c r="T25" i="10"/>
  <c r="S25" i="10"/>
  <c r="Q25" i="10"/>
  <c r="BQ25" i="10" s="1"/>
  <c r="N25" i="10"/>
  <c r="K25" i="10"/>
  <c r="J25" i="10"/>
  <c r="I25" i="10"/>
  <c r="H25" i="10"/>
  <c r="B25" i="10"/>
  <c r="AY24" i="10"/>
  <c r="AN24" i="10"/>
  <c r="V24" i="10"/>
  <c r="U24" i="10"/>
  <c r="T24" i="10"/>
  <c r="S24" i="10"/>
  <c r="Q24" i="10"/>
  <c r="BQ24" i="10" s="1"/>
  <c r="N24" i="10"/>
  <c r="K24" i="10"/>
  <c r="J24" i="10"/>
  <c r="I24" i="10"/>
  <c r="H24" i="10"/>
  <c r="B24" i="10"/>
  <c r="AY23" i="10"/>
  <c r="AN23" i="10"/>
  <c r="V23" i="10"/>
  <c r="U23" i="10"/>
  <c r="T23" i="10"/>
  <c r="S23" i="10"/>
  <c r="Q23" i="10"/>
  <c r="BQ23" i="10" s="1"/>
  <c r="N23" i="10"/>
  <c r="K23" i="10"/>
  <c r="J23" i="10"/>
  <c r="I23" i="10"/>
  <c r="H23" i="10"/>
  <c r="B23" i="10"/>
  <c r="AY22" i="10"/>
  <c r="AN22" i="10"/>
  <c r="V22" i="10"/>
  <c r="U22" i="10"/>
  <c r="T22" i="10"/>
  <c r="S22" i="10"/>
  <c r="Q22" i="10"/>
  <c r="BQ22" i="10" s="1"/>
  <c r="N22" i="10"/>
  <c r="K22" i="10"/>
  <c r="J22" i="10"/>
  <c r="I22" i="10"/>
  <c r="H22" i="10"/>
  <c r="B22" i="10"/>
  <c r="AY21" i="10"/>
  <c r="AN21" i="10"/>
  <c r="V21" i="10"/>
  <c r="U21" i="10"/>
  <c r="T21" i="10"/>
  <c r="S21" i="10"/>
  <c r="Q21" i="10"/>
  <c r="BQ21" i="10" s="1"/>
  <c r="N21" i="10"/>
  <c r="K21" i="10"/>
  <c r="J21" i="10"/>
  <c r="I21" i="10"/>
  <c r="H21" i="10"/>
  <c r="B21" i="10"/>
  <c r="AY20" i="10"/>
  <c r="AN20" i="10"/>
  <c r="V20" i="10"/>
  <c r="U20" i="10"/>
  <c r="T20" i="10"/>
  <c r="S20" i="10"/>
  <c r="Q20" i="10"/>
  <c r="BQ20" i="10" s="1"/>
  <c r="N20" i="10"/>
  <c r="K20" i="10"/>
  <c r="J20" i="10"/>
  <c r="I20" i="10"/>
  <c r="H20" i="10"/>
  <c r="B20" i="10"/>
  <c r="AY19" i="10"/>
  <c r="AN19" i="10"/>
  <c r="V19" i="10"/>
  <c r="U19" i="10"/>
  <c r="T19" i="10"/>
  <c r="S19" i="10"/>
  <c r="Q19" i="10"/>
  <c r="BQ19" i="10" s="1"/>
  <c r="N19" i="10"/>
  <c r="K19" i="10"/>
  <c r="J19" i="10"/>
  <c r="I19" i="10"/>
  <c r="H19" i="10"/>
  <c r="B19" i="10"/>
  <c r="AY18" i="10"/>
  <c r="AN18" i="10"/>
  <c r="V18" i="10"/>
  <c r="U18" i="10"/>
  <c r="T18" i="10"/>
  <c r="S18" i="10"/>
  <c r="Q18" i="10"/>
  <c r="BQ18" i="10" s="1"/>
  <c r="N18" i="10"/>
  <c r="K18" i="10"/>
  <c r="J18" i="10"/>
  <c r="I18" i="10"/>
  <c r="H18" i="10"/>
  <c r="B18" i="10"/>
  <c r="AY17" i="10"/>
  <c r="AN17" i="10"/>
  <c r="V17" i="10"/>
  <c r="U17" i="10"/>
  <c r="T17" i="10"/>
  <c r="S17" i="10"/>
  <c r="Q17" i="10"/>
  <c r="BQ17" i="10" s="1"/>
  <c r="N17" i="10"/>
  <c r="K17" i="10"/>
  <c r="J17" i="10"/>
  <c r="I17" i="10"/>
  <c r="H17" i="10"/>
  <c r="B17" i="10"/>
  <c r="AY16" i="10"/>
  <c r="AN16" i="10"/>
  <c r="V16" i="10"/>
  <c r="U16" i="10"/>
  <c r="T16" i="10"/>
  <c r="S16" i="10"/>
  <c r="Q16" i="10"/>
  <c r="BQ16" i="10" s="1"/>
  <c r="N16" i="10"/>
  <c r="K16" i="10"/>
  <c r="J16" i="10"/>
  <c r="I16" i="10"/>
  <c r="H16" i="10"/>
  <c r="B16" i="10"/>
  <c r="AY15" i="10"/>
  <c r="AN15" i="10"/>
  <c r="V15" i="10"/>
  <c r="U15" i="10"/>
  <c r="T15" i="10"/>
  <c r="S15" i="10"/>
  <c r="Q15" i="10"/>
  <c r="BQ15" i="10" s="1"/>
  <c r="N15" i="10"/>
  <c r="K15" i="10"/>
  <c r="J15" i="10"/>
  <c r="I15" i="10"/>
  <c r="H15" i="10"/>
  <c r="B15" i="10"/>
  <c r="AY14" i="10"/>
  <c r="AN14" i="10"/>
  <c r="V14" i="10"/>
  <c r="U14" i="10"/>
  <c r="T14" i="10"/>
  <c r="S14" i="10"/>
  <c r="Q14" i="10"/>
  <c r="BQ14" i="10" s="1"/>
  <c r="N14" i="10"/>
  <c r="K14" i="10"/>
  <c r="J14" i="10"/>
  <c r="I14" i="10"/>
  <c r="H14" i="10"/>
  <c r="B14" i="10"/>
  <c r="AY13" i="10"/>
  <c r="AN13" i="10"/>
  <c r="V13" i="10"/>
  <c r="U13" i="10"/>
  <c r="T13" i="10"/>
  <c r="S13" i="10"/>
  <c r="Q13" i="10"/>
  <c r="BQ13" i="10" s="1"/>
  <c r="N13" i="10"/>
  <c r="K13" i="10"/>
  <c r="J13" i="10"/>
  <c r="I13" i="10"/>
  <c r="H13" i="10"/>
  <c r="B13" i="10"/>
  <c r="AY12" i="10"/>
  <c r="AN12" i="10"/>
  <c r="V12" i="10"/>
  <c r="U12" i="10"/>
  <c r="T12" i="10"/>
  <c r="S12" i="10"/>
  <c r="Q12" i="10"/>
  <c r="BQ12" i="10" s="1"/>
  <c r="N12" i="10"/>
  <c r="K12" i="10"/>
  <c r="J12" i="10"/>
  <c r="I12" i="10"/>
  <c r="H12" i="10"/>
  <c r="B12" i="10"/>
  <c r="AY11" i="10"/>
  <c r="AN11" i="10"/>
  <c r="V11" i="10"/>
  <c r="U11" i="10"/>
  <c r="T11" i="10"/>
  <c r="S11" i="10"/>
  <c r="Q11" i="10"/>
  <c r="BQ11" i="10" s="1"/>
  <c r="N11" i="10"/>
  <c r="K11" i="10"/>
  <c r="J11" i="10"/>
  <c r="I11" i="10"/>
  <c r="H11" i="10"/>
  <c r="B11" i="10"/>
  <c r="AY10" i="10"/>
  <c r="AN10" i="10"/>
  <c r="U10" i="10"/>
  <c r="T10" i="10"/>
  <c r="S10" i="10"/>
  <c r="Q10" i="10"/>
  <c r="N10" i="10"/>
  <c r="K10" i="10"/>
  <c r="J10" i="10"/>
  <c r="I10" i="10"/>
  <c r="H10" i="10"/>
  <c r="B10" i="10"/>
  <c r="Q35" i="10" l="1"/>
  <c r="Q29" i="14" s="1"/>
  <c r="BQ10" i="10"/>
  <c r="AN35" i="10"/>
  <c r="AN29" i="14" s="1"/>
  <c r="AI34" i="10"/>
  <c r="AU11" i="10"/>
  <c r="AU12" i="10" s="1"/>
  <c r="AU13" i="10" s="1"/>
  <c r="AU14" i="10" s="1"/>
  <c r="AU15" i="10" s="1"/>
  <c r="AU16" i="10" s="1"/>
  <c r="AU17" i="10" s="1"/>
  <c r="AU18" i="10" s="1"/>
  <c r="AU19" i="10" s="1"/>
  <c r="AU20" i="10" s="1"/>
  <c r="AU21" i="10" s="1"/>
  <c r="AU22" i="10" s="1"/>
  <c r="AU23" i="10" s="1"/>
  <c r="AU24" i="10" s="1"/>
  <c r="AU25" i="10" s="1"/>
  <c r="AU26" i="10" s="1"/>
  <c r="AU27" i="10" s="1"/>
  <c r="AU28" i="10" s="1"/>
  <c r="AU29" i="10" s="1"/>
  <c r="AU30" i="10" s="1"/>
  <c r="AU31" i="10" s="1"/>
  <c r="AT11" i="10"/>
  <c r="AT12" i="10" s="1"/>
  <c r="AT13" i="10" s="1"/>
  <c r="AT14" i="10" s="1"/>
  <c r="AT15" i="10" s="1"/>
  <c r="AT16" i="10" s="1"/>
  <c r="AT17" i="10" s="1"/>
  <c r="AT18" i="10" s="1"/>
  <c r="AT19" i="10" s="1"/>
  <c r="AT20" i="10" s="1"/>
  <c r="AT21" i="10" s="1"/>
  <c r="AT22" i="10" s="1"/>
  <c r="AT23" i="10" s="1"/>
  <c r="AT24" i="10" s="1"/>
  <c r="AT25" i="10" s="1"/>
  <c r="AT26" i="10" s="1"/>
  <c r="AT27" i="10" s="1"/>
  <c r="AT28" i="10" s="1"/>
  <c r="AT29" i="10" s="1"/>
  <c r="AT30" i="10" s="1"/>
  <c r="AT31" i="10" s="1"/>
  <c r="M35" i="14"/>
  <c r="A14" i="19" s="1"/>
  <c r="W35" i="14"/>
  <c r="A24" i="19" s="1"/>
  <c r="AA35" i="14"/>
  <c r="A28" i="19" s="1"/>
  <c r="AE35" i="14"/>
  <c r="A32" i="19" s="1"/>
  <c r="AO35" i="14"/>
  <c r="D50" i="19" s="1"/>
  <c r="K39" i="19" s="1"/>
  <c r="AS35" i="14"/>
  <c r="D72" i="19" s="1"/>
  <c r="BC35" i="14"/>
  <c r="D68" i="19" s="1"/>
  <c r="AX11" i="10"/>
  <c r="AX12" i="10" s="1"/>
  <c r="AX13" i="10" s="1"/>
  <c r="AX14" i="10" s="1"/>
  <c r="AX15" i="10" s="1"/>
  <c r="AX16" i="10" s="1"/>
  <c r="AX17" i="10" s="1"/>
  <c r="AX18" i="10" s="1"/>
  <c r="AX19" i="10" s="1"/>
  <c r="AX20" i="10" s="1"/>
  <c r="AX21" i="10" s="1"/>
  <c r="AX22" i="10" s="1"/>
  <c r="AX23" i="10" s="1"/>
  <c r="AX24" i="10" s="1"/>
  <c r="AX25" i="10" s="1"/>
  <c r="AX26" i="10" s="1"/>
  <c r="AX27" i="10" s="1"/>
  <c r="AX28" i="10" s="1"/>
  <c r="AX29" i="10" s="1"/>
  <c r="AX30" i="10" s="1"/>
  <c r="AX31" i="10" s="1"/>
  <c r="AG34" i="10"/>
  <c r="O35" i="14"/>
  <c r="A16" i="19" s="1"/>
  <c r="X35" i="14"/>
  <c r="A25" i="19" s="1"/>
  <c r="AB35" i="14"/>
  <c r="A29" i="19" s="1"/>
  <c r="AH35" i="14"/>
  <c r="AP35" i="14"/>
  <c r="D52" i="19" s="1"/>
  <c r="AZ35" i="14"/>
  <c r="D63" i="19" s="1"/>
  <c r="BD35" i="14"/>
  <c r="D67" i="19" s="1"/>
  <c r="K35" i="10"/>
  <c r="K29" i="14" s="1"/>
  <c r="T35" i="10"/>
  <c r="T29" i="14" s="1"/>
  <c r="V35" i="10"/>
  <c r="V29" i="14" s="1"/>
  <c r="V35" i="14" s="1"/>
  <c r="A23" i="19" s="1"/>
  <c r="AW11" i="10"/>
  <c r="AW12" i="10" s="1"/>
  <c r="AW13" i="10" s="1"/>
  <c r="AW14" i="10" s="1"/>
  <c r="AW15" i="10" s="1"/>
  <c r="AW16" i="10" s="1"/>
  <c r="AW17" i="10" s="1"/>
  <c r="AW18" i="10" s="1"/>
  <c r="AW19" i="10" s="1"/>
  <c r="AW20" i="10" s="1"/>
  <c r="AW21" i="10" s="1"/>
  <c r="AW22" i="10" s="1"/>
  <c r="AW23" i="10" s="1"/>
  <c r="AW24" i="10" s="1"/>
  <c r="AW25" i="10" s="1"/>
  <c r="AW26" i="10" s="1"/>
  <c r="AW27" i="10" s="1"/>
  <c r="AW28" i="10" s="1"/>
  <c r="AW29" i="10" s="1"/>
  <c r="AW30" i="10" s="1"/>
  <c r="AW31" i="10" s="1"/>
  <c r="AG33" i="10"/>
  <c r="L35" i="14"/>
  <c r="A13" i="19" s="1"/>
  <c r="P35" i="14"/>
  <c r="A17" i="19" s="1"/>
  <c r="Y35" i="14"/>
  <c r="A26" i="19" s="1"/>
  <c r="AC35" i="14"/>
  <c r="A30" i="19" s="1"/>
  <c r="AJ35" i="14"/>
  <c r="D44" i="19" s="1"/>
  <c r="K38" i="19" s="1"/>
  <c r="AQ35" i="14"/>
  <c r="D53" i="19" s="1"/>
  <c r="BA35" i="14"/>
  <c r="D65" i="19" s="1"/>
  <c r="BE35" i="14"/>
  <c r="AG10" i="10"/>
  <c r="AV11" i="10"/>
  <c r="AV12" i="10" s="1"/>
  <c r="AV13" i="10" s="1"/>
  <c r="AV14" i="10" s="1"/>
  <c r="AV15" i="10" s="1"/>
  <c r="AV16" i="10" s="1"/>
  <c r="AV17" i="10" s="1"/>
  <c r="AV18" i="10" s="1"/>
  <c r="AV19" i="10" s="1"/>
  <c r="AV20" i="10" s="1"/>
  <c r="AV21" i="10" s="1"/>
  <c r="AV22" i="10" s="1"/>
  <c r="AV23" i="10" s="1"/>
  <c r="AV24" i="10" s="1"/>
  <c r="AV25" i="10" s="1"/>
  <c r="AV26" i="10" s="1"/>
  <c r="AV27" i="10" s="1"/>
  <c r="AV28" i="10" s="1"/>
  <c r="AV29" i="10" s="1"/>
  <c r="AV30" i="10" s="1"/>
  <c r="AV31" i="10" s="1"/>
  <c r="AG32" i="10"/>
  <c r="F35" i="14"/>
  <c r="A7" i="19" s="1"/>
  <c r="R35" i="14"/>
  <c r="A19" i="19" s="1"/>
  <c r="Z35" i="14"/>
  <c r="A27" i="19" s="1"/>
  <c r="AD35" i="14"/>
  <c r="A31" i="19" s="1"/>
  <c r="AM35" i="14"/>
  <c r="D69" i="19" s="1"/>
  <c r="AR35" i="14"/>
  <c r="D64" i="19" s="1"/>
  <c r="BB35" i="14"/>
  <c r="D66" i="19" s="1"/>
  <c r="BF35" i="14"/>
  <c r="D71" i="19" s="1"/>
  <c r="Q35" i="14"/>
  <c r="A18" i="19" s="1"/>
  <c r="AX11" i="14"/>
  <c r="AX12" i="14" s="1"/>
  <c r="AX13" i="14" s="1"/>
  <c r="AX14" i="14" s="1"/>
  <c r="AX15" i="14" s="1"/>
  <c r="AX16" i="14" s="1"/>
  <c r="AX17" i="14" s="1"/>
  <c r="AX18" i="14" s="1"/>
  <c r="AX19" i="14" s="1"/>
  <c r="AX20" i="14" s="1"/>
  <c r="AX21" i="14" s="1"/>
  <c r="AX22" i="14" s="1"/>
  <c r="AX23" i="14" s="1"/>
  <c r="AX24" i="14" s="1"/>
  <c r="AX25" i="14" s="1"/>
  <c r="AX27" i="14"/>
  <c r="Q27" i="14"/>
  <c r="V27" i="14"/>
  <c r="AU11" i="14"/>
  <c r="AU12" i="14" s="1"/>
  <c r="AU13" i="14" s="1"/>
  <c r="AU14" i="14" s="1"/>
  <c r="AU15" i="14" s="1"/>
  <c r="AU16" i="14" s="1"/>
  <c r="AU17" i="14" s="1"/>
  <c r="AU18" i="14" s="1"/>
  <c r="AU19" i="14" s="1"/>
  <c r="AU20" i="14" s="1"/>
  <c r="AU21" i="14" s="1"/>
  <c r="AU22" i="14" s="1"/>
  <c r="AU23" i="14" s="1"/>
  <c r="AU24" i="14" s="1"/>
  <c r="AU25" i="14" s="1"/>
  <c r="I27" i="14"/>
  <c r="S27" i="14"/>
  <c r="AF27" i="14"/>
  <c r="AV27" i="14"/>
  <c r="AV11" i="14"/>
  <c r="AV12" i="14" s="1"/>
  <c r="AV13" i="14" s="1"/>
  <c r="AV14" i="14" s="1"/>
  <c r="AV15" i="14" s="1"/>
  <c r="AV16" i="14" s="1"/>
  <c r="AV17" i="14" s="1"/>
  <c r="AV18" i="14" s="1"/>
  <c r="AV19" i="14" s="1"/>
  <c r="AV20" i="14" s="1"/>
  <c r="AV21" i="14" s="1"/>
  <c r="AV22" i="14" s="1"/>
  <c r="AV23" i="14" s="1"/>
  <c r="AV24" i="14" s="1"/>
  <c r="AV25" i="14" s="1"/>
  <c r="AT11" i="14"/>
  <c r="AT12" i="14" s="1"/>
  <c r="AT13" i="14" s="1"/>
  <c r="AT14" i="14" s="1"/>
  <c r="AT15" i="14" s="1"/>
  <c r="AT16" i="14" s="1"/>
  <c r="AT17" i="14" s="1"/>
  <c r="AT18" i="14" s="1"/>
  <c r="AT19" i="14" s="1"/>
  <c r="AT20" i="14" s="1"/>
  <c r="AT21" i="14" s="1"/>
  <c r="AT22" i="14" s="1"/>
  <c r="AT23" i="14" s="1"/>
  <c r="AT24" i="14" s="1"/>
  <c r="AT25" i="14" s="1"/>
  <c r="K27" i="14"/>
  <c r="T27" i="14"/>
  <c r="AN27" i="14"/>
  <c r="AI25" i="14"/>
  <c r="AL10" i="14"/>
  <c r="AL15" i="14"/>
  <c r="AL19" i="14"/>
  <c r="AK11" i="14"/>
  <c r="AI12" i="14"/>
  <c r="AG22" i="14"/>
  <c r="AG24" i="14"/>
  <c r="AG26" i="14"/>
  <c r="AK16" i="14"/>
  <c r="AK20" i="14"/>
  <c r="AG23" i="14"/>
  <c r="AK24" i="14"/>
  <c r="AG25" i="14"/>
  <c r="AG11" i="14"/>
  <c r="AK12" i="14"/>
  <c r="AI13" i="14"/>
  <c r="AI17" i="14"/>
  <c r="AI21" i="14"/>
  <c r="AL23" i="14"/>
  <c r="K34" i="11"/>
  <c r="K31" i="14" s="1"/>
  <c r="AG13" i="14"/>
  <c r="AG14" i="14"/>
  <c r="AG17" i="14"/>
  <c r="AG18" i="14"/>
  <c r="AG20" i="14"/>
  <c r="AG21" i="14"/>
  <c r="AG12" i="14"/>
  <c r="AG16" i="14"/>
  <c r="AG10" i="14"/>
  <c r="AG27" i="14" s="1"/>
  <c r="AL11" i="14"/>
  <c r="AL12" i="14"/>
  <c r="AK13" i="14"/>
  <c r="AI14" i="14"/>
  <c r="AG15" i="14"/>
  <c r="AL16" i="14"/>
  <c r="AK17" i="14"/>
  <c r="AI18" i="14"/>
  <c r="AG19" i="14"/>
  <c r="AL20" i="14"/>
  <c r="AK21" i="14"/>
  <c r="AI22" i="14"/>
  <c r="AL24" i="14"/>
  <c r="AK25" i="14"/>
  <c r="AI26" i="14"/>
  <c r="AI10" i="14"/>
  <c r="AW11" i="14"/>
  <c r="AW12" i="14" s="1"/>
  <c r="AW13" i="14" s="1"/>
  <c r="AW14" i="14" s="1"/>
  <c r="AW15" i="14" s="1"/>
  <c r="AW16" i="14" s="1"/>
  <c r="AW17" i="14" s="1"/>
  <c r="AW18" i="14" s="1"/>
  <c r="AW19" i="14" s="1"/>
  <c r="AW20" i="14" s="1"/>
  <c r="AW21" i="14" s="1"/>
  <c r="AW22" i="14" s="1"/>
  <c r="AW23" i="14" s="1"/>
  <c r="AW24" i="14" s="1"/>
  <c r="AW25" i="14" s="1"/>
  <c r="AL13" i="14"/>
  <c r="AK14" i="14"/>
  <c r="AI15" i="14"/>
  <c r="AL17" i="14"/>
  <c r="AK18" i="14"/>
  <c r="AI19" i="14"/>
  <c r="AL21" i="14"/>
  <c r="AK22" i="14"/>
  <c r="AI23" i="14"/>
  <c r="AL25" i="14"/>
  <c r="AK26" i="14"/>
  <c r="AK10" i="14"/>
  <c r="AI11" i="14"/>
  <c r="AL14" i="14"/>
  <c r="AK15" i="14"/>
  <c r="AI16" i="14"/>
  <c r="AL18" i="14"/>
  <c r="AK19" i="14"/>
  <c r="AI20" i="14"/>
  <c r="AL22" i="14"/>
  <c r="AK23" i="14"/>
  <c r="AI24" i="14"/>
  <c r="AL26" i="14"/>
  <c r="I34" i="11"/>
  <c r="I31" i="14" s="1"/>
  <c r="H31" i="14"/>
  <c r="N34" i="11"/>
  <c r="N31" i="14" s="1"/>
  <c r="U34" i="11"/>
  <c r="U31" i="14" s="1"/>
  <c r="T34" i="11"/>
  <c r="T31" i="14" s="1"/>
  <c r="T35" i="14" s="1"/>
  <c r="A21" i="19" s="1"/>
  <c r="AN34" i="11"/>
  <c r="AN31" i="14" s="1"/>
  <c r="AI20" i="11"/>
  <c r="AI24" i="11"/>
  <c r="AI28" i="11"/>
  <c r="J34" i="11"/>
  <c r="J31" i="14" s="1"/>
  <c r="S34" i="11"/>
  <c r="S31" i="14" s="1"/>
  <c r="AF34" i="11"/>
  <c r="AF31" i="14" s="1"/>
  <c r="AV34" i="11"/>
  <c r="AV31" i="14" s="1"/>
  <c r="AL11" i="11"/>
  <c r="AL13" i="11"/>
  <c r="AL15" i="11"/>
  <c r="AL17" i="11"/>
  <c r="AL19" i="11"/>
  <c r="AL21" i="11"/>
  <c r="AL23" i="11"/>
  <c r="AL25" i="11"/>
  <c r="AL30" i="11"/>
  <c r="AY34" i="11"/>
  <c r="AY31" i="14" s="1"/>
  <c r="AI14" i="11"/>
  <c r="AI18" i="11"/>
  <c r="AI22" i="11"/>
  <c r="AI26" i="11"/>
  <c r="AK30" i="11"/>
  <c r="AL27" i="11"/>
  <c r="AI33" i="11"/>
  <c r="AI12" i="11"/>
  <c r="AI16" i="11"/>
  <c r="AL33" i="11"/>
  <c r="AK12" i="11"/>
  <c r="AI13" i="11"/>
  <c r="AK16" i="11"/>
  <c r="AI17" i="11"/>
  <c r="AK20" i="11"/>
  <c r="AI21" i="11"/>
  <c r="AK24" i="11"/>
  <c r="AI25" i="11"/>
  <c r="AK28" i="11"/>
  <c r="AI29" i="11"/>
  <c r="AG12" i="11"/>
  <c r="AG14" i="11"/>
  <c r="AG16" i="11"/>
  <c r="AG18" i="11"/>
  <c r="AG20" i="11"/>
  <c r="AG22" i="11"/>
  <c r="AG24" i="11"/>
  <c r="AG26" i="11"/>
  <c r="AT34" i="11"/>
  <c r="AT31" i="14" s="1"/>
  <c r="AX34" i="11"/>
  <c r="AX31" i="14" s="1"/>
  <c r="AG30" i="11"/>
  <c r="AK10" i="11"/>
  <c r="AG10" i="11"/>
  <c r="AI10" i="11"/>
  <c r="AG11" i="11"/>
  <c r="AW11" i="11"/>
  <c r="AW12" i="11" s="1"/>
  <c r="AW13" i="11" s="1"/>
  <c r="AW14" i="11" s="1"/>
  <c r="AW15" i="11" s="1"/>
  <c r="AW16" i="11" s="1"/>
  <c r="AW17" i="11" s="1"/>
  <c r="AW18" i="11" s="1"/>
  <c r="AW19" i="11" s="1"/>
  <c r="AW20" i="11" s="1"/>
  <c r="AW21" i="11" s="1"/>
  <c r="AW22" i="11" s="1"/>
  <c r="AW23" i="11" s="1"/>
  <c r="AW24" i="11" s="1"/>
  <c r="AW25" i="11" s="1"/>
  <c r="AW26" i="11" s="1"/>
  <c r="AW27" i="11" s="1"/>
  <c r="AW28" i="11" s="1"/>
  <c r="AW29" i="11" s="1"/>
  <c r="AW30" i="11" s="1"/>
  <c r="AW33" i="11" s="1"/>
  <c r="AL12" i="11"/>
  <c r="AK13" i="11"/>
  <c r="AG15" i="11"/>
  <c r="AL16" i="11"/>
  <c r="AK17" i="11"/>
  <c r="AG19" i="11"/>
  <c r="AL20" i="11"/>
  <c r="AK21" i="11"/>
  <c r="AG23" i="11"/>
  <c r="AL24" i="11"/>
  <c r="AK25" i="11"/>
  <c r="AG27" i="11"/>
  <c r="AL28" i="11"/>
  <c r="AK29" i="11"/>
  <c r="AI30" i="11"/>
  <c r="AG33" i="11"/>
  <c r="AK14" i="11"/>
  <c r="AI15" i="11"/>
  <c r="AK18" i="11"/>
  <c r="AI19" i="11"/>
  <c r="AK22" i="11"/>
  <c r="AI23" i="11"/>
  <c r="AK26" i="11"/>
  <c r="AI27" i="11"/>
  <c r="AG28" i="11"/>
  <c r="AL29" i="11"/>
  <c r="G34" i="11"/>
  <c r="G31" i="14" s="1"/>
  <c r="AU34" i="11"/>
  <c r="AU31" i="14" s="1"/>
  <c r="AI11" i="11"/>
  <c r="AL10" i="11"/>
  <c r="AK11" i="11"/>
  <c r="AG13" i="11"/>
  <c r="AL14" i="11"/>
  <c r="AK15" i="11"/>
  <c r="AG17" i="11"/>
  <c r="AL18" i="11"/>
  <c r="AK19" i="11"/>
  <c r="AG21" i="11"/>
  <c r="AL22" i="11"/>
  <c r="AK23" i="11"/>
  <c r="AG25" i="11"/>
  <c r="AL26" i="11"/>
  <c r="AK27" i="11"/>
  <c r="AG29" i="11"/>
  <c r="AK33" i="11"/>
  <c r="AM32" i="8"/>
  <c r="AF11" i="10"/>
  <c r="AT35" i="10"/>
  <c r="AT29" i="14" s="1"/>
  <c r="H35" i="10"/>
  <c r="H29" i="14" s="1"/>
  <c r="N35" i="10"/>
  <c r="N29" i="14" s="1"/>
  <c r="U35" i="10"/>
  <c r="U29" i="14" s="1"/>
  <c r="AY35" i="10"/>
  <c r="AY29" i="14" s="1"/>
  <c r="I35" i="10"/>
  <c r="I29" i="14" s="1"/>
  <c r="AI26" i="10"/>
  <c r="AL28" i="10"/>
  <c r="AI30" i="10"/>
  <c r="S35" i="10"/>
  <c r="S29" i="14" s="1"/>
  <c r="AK29" i="10"/>
  <c r="AL21" i="10"/>
  <c r="AL23" i="10"/>
  <c r="AL30" i="10"/>
  <c r="AK16" i="10"/>
  <c r="AK18" i="10"/>
  <c r="AK27" i="10"/>
  <c r="AK31" i="10"/>
  <c r="AK11" i="10"/>
  <c r="AK13" i="10"/>
  <c r="AK15" i="10"/>
  <c r="AK17" i="10"/>
  <c r="AK19" i="10"/>
  <c r="AK21" i="10"/>
  <c r="AK23" i="10"/>
  <c r="AK25" i="10"/>
  <c r="AL17" i="10"/>
  <c r="AL19" i="10"/>
  <c r="AK20" i="10"/>
  <c r="AK22" i="10"/>
  <c r="AK24" i="10"/>
  <c r="AK12" i="10"/>
  <c r="AK14" i="10"/>
  <c r="AL16" i="10"/>
  <c r="AL18" i="10"/>
  <c r="AL20" i="10"/>
  <c r="AL22" i="10"/>
  <c r="AK10" i="10"/>
  <c r="AL10" i="10"/>
  <c r="AL11" i="10"/>
  <c r="AL12" i="10"/>
  <c r="AL13" i="10"/>
  <c r="AL14" i="10"/>
  <c r="AL15" i="10"/>
  <c r="AL24" i="10"/>
  <c r="AL25" i="10"/>
  <c r="AK26" i="10"/>
  <c r="AI27" i="10"/>
  <c r="AL29" i="10"/>
  <c r="AK30" i="10"/>
  <c r="AI31" i="10"/>
  <c r="BI31" i="10" s="1"/>
  <c r="AI33" i="10"/>
  <c r="AK34" i="10"/>
  <c r="J35" i="10"/>
  <c r="J29" i="14" s="1"/>
  <c r="AL26" i="10"/>
  <c r="AI28" i="10"/>
  <c r="AI32" i="10"/>
  <c r="BI32" i="10" s="1"/>
  <c r="BJ32" i="10" s="1"/>
  <c r="AK33" i="10"/>
  <c r="AL34" i="10"/>
  <c r="G35" i="10"/>
  <c r="G29" i="14" s="1"/>
  <c r="AI10" i="10"/>
  <c r="AI11" i="10"/>
  <c r="AI12" i="10"/>
  <c r="BI12" i="10" s="1"/>
  <c r="AI13" i="10"/>
  <c r="AI14" i="10"/>
  <c r="AI15" i="10"/>
  <c r="BI15" i="10" s="1"/>
  <c r="AI16" i="10"/>
  <c r="BI16" i="10" s="1"/>
  <c r="AI17" i="10"/>
  <c r="AI18" i="10"/>
  <c r="AI19" i="10"/>
  <c r="AI20" i="10"/>
  <c r="BI20" i="10" s="1"/>
  <c r="AI21" i="10"/>
  <c r="BI21" i="10" s="1"/>
  <c r="AI22" i="10"/>
  <c r="AI23" i="10"/>
  <c r="BI23" i="10" s="1"/>
  <c r="AI24" i="10"/>
  <c r="BI24" i="10" s="1"/>
  <c r="AI25" i="10"/>
  <c r="AL27" i="10"/>
  <c r="AK28" i="10"/>
  <c r="AI29" i="10"/>
  <c r="BI29" i="10" s="1"/>
  <c r="AL31" i="10"/>
  <c r="AK32" i="10"/>
  <c r="AL33" i="10"/>
  <c r="AY11" i="8"/>
  <c r="AY12" i="8"/>
  <c r="AY13" i="8"/>
  <c r="AY14" i="8"/>
  <c r="AY15" i="8"/>
  <c r="AY16" i="8"/>
  <c r="AY17" i="8"/>
  <c r="AY18" i="8"/>
  <c r="AY19" i="8"/>
  <c r="AY20" i="8"/>
  <c r="AY21" i="8"/>
  <c r="AY22" i="8"/>
  <c r="AY23" i="8"/>
  <c r="AY24" i="8"/>
  <c r="AY25" i="8"/>
  <c r="AY26" i="8"/>
  <c r="AY27" i="8"/>
  <c r="AY10" i="8"/>
  <c r="AN11" i="8"/>
  <c r="AN12" i="8"/>
  <c r="AN13" i="8"/>
  <c r="AN14" i="8"/>
  <c r="AN15" i="8"/>
  <c r="AN16" i="8"/>
  <c r="AN17" i="8"/>
  <c r="AN18" i="8"/>
  <c r="AN19" i="8"/>
  <c r="AN20" i="8"/>
  <c r="AN21" i="8"/>
  <c r="AN22" i="8"/>
  <c r="AN23" i="8"/>
  <c r="AN24" i="8"/>
  <c r="AN25" i="8"/>
  <c r="AN26" i="8"/>
  <c r="AN27" i="8"/>
  <c r="AN28" i="8"/>
  <c r="AN29" i="8"/>
  <c r="AN30" i="8"/>
  <c r="AN31" i="8"/>
  <c r="AN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27" i="8"/>
  <c r="U28" i="8"/>
  <c r="U29" i="8"/>
  <c r="U30" i="8"/>
  <c r="U31" i="8"/>
  <c r="U10" i="8"/>
  <c r="T11" i="8"/>
  <c r="T12" i="8"/>
  <c r="T13" i="8"/>
  <c r="T14" i="8"/>
  <c r="T15" i="8"/>
  <c r="T16" i="8"/>
  <c r="T17" i="8"/>
  <c r="T18" i="8"/>
  <c r="T19" i="8"/>
  <c r="T20" i="8"/>
  <c r="T21" i="8"/>
  <c r="T22" i="8"/>
  <c r="T23" i="8"/>
  <c r="T24" i="8"/>
  <c r="T25" i="8"/>
  <c r="T26" i="8"/>
  <c r="T27" i="8"/>
  <c r="T28" i="8"/>
  <c r="T29" i="8"/>
  <c r="T30" i="8"/>
  <c r="T31" i="8"/>
  <c r="T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10" i="8"/>
  <c r="AY35" i="14" l="1"/>
  <c r="D62" i="19" s="1"/>
  <c r="S35" i="14"/>
  <c r="A20" i="19" s="1"/>
  <c r="K35" i="14"/>
  <c r="A12" i="19" s="1"/>
  <c r="G35" i="14"/>
  <c r="A8" i="19" s="1"/>
  <c r="I35" i="14"/>
  <c r="A10" i="19" s="1"/>
  <c r="BI14" i="10"/>
  <c r="BI17" i="10"/>
  <c r="BI13" i="10"/>
  <c r="BI28" i="10"/>
  <c r="BI27" i="10"/>
  <c r="AW35" i="10"/>
  <c r="AW29" i="14" s="1"/>
  <c r="U35" i="14"/>
  <c r="A22" i="19" s="1"/>
  <c r="BI26" i="10"/>
  <c r="N35" i="14"/>
  <c r="A15" i="19" s="1"/>
  <c r="BI11" i="10"/>
  <c r="J35" i="14"/>
  <c r="A11" i="19" s="1"/>
  <c r="H35" i="14"/>
  <c r="A9" i="19" s="1"/>
  <c r="BI18" i="10"/>
  <c r="BI30" i="10"/>
  <c r="B52" i="19"/>
  <c r="AN35" i="14"/>
  <c r="D70" i="19" s="1"/>
  <c r="AK27" i="14"/>
  <c r="AW27" i="14"/>
  <c r="AT27" i="14"/>
  <c r="AT35" i="14" s="1"/>
  <c r="D57" i="19" s="1"/>
  <c r="AU27" i="14"/>
  <c r="AI27" i="14"/>
  <c r="AL27" i="14"/>
  <c r="BI24" i="14"/>
  <c r="BI16" i="14"/>
  <c r="BJ16" i="14" s="1"/>
  <c r="BI17" i="14"/>
  <c r="BJ17" i="14" s="1"/>
  <c r="BJ24" i="14"/>
  <c r="BI20" i="14"/>
  <c r="BJ20" i="14" s="1"/>
  <c r="BI25" i="14"/>
  <c r="BJ25" i="14" s="1"/>
  <c r="BI12" i="14"/>
  <c r="BJ12" i="14" s="1"/>
  <c r="BI11" i="14"/>
  <c r="BJ11" i="14" s="1"/>
  <c r="BI21" i="14"/>
  <c r="BJ21" i="14" s="1"/>
  <c r="BI13" i="14"/>
  <c r="BJ13" i="14" s="1"/>
  <c r="BI15" i="14"/>
  <c r="BJ15" i="14" s="1"/>
  <c r="BI10" i="14"/>
  <c r="BI19" i="14"/>
  <c r="BJ19" i="14" s="1"/>
  <c r="BI22" i="14"/>
  <c r="BJ22" i="14" s="1"/>
  <c r="BI18" i="14"/>
  <c r="BJ18" i="14" s="1"/>
  <c r="BI14" i="14"/>
  <c r="BJ14" i="14" s="1"/>
  <c r="BI23" i="14"/>
  <c r="BJ23" i="14" s="1"/>
  <c r="BI26" i="14"/>
  <c r="BJ26" i="14" s="1"/>
  <c r="BJ27" i="14" s="1"/>
  <c r="BI16" i="11"/>
  <c r="BJ16" i="11" s="1"/>
  <c r="BI21" i="11"/>
  <c r="BJ21" i="11" s="1"/>
  <c r="BI24" i="11"/>
  <c r="BJ24" i="11" s="1"/>
  <c r="BI17" i="11"/>
  <c r="BJ17" i="11" s="1"/>
  <c r="BI33" i="11"/>
  <c r="BJ33" i="11" s="1"/>
  <c r="BI30" i="11"/>
  <c r="BJ30" i="11" s="1"/>
  <c r="BI25" i="11"/>
  <c r="BJ25" i="11" s="1"/>
  <c r="BI20" i="11"/>
  <c r="BJ20" i="11" s="1"/>
  <c r="BI13" i="11"/>
  <c r="BJ13" i="11" s="1"/>
  <c r="BI28" i="11"/>
  <c r="BJ28" i="11" s="1"/>
  <c r="BI12" i="11"/>
  <c r="BJ12" i="11" s="1"/>
  <c r="BI26" i="11"/>
  <c r="BJ26" i="11" s="1"/>
  <c r="BI18" i="11"/>
  <c r="BJ18" i="11" s="1"/>
  <c r="BI29" i="11"/>
  <c r="BJ29" i="11" s="1"/>
  <c r="BI22" i="11"/>
  <c r="BJ22" i="11" s="1"/>
  <c r="BI14" i="11"/>
  <c r="BJ14" i="11" s="1"/>
  <c r="BI11" i="11"/>
  <c r="BJ11" i="11" s="1"/>
  <c r="BI27" i="11"/>
  <c r="BJ27" i="11" s="1"/>
  <c r="BI10" i="11"/>
  <c r="AI34" i="11"/>
  <c r="AI31" i="14" s="1"/>
  <c r="AW34" i="11"/>
  <c r="AW31" i="14" s="1"/>
  <c r="BI19" i="11"/>
  <c r="BJ19" i="11" s="1"/>
  <c r="BI23" i="11"/>
  <c r="BJ23" i="11" s="1"/>
  <c r="BI15" i="11"/>
  <c r="BJ15" i="11" s="1"/>
  <c r="AG34" i="11"/>
  <c r="AG31" i="14" s="1"/>
  <c r="AL34" i="11"/>
  <c r="AL31" i="14" s="1"/>
  <c r="AK34" i="11"/>
  <c r="AK31" i="14" s="1"/>
  <c r="BI33" i="10"/>
  <c r="BJ33" i="10" s="1"/>
  <c r="AF12" i="10"/>
  <c r="AG11" i="10"/>
  <c r="BJ11" i="10" s="1"/>
  <c r="BI22" i="10"/>
  <c r="BI25" i="10"/>
  <c r="BI19" i="10"/>
  <c r="AX35" i="10"/>
  <c r="AX29" i="14" s="1"/>
  <c r="AX35" i="14" s="1"/>
  <c r="D61" i="19" s="1"/>
  <c r="AV35" i="10"/>
  <c r="AV29" i="14" s="1"/>
  <c r="AV35" i="14" s="1"/>
  <c r="D59" i="19" s="1"/>
  <c r="AU35" i="10"/>
  <c r="AU29" i="14" s="1"/>
  <c r="AU35" i="14" s="1"/>
  <c r="D58" i="19" s="1"/>
  <c r="AI35" i="10"/>
  <c r="AI29" i="14" s="1"/>
  <c r="BI10" i="10"/>
  <c r="AK35" i="10"/>
  <c r="AK29" i="14" s="1"/>
  <c r="AL35" i="10"/>
  <c r="AL29" i="14" s="1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10" i="8"/>
  <c r="BH32" i="8"/>
  <c r="BF32" i="8"/>
  <c r="BE32" i="8"/>
  <c r="BD32" i="8"/>
  <c r="BC32" i="8"/>
  <c r="BB32" i="8"/>
  <c r="BA32" i="8"/>
  <c r="AZ32" i="8"/>
  <c r="AX32" i="8"/>
  <c r="D61" i="21" s="1"/>
  <c r="AW32" i="8"/>
  <c r="D60" i="21" s="1"/>
  <c r="AV32" i="8"/>
  <c r="D59" i="21" s="1"/>
  <c r="AU32" i="8"/>
  <c r="D58" i="21" s="1"/>
  <c r="AT32" i="8"/>
  <c r="D57" i="21" s="1"/>
  <c r="AS32" i="8"/>
  <c r="AR32" i="8"/>
  <c r="AQ32" i="8"/>
  <c r="AP32" i="8"/>
  <c r="AO32" i="8"/>
  <c r="AJ32" i="8"/>
  <c r="AH32" i="8"/>
  <c r="AF32" i="8"/>
  <c r="AE32" i="8"/>
  <c r="AD32" i="8"/>
  <c r="AC32" i="8"/>
  <c r="AB32" i="8"/>
  <c r="AA32" i="8"/>
  <c r="Z32" i="8"/>
  <c r="Y32" i="8"/>
  <c r="X32" i="8"/>
  <c r="W32" i="8"/>
  <c r="R32" i="8"/>
  <c r="P32" i="8"/>
  <c r="O32" i="8"/>
  <c r="M32" i="8"/>
  <c r="F32" i="8"/>
  <c r="V31" i="8"/>
  <c r="Q31" i="8"/>
  <c r="L31" i="8"/>
  <c r="G31" i="8"/>
  <c r="V30" i="8"/>
  <c r="Q30" i="8"/>
  <c r="L30" i="8"/>
  <c r="L32" i="8" s="1"/>
  <c r="G30" i="8"/>
  <c r="V29" i="8"/>
  <c r="Q29" i="8"/>
  <c r="V28" i="8"/>
  <c r="AK28" i="8" s="1"/>
  <c r="Q28" i="8"/>
  <c r="V27" i="8"/>
  <c r="AK27" i="8" s="1"/>
  <c r="Q27" i="8"/>
  <c r="V26" i="8"/>
  <c r="Q26" i="8"/>
  <c r="V25" i="8"/>
  <c r="AL25" i="8" s="1"/>
  <c r="Q25" i="8"/>
  <c r="V24" i="8"/>
  <c r="Q24" i="8"/>
  <c r="V23" i="8"/>
  <c r="Q23" i="8"/>
  <c r="V22" i="8"/>
  <c r="Q22" i="8"/>
  <c r="V21" i="8"/>
  <c r="Q21" i="8"/>
  <c r="V20" i="8"/>
  <c r="Q20" i="8"/>
  <c r="V19" i="8"/>
  <c r="Q19" i="8"/>
  <c r="V18" i="8"/>
  <c r="Q18" i="8"/>
  <c r="V17" i="8"/>
  <c r="Q17" i="8"/>
  <c r="V16" i="8"/>
  <c r="AI16" i="8" s="1"/>
  <c r="Q16" i="8"/>
  <c r="V15" i="8"/>
  <c r="Q15" i="8"/>
  <c r="V14" i="8"/>
  <c r="Q14" i="8"/>
  <c r="V13" i="8"/>
  <c r="Q13" i="8"/>
  <c r="V12" i="8"/>
  <c r="Q12" i="8"/>
  <c r="V11" i="8"/>
  <c r="Q11" i="8"/>
  <c r="V10" i="8"/>
  <c r="Q10" i="8"/>
  <c r="AK10" i="8" s="1"/>
  <c r="A37" i="19" l="1"/>
  <c r="A35" i="19" s="1"/>
  <c r="D48" i="19" s="1"/>
  <c r="K37" i="19" s="1"/>
  <c r="AW35" i="14"/>
  <c r="D60" i="19" s="1"/>
  <c r="B57" i="19" s="1"/>
  <c r="AI35" i="14"/>
  <c r="AK35" i="14"/>
  <c r="AL26" i="8"/>
  <c r="AK31" i="8"/>
  <c r="AI29" i="8"/>
  <c r="AK26" i="8"/>
  <c r="AL29" i="8"/>
  <c r="AI28" i="8"/>
  <c r="AI27" i="8"/>
  <c r="AK30" i="8"/>
  <c r="AK25" i="8"/>
  <c r="AL28" i="8"/>
  <c r="AL27" i="8"/>
  <c r="G32" i="8"/>
  <c r="AI31" i="8"/>
  <c r="AI26" i="8"/>
  <c r="AK29" i="8"/>
  <c r="AL31" i="8"/>
  <c r="AI30" i="8"/>
  <c r="AI25" i="8"/>
  <c r="AL30" i="8"/>
  <c r="AL35" i="14"/>
  <c r="BJ10" i="14"/>
  <c r="BI34" i="11"/>
  <c r="BI31" i="14" s="1"/>
  <c r="BJ10" i="11"/>
  <c r="BJ34" i="11" s="1"/>
  <c r="BJ31" i="14" s="1"/>
  <c r="BI34" i="10"/>
  <c r="BJ34" i="10" s="1"/>
  <c r="AF13" i="10"/>
  <c r="AG12" i="10"/>
  <c r="BJ12" i="10" s="1"/>
  <c r="BI35" i="10"/>
  <c r="BI29" i="14" s="1"/>
  <c r="BJ10" i="10"/>
  <c r="AI24" i="8"/>
  <c r="AK21" i="8"/>
  <c r="N32" i="8"/>
  <c r="S32" i="8"/>
  <c r="AK18" i="8"/>
  <c r="AK17" i="8"/>
  <c r="AL13" i="8"/>
  <c r="AI12" i="8"/>
  <c r="U32" i="8"/>
  <c r="AL24" i="8"/>
  <c r="AK24" i="8"/>
  <c r="AI23" i="8"/>
  <c r="AK23" i="8"/>
  <c r="AL23" i="8"/>
  <c r="AL22" i="8"/>
  <c r="AI22" i="8"/>
  <c r="AK22" i="8"/>
  <c r="AI21" i="8"/>
  <c r="AL21" i="8"/>
  <c r="AI20" i="8"/>
  <c r="AL20" i="8"/>
  <c r="AK20" i="8"/>
  <c r="AI19" i="8"/>
  <c r="AK19" i="8"/>
  <c r="AL19" i="8"/>
  <c r="AL18" i="8"/>
  <c r="AI18" i="8"/>
  <c r="AI17" i="8"/>
  <c r="AL17" i="8"/>
  <c r="AL16" i="8"/>
  <c r="AK16" i="8"/>
  <c r="AI15" i="8"/>
  <c r="AK15" i="8"/>
  <c r="AL15" i="8"/>
  <c r="AL14" i="8"/>
  <c r="AI14" i="8"/>
  <c r="AK14" i="8"/>
  <c r="K32" i="8"/>
  <c r="AI13" i="8"/>
  <c r="AK13" i="8"/>
  <c r="AL12" i="8"/>
  <c r="AK12" i="8"/>
  <c r="I32" i="8"/>
  <c r="AI11" i="8"/>
  <c r="AK11" i="8"/>
  <c r="AL11" i="8"/>
  <c r="AL10" i="8"/>
  <c r="AI10" i="8"/>
  <c r="AY32" i="8"/>
  <c r="D69" i="21" s="1"/>
  <c r="B57" i="21" s="1"/>
  <c r="A73" i="21" s="1"/>
  <c r="A75" i="21" s="1"/>
  <c r="J32" i="8"/>
  <c r="T32" i="8"/>
  <c r="AN32" i="8"/>
  <c r="Q32" i="8"/>
  <c r="V32" i="8"/>
  <c r="H32" i="8"/>
  <c r="A33" i="19" l="1"/>
  <c r="D45" i="19" s="1"/>
  <c r="K33" i="19" s="1"/>
  <c r="D43" i="19"/>
  <c r="K32" i="19" s="1"/>
  <c r="A36" i="19"/>
  <c r="D42" i="19" s="1"/>
  <c r="K31" i="19" s="1"/>
  <c r="A34" i="19"/>
  <c r="D49" i="19" s="1"/>
  <c r="K36" i="19" s="1"/>
  <c r="D46" i="19"/>
  <c r="D47" i="19" s="1"/>
  <c r="AG13" i="10"/>
  <c r="BJ13" i="10" s="1"/>
  <c r="AF14" i="10"/>
  <c r="BI17" i="8"/>
  <c r="BJ17" i="8" s="1"/>
  <c r="BI11" i="8"/>
  <c r="BJ11" i="8" s="1"/>
  <c r="BI21" i="8"/>
  <c r="BJ21" i="8" s="1"/>
  <c r="BI18" i="8"/>
  <c r="BJ18" i="8" s="1"/>
  <c r="BI22" i="8"/>
  <c r="BJ22" i="8" s="1"/>
  <c r="BI10" i="8"/>
  <c r="AG32" i="8"/>
  <c r="BI14" i="8"/>
  <c r="BJ14" i="8" s="1"/>
  <c r="BI13" i="8"/>
  <c r="BJ13" i="8" s="1"/>
  <c r="BI16" i="8"/>
  <c r="BJ16" i="8" s="1"/>
  <c r="BI24" i="8"/>
  <c r="BJ24" i="8" s="1"/>
  <c r="BI12" i="8"/>
  <c r="BJ12" i="8" s="1"/>
  <c r="BI20" i="8"/>
  <c r="BJ20" i="8" s="1"/>
  <c r="BI23" i="8"/>
  <c r="BJ23" i="8" s="1"/>
  <c r="BI19" i="8"/>
  <c r="BJ19" i="8" s="1"/>
  <c r="BI15" i="8"/>
  <c r="BJ15" i="8" s="1"/>
  <c r="F42" i="16" l="1"/>
  <c r="B37" i="16" s="1"/>
  <c r="B42" i="19"/>
  <c r="A72" i="19" s="1"/>
  <c r="K35" i="19"/>
  <c r="K34" i="19"/>
  <c r="AF15" i="10"/>
  <c r="AG14" i="10"/>
  <c r="BJ14" i="10" s="1"/>
  <c r="AK32" i="8"/>
  <c r="AI32" i="8"/>
  <c r="AL32" i="8"/>
  <c r="BJ10" i="8"/>
  <c r="K40" i="19" l="1"/>
  <c r="AF16" i="10"/>
  <c r="AG15" i="10"/>
  <c r="BJ15" i="10" s="1"/>
  <c r="BJ32" i="8"/>
  <c r="BI32" i="8"/>
  <c r="AF17" i="10" l="1"/>
  <c r="AG16" i="10"/>
  <c r="BJ16" i="10" s="1"/>
  <c r="AG17" i="10" l="1"/>
  <c r="BJ17" i="10" s="1"/>
  <c r="AF18" i="10"/>
  <c r="AF19" i="10" l="1"/>
  <c r="AG18" i="10"/>
  <c r="BJ18" i="10" s="1"/>
  <c r="AF20" i="10" l="1"/>
  <c r="AG19" i="10"/>
  <c r="BJ19" i="10" s="1"/>
  <c r="AF21" i="10" l="1"/>
  <c r="AG20" i="10"/>
  <c r="BJ20" i="10" s="1"/>
  <c r="AF22" i="10" l="1"/>
  <c r="AG21" i="10"/>
  <c r="BJ21" i="10" s="1"/>
  <c r="AG22" i="10" l="1"/>
  <c r="BJ22" i="10" s="1"/>
  <c r="AF23" i="10"/>
  <c r="AG23" i="10" l="1"/>
  <c r="BJ23" i="10" s="1"/>
  <c r="AF24" i="10"/>
  <c r="AF25" i="10" l="1"/>
  <c r="AG24" i="10"/>
  <c r="BJ24" i="10" s="1"/>
  <c r="AF26" i="10" l="1"/>
  <c r="AG25" i="10"/>
  <c r="BJ25" i="10" s="1"/>
  <c r="AF27" i="10" l="1"/>
  <c r="AG26" i="10"/>
  <c r="BJ26" i="10" s="1"/>
  <c r="AF28" i="10" l="1"/>
  <c r="AG27" i="10"/>
  <c r="BJ27" i="10" s="1"/>
  <c r="AG28" i="10" l="1"/>
  <c r="BJ28" i="10" s="1"/>
  <c r="AF29" i="10"/>
  <c r="AF30" i="10" l="1"/>
  <c r="AG29" i="10"/>
  <c r="BJ29" i="10" s="1"/>
  <c r="AG30" i="10" l="1"/>
  <c r="BJ30" i="10" s="1"/>
  <c r="AF31" i="10"/>
  <c r="AG31" i="10" s="1"/>
  <c r="BJ31" i="10" s="1"/>
  <c r="BJ35" i="10" s="1"/>
  <c r="BJ29" i="14" s="1"/>
  <c r="AG35" i="10" l="1"/>
  <c r="AG29" i="14" s="1"/>
  <c r="AF35" i="10"/>
  <c r="AF29" i="14" s="1"/>
  <c r="AF35" i="14" s="1"/>
  <c r="A38" i="19" s="1"/>
  <c r="A39" i="19" s="1"/>
  <c r="A74" i="19" s="1"/>
  <c r="B38" i="16"/>
</calcChain>
</file>

<file path=xl/sharedStrings.xml><?xml version="1.0" encoding="utf-8"?>
<sst xmlns="http://schemas.openxmlformats.org/spreadsheetml/2006/main" count="1215" uniqueCount="376">
  <si>
    <t>مسلسل</t>
  </si>
  <si>
    <t>10% 
2014</t>
  </si>
  <si>
    <t>10% 
2015</t>
  </si>
  <si>
    <t>حافز
25%</t>
  </si>
  <si>
    <t>أداء</t>
  </si>
  <si>
    <t>كادر</t>
  </si>
  <si>
    <t>كادرين</t>
  </si>
  <si>
    <t>الحالة
 الاجتماعية</t>
  </si>
  <si>
    <t>تطوير</t>
  </si>
  <si>
    <t>المرتب 
الأساسى</t>
  </si>
  <si>
    <t>أعباء</t>
  </si>
  <si>
    <t>اجتماعية</t>
  </si>
  <si>
    <t>اضافية</t>
  </si>
  <si>
    <t>الأجر 
الوظيفى</t>
  </si>
  <si>
    <t>الأجر
المكمل</t>
  </si>
  <si>
    <t>الحافز
 التعويضى</t>
  </si>
  <si>
    <t>دكتوراه</t>
  </si>
  <si>
    <t>المنحة</t>
  </si>
  <si>
    <t>جملة
المبالغ
المستحقة</t>
  </si>
  <si>
    <t>حصة الحكومة
12%</t>
  </si>
  <si>
    <t>أقساط
المدة 
السابقة</t>
  </si>
  <si>
    <t>2%
رعاية</t>
  </si>
  <si>
    <t>بدل
إعارة</t>
  </si>
  <si>
    <t>كسب
عمل</t>
  </si>
  <si>
    <t>دمغة
عادية</t>
  </si>
  <si>
    <t>قسط
شريحة</t>
  </si>
  <si>
    <t>صندوق 
الشهداء</t>
  </si>
  <si>
    <t>نقابة 
مهن
تعليمية</t>
  </si>
  <si>
    <t>رعاية
صحية</t>
  </si>
  <si>
    <t>تأمين
اجتماعى</t>
  </si>
  <si>
    <t>نادى
معلمين</t>
  </si>
  <si>
    <t>رابطة
 جامعيين</t>
  </si>
  <si>
    <t>صندوق
زمالة</t>
  </si>
  <si>
    <t>مهن 
تطبيقية</t>
  </si>
  <si>
    <t>نقابة
مهن
تعليمية</t>
  </si>
  <si>
    <t>لجنة
نقابة</t>
  </si>
  <si>
    <t>بحث
علمى</t>
  </si>
  <si>
    <t>كسر
القرش</t>
  </si>
  <si>
    <t>جملة 
الاستقطاعات</t>
  </si>
  <si>
    <t>صافى
المقتضى
صرفه</t>
  </si>
  <si>
    <t>اسم الموظف</t>
  </si>
  <si>
    <t>التوقيع
بالاستلام</t>
  </si>
  <si>
    <t>محمد ابراهيم علوان</t>
  </si>
  <si>
    <t>ناديه مسعد محمود</t>
  </si>
  <si>
    <t>ممدوح محمد عبدالعزيز</t>
  </si>
  <si>
    <t>على محمد شعلان</t>
  </si>
  <si>
    <t>فاطمه فتح الله عبداللطيف</t>
  </si>
  <si>
    <t>احمد ابراهيم الغريب</t>
  </si>
  <si>
    <t>اسماعيل عبدالمحسن سراج الدين</t>
  </si>
  <si>
    <t>السعيد احمد السعيد</t>
  </si>
  <si>
    <t>الدرجة</t>
  </si>
  <si>
    <t>كبير</t>
  </si>
  <si>
    <t>اولى</t>
  </si>
  <si>
    <t>ثانيه</t>
  </si>
  <si>
    <t>ثالثه</t>
  </si>
  <si>
    <t>خامسه</t>
  </si>
  <si>
    <t>حافز
 تكميلى</t>
  </si>
  <si>
    <t>بدل
 تعليم</t>
  </si>
  <si>
    <t>حافز 
أداء</t>
  </si>
  <si>
    <t>الحد
 الأدنى</t>
  </si>
  <si>
    <t>إدخار
1%</t>
  </si>
  <si>
    <t>جـــــــــــــــــــــــــــــــــــــــــــــــــــــــــــــــارى ضرائـــــــــــــــــــــــــــــــــــــــــــــــــــــــب</t>
  </si>
  <si>
    <t>إستحقــــــــــــــــــــــــــــاق هيئــــــــــــــــــــــــــــــــــــــــــــــــــــــــــــــــــــــــــــــات وشــــــــــــــــــــــــــــــــــــــــــــــــــــــركـــــــــــــــــــــــــــــــــــــات</t>
  </si>
  <si>
    <t>ممدوح اعبدالواحد عبدالعزيز</t>
  </si>
  <si>
    <t>إشتراك
 موظف
9%</t>
  </si>
  <si>
    <t>ابراهيم كمال ايوب</t>
  </si>
  <si>
    <t>نجلاء حسنى ابراهيم</t>
  </si>
  <si>
    <t>محمد محمد الجمل</t>
  </si>
  <si>
    <t>سعدية السعيد عبدالغنى</t>
  </si>
  <si>
    <t>مروه عبدالعزيز بدير</t>
  </si>
  <si>
    <t>نعمه محمد يونس</t>
  </si>
  <si>
    <t>امل عبد النبى النجار</t>
  </si>
  <si>
    <t>اميره مصطفى السيد</t>
  </si>
  <si>
    <t>رباب محمود النجار</t>
  </si>
  <si>
    <t>مروى ناجى سليمان</t>
  </si>
  <si>
    <t>مروه حمدى عزالعرب</t>
  </si>
  <si>
    <t>حامد ابوبكر شلبى</t>
  </si>
  <si>
    <t>اساسى 2014</t>
  </si>
  <si>
    <t>وصال حسين بلحه</t>
  </si>
  <si>
    <t>عاطف عبدالعظيم النجار</t>
  </si>
  <si>
    <t>مسعد ونس عبدالحميد</t>
  </si>
  <si>
    <t>محمد صالحين محمد</t>
  </si>
  <si>
    <t>لبنى حمدى محمد</t>
  </si>
  <si>
    <t>جيهان فتحى محمود</t>
  </si>
  <si>
    <t>محمد نجاح نصر</t>
  </si>
  <si>
    <t>زينات البيلى حسب ا لله</t>
  </si>
  <si>
    <t>هاله المغازى محمد</t>
  </si>
  <si>
    <t>خالد ابوالنصر ميسره</t>
  </si>
  <si>
    <t>سماح حجازى بدر</t>
  </si>
  <si>
    <t>علاء ابراهيم النمراوى</t>
  </si>
  <si>
    <t>محمد رجب حسن</t>
  </si>
  <si>
    <t>مجدى يوسف الجندى</t>
  </si>
  <si>
    <t>عاصم احمد عاصم</t>
  </si>
  <si>
    <t>نهاد عبدالعزيز البيلى</t>
  </si>
  <si>
    <t>محمود شحاته محمد</t>
  </si>
  <si>
    <t>محمد الحايس البدراوى</t>
  </si>
  <si>
    <t xml:space="preserve">شيماء رأفت محمد </t>
  </si>
  <si>
    <t>شهيره السعيد عبدالغنى</t>
  </si>
  <si>
    <t>هبه عبدالعزيز صلاح</t>
  </si>
  <si>
    <t>قرض</t>
  </si>
  <si>
    <t>علاء عبدالكريم محمود</t>
  </si>
  <si>
    <t>حمدى طه العيسوى</t>
  </si>
  <si>
    <t>علاء الدين غازى سليمان</t>
  </si>
  <si>
    <t>ارزاق طلعت احمد</t>
  </si>
  <si>
    <t>محمد سعد السعداوى</t>
  </si>
  <si>
    <t>فتحى المغازى محمد</t>
  </si>
  <si>
    <t>احمد فتحى امام</t>
  </si>
  <si>
    <t>ابراهيم العرابى رزق</t>
  </si>
  <si>
    <t>محمد العرابى رزق</t>
  </si>
  <si>
    <t>حامد عبدالرحمن عاصى</t>
  </si>
  <si>
    <t>ممدوح احمد الغريب</t>
  </si>
  <si>
    <t>نبيله محمود ابراهيم</t>
  </si>
  <si>
    <t>محمود مصطفى محمود</t>
  </si>
  <si>
    <t>لبنى عبدالرحمن يوسف</t>
  </si>
  <si>
    <t>نجلاء جلال محمود</t>
  </si>
  <si>
    <t>ام الخير المغازى محمد</t>
  </si>
  <si>
    <t>كبير ا</t>
  </si>
  <si>
    <t>مكافئة
مدرس</t>
  </si>
  <si>
    <t>مكافئة
ادارى</t>
  </si>
  <si>
    <t>مدرس</t>
  </si>
  <si>
    <t>حافز
دمج</t>
  </si>
  <si>
    <t>مهن 
زراعية</t>
  </si>
  <si>
    <t>السعيد عبدالنبى السيد</t>
  </si>
  <si>
    <t>فاطمه جابر عباس</t>
  </si>
  <si>
    <t>رجاء صلاح محمد</t>
  </si>
  <si>
    <t>السيد بدير السيد</t>
  </si>
  <si>
    <t>نعيمه المغازى طه</t>
  </si>
  <si>
    <t>حنان راشد بركات</t>
  </si>
  <si>
    <t>نجلاء فتحى عبدالمتعال</t>
  </si>
  <si>
    <t>رحاب فؤاد مجاهد</t>
  </si>
  <si>
    <t>محمد ابوالنجا محمد</t>
  </si>
  <si>
    <t>محمد فتحى بدر</t>
  </si>
  <si>
    <t>ايمان محمد ابراهيم</t>
  </si>
  <si>
    <t xml:space="preserve">عبدالحليم انور صالح </t>
  </si>
  <si>
    <t>رمضان الصباحى السعداوى</t>
  </si>
  <si>
    <t>حسن شان غازى سليمان</t>
  </si>
  <si>
    <t>عبدالحميد عبدالمنعم عبدالحليم</t>
  </si>
  <si>
    <t>رابعه</t>
  </si>
  <si>
    <t>سادسه</t>
  </si>
  <si>
    <t>مدرسة ميت السراج المتكاملة</t>
  </si>
  <si>
    <t xml:space="preserve">اقرار </t>
  </si>
  <si>
    <t xml:space="preserve">أقر أنا / .....................................مسئول ماهيات المدرسة بأنى مسئول عن الملف أثناء </t>
  </si>
  <si>
    <t>وهذا إقرار منى بذلك ....</t>
  </si>
  <si>
    <t>جنيه</t>
  </si>
  <si>
    <t>قسم</t>
  </si>
  <si>
    <t>فرع</t>
  </si>
  <si>
    <t>فصل</t>
  </si>
  <si>
    <t>بنك</t>
  </si>
  <si>
    <t>اساسى</t>
  </si>
  <si>
    <t>2014 10%</t>
  </si>
  <si>
    <t>2015 10%</t>
  </si>
  <si>
    <t>اعباء</t>
  </si>
  <si>
    <t>علاوة مقطوعة 2019</t>
  </si>
  <si>
    <t>علاوة مقطوعة 2020</t>
  </si>
  <si>
    <t>حافز تكميلى</t>
  </si>
  <si>
    <t>علاوة اجتماعية</t>
  </si>
  <si>
    <t>علاوة اضافية</t>
  </si>
  <si>
    <t>دمج</t>
  </si>
  <si>
    <t>اصابة عمل 1%</t>
  </si>
  <si>
    <t>ادخار 1.25%</t>
  </si>
  <si>
    <t>تأمين صحى 3%</t>
  </si>
  <si>
    <t>حصة الحكومة 12%</t>
  </si>
  <si>
    <t>المرتب الأساسى</t>
  </si>
  <si>
    <t>الأجر الوظيفى</t>
  </si>
  <si>
    <t>الأجر المكمل</t>
  </si>
  <si>
    <t>الحافز التعويضى</t>
  </si>
  <si>
    <t>الحد الأدنى</t>
  </si>
  <si>
    <t>جارى المعاشات</t>
  </si>
  <si>
    <t>إشتراك موظف 9%</t>
  </si>
  <si>
    <t>أقساط المدد السابقة</t>
  </si>
  <si>
    <t>إدخار 1%</t>
  </si>
  <si>
    <t>إدخار 3%</t>
  </si>
  <si>
    <t>إصابة عمل 1.25%</t>
  </si>
  <si>
    <t>بدل اعارة</t>
  </si>
  <si>
    <t>جارى الضرائب</t>
  </si>
  <si>
    <t>كسب عمل</t>
  </si>
  <si>
    <t>دمغة عادية</t>
  </si>
  <si>
    <t>دمغة توقيع</t>
  </si>
  <si>
    <t>دمغة تنمية موارد</t>
  </si>
  <si>
    <t>استحقاق هيئات وشركات</t>
  </si>
  <si>
    <t>نقابة مهن تعليمية</t>
  </si>
  <si>
    <t>رعاية صحية</t>
  </si>
  <si>
    <t>تأمين اجتماعى</t>
  </si>
  <si>
    <t>نادى معلمين</t>
  </si>
  <si>
    <t>رابطة جامعيين</t>
  </si>
  <si>
    <t>صندوق زمالة</t>
  </si>
  <si>
    <t>قسط شركة اورانج</t>
  </si>
  <si>
    <t>لجنة نقابية</t>
  </si>
  <si>
    <t>بحث علمى</t>
  </si>
  <si>
    <t>كسر القرش</t>
  </si>
  <si>
    <t>سمير محمود البيلى</t>
  </si>
  <si>
    <t>حافز 25%</t>
  </si>
  <si>
    <t>علاوة مقطوعة 2021</t>
  </si>
  <si>
    <t>الجملة</t>
  </si>
  <si>
    <t>صافى كلى</t>
  </si>
  <si>
    <t>صافى جزئى</t>
  </si>
  <si>
    <t xml:space="preserve">                                                            </t>
  </si>
  <si>
    <t>الدرجة المالية :</t>
  </si>
  <si>
    <t>الاساسي</t>
  </si>
  <si>
    <t>12% شيخوخة وعجز ووفاة</t>
  </si>
  <si>
    <t>10% 2014م</t>
  </si>
  <si>
    <t xml:space="preserve"> 1% مكافاة </t>
  </si>
  <si>
    <t>10% 2015م</t>
  </si>
  <si>
    <t>1.25% اصابة عمل</t>
  </si>
  <si>
    <t>25% حافز</t>
  </si>
  <si>
    <t>3% المرض</t>
  </si>
  <si>
    <t>9% شيخوخة وعجز ووفاة</t>
  </si>
  <si>
    <t>1% تامين مرض</t>
  </si>
  <si>
    <t>مهن اجتماعية</t>
  </si>
  <si>
    <t>اعارة</t>
  </si>
  <si>
    <t>مدة سابقة</t>
  </si>
  <si>
    <t>استبدال</t>
  </si>
  <si>
    <t>مقطوعة مجمعة</t>
  </si>
  <si>
    <t>ضريبة</t>
  </si>
  <si>
    <t>ايرادات</t>
  </si>
  <si>
    <t>حافز اداء قرار 212</t>
  </si>
  <si>
    <t>المجموع</t>
  </si>
  <si>
    <t>تامين جماعى</t>
  </si>
  <si>
    <t>منحة عيد العمال</t>
  </si>
  <si>
    <t>7% صندوق زمالة معلمين</t>
  </si>
  <si>
    <t>صندوق زمالة بطنطا</t>
  </si>
  <si>
    <t>لجنة نقابية بالقاهرة</t>
  </si>
  <si>
    <t>جملة المستقطع</t>
  </si>
  <si>
    <t>الصافى</t>
  </si>
  <si>
    <t>تطبيقية</t>
  </si>
  <si>
    <t>صندوق تكريم الشهداء</t>
  </si>
  <si>
    <t>رعاية صحية 2%</t>
  </si>
  <si>
    <t>رئيس الوحدة</t>
  </si>
  <si>
    <t>رئيس القسم</t>
  </si>
  <si>
    <t>كبير معلمين</t>
  </si>
  <si>
    <t>معلم خبير</t>
  </si>
  <si>
    <t>معلم أول أ</t>
  </si>
  <si>
    <t>معلم أول</t>
  </si>
  <si>
    <t>جزاءات</t>
  </si>
  <si>
    <t>أكتوبر 2021</t>
  </si>
  <si>
    <t>اسم البنك</t>
  </si>
  <si>
    <t>ناصر بشبيش</t>
  </si>
  <si>
    <t>القاهرة المحلة</t>
  </si>
  <si>
    <t>الاسكندرية - نبروه</t>
  </si>
  <si>
    <t>ناصر -بشبيش</t>
  </si>
  <si>
    <t>مصر</t>
  </si>
  <si>
    <t>فيصل الإسلامى</t>
  </si>
  <si>
    <t>الأهلى</t>
  </si>
  <si>
    <t>بدل معلم</t>
  </si>
  <si>
    <t>حافز أداء</t>
  </si>
  <si>
    <t>مكافئة مدرس</t>
  </si>
  <si>
    <t>مكافئة إدارى</t>
  </si>
  <si>
    <t>اجمالى خاضع معاشات</t>
  </si>
  <si>
    <t>91.5%</t>
  </si>
  <si>
    <t>مهن تطبيقية</t>
  </si>
  <si>
    <t>قرض نقابة
مهن
تعليمية</t>
  </si>
  <si>
    <t>صندوق شهداء</t>
  </si>
  <si>
    <t>2% صندوق رعاية</t>
  </si>
  <si>
    <t>2% عمولة نقابية</t>
  </si>
  <si>
    <t xml:space="preserve">الجملة </t>
  </si>
  <si>
    <t>مائتان واثنى عشر ألف ومائتان وتسع وخمسون جنيهًا وثلاثون قرشًا لا غير</t>
  </si>
  <si>
    <t>لتوزيعه على المستخدمين المذكورين بباطنه.</t>
  </si>
  <si>
    <t>رئيس الوحدة                وكيل القسم                   رئيس القسم               مدير الإدارة</t>
  </si>
  <si>
    <t>عن شهر ........................  عام .....................</t>
  </si>
  <si>
    <t>بيان اجمالى</t>
  </si>
  <si>
    <t>حصة الموظفين 9%</t>
  </si>
  <si>
    <t>ادخار 3%</t>
  </si>
  <si>
    <t>بدل إعارة</t>
  </si>
  <si>
    <t>مديرية التربية والتعليم بطنطا</t>
  </si>
  <si>
    <t>عدد</t>
  </si>
  <si>
    <t>قيمة القسط</t>
  </si>
  <si>
    <t>بيان المستحق      عن صندوق زمالة   عن شهر أكتوبر سنة 2021</t>
  </si>
  <si>
    <t>بيان المستحق      عن نقابة مهن تعليمية   عن شهر أكتوبر سنة 2021</t>
  </si>
  <si>
    <t>بيان المستحق      عن صندوق الشهداء   عن شهر أكتوبر سنة 2021</t>
  </si>
  <si>
    <t>إدارة شرق المحلة التعليمية</t>
  </si>
  <si>
    <t xml:space="preserve">عدد </t>
  </si>
  <si>
    <t>المهن الاجتماعية كل 6 شهور 50 جنية لكل فر مشترك بالنقابة تخصم فى يناير ويوليو</t>
  </si>
  <si>
    <t>اسماعيل عبدالمجيد سراج الدين</t>
  </si>
  <si>
    <t>السعيد عبد النبي السيد علي</t>
  </si>
  <si>
    <t>السيد بدير السيد محمود</t>
  </si>
  <si>
    <t>ايمان محمد ابراهيم محمود</t>
  </si>
  <si>
    <t>حسن شان غازي سليمان غازي</t>
  </si>
  <si>
    <t>حنان راشد بركات الذهبى</t>
  </si>
  <si>
    <t>رجاء صلاح محمد محمود</t>
  </si>
  <si>
    <t>رمضان الصباحى السعداوي ابوشناف</t>
  </si>
  <si>
    <t>عبد الحليم انور مخيمر محمد</t>
  </si>
  <si>
    <t>عبد الحميد عبد المنعم عبد الحليم هيكل</t>
  </si>
  <si>
    <t>فاطمه جابر عباس جادالله</t>
  </si>
  <si>
    <t>محمد ابو النجا محمد ابو النجا</t>
  </si>
  <si>
    <t>محمد فتحى عبد المعطي بدر</t>
  </si>
  <si>
    <t>نجلاء فتحي عبد المتعال الحايس</t>
  </si>
  <si>
    <t>نعيمه المغاورى طه السيد</t>
  </si>
  <si>
    <t>جملة المبالغ المستحقة</t>
  </si>
  <si>
    <t xml:space="preserve">   مدرسة ميت السراج المتكاملة</t>
  </si>
  <si>
    <t xml:space="preserve">   محافظة الغربية</t>
  </si>
  <si>
    <t xml:space="preserve">   وزارة التربية والتعليم</t>
  </si>
  <si>
    <t xml:space="preserve">  كشف الماهيات والمرتبات للعاملين</t>
  </si>
  <si>
    <t>المبالغ</t>
  </si>
  <si>
    <t>قرض حسن نقابة مهن تعليمية</t>
  </si>
  <si>
    <t xml:space="preserve">                الدفع الاليكترونى وأى تعديل أو أخطاء اقوم بتصحيحها.....</t>
  </si>
  <si>
    <t>مهن زراعية</t>
  </si>
  <si>
    <t>اربع وخمسون الف واربعمائة وتسع وخمسون جنيه وخمس وسبعون قرش لا غير</t>
  </si>
  <si>
    <t>قيمة 
القسط</t>
  </si>
  <si>
    <t>قيمة
 القسط</t>
  </si>
  <si>
    <t>اداء</t>
  </si>
  <si>
    <t>مكافئة مدرس 212</t>
  </si>
  <si>
    <t>بدل
 معلم</t>
  </si>
  <si>
    <t>حافز دمج</t>
  </si>
  <si>
    <t xml:space="preserve">دكتوراه </t>
  </si>
  <si>
    <t>عمولة نقابة 2%</t>
  </si>
  <si>
    <t>مهن
 اجتماعية</t>
  </si>
  <si>
    <t>قرض نقابة</t>
  </si>
  <si>
    <t>بدل معلم قرار 212</t>
  </si>
  <si>
    <t xml:space="preserve">   إدارة : شرق المحلة التعليمية</t>
  </si>
  <si>
    <t>مستقطع</t>
  </si>
  <si>
    <t>بيـــــــــــــــــــان</t>
  </si>
  <si>
    <t>12% تأمين الشيخوخة</t>
  </si>
  <si>
    <t>مدير الموارد البشرية</t>
  </si>
  <si>
    <t>جملة استقطاعات</t>
  </si>
  <si>
    <t>فقط</t>
  </si>
  <si>
    <t>إدارة الموارد البشرية - ماهيات</t>
  </si>
  <si>
    <t>مدرسة ميت السراج المتكاملة ع</t>
  </si>
  <si>
    <t>السيد /</t>
  </si>
  <si>
    <t>الوظيفة</t>
  </si>
  <si>
    <t>الحالة الاجتماعية</t>
  </si>
  <si>
    <t>متزوج ويعول</t>
  </si>
  <si>
    <t>أربعة آلاف ومائة وتسع وستون جنيه وعشرون قرش فقط لاغير</t>
  </si>
  <si>
    <t xml:space="preserve">السيد الأستاذ / ............................................................................................... الآتى بيان مرتب </t>
  </si>
  <si>
    <t>بيان مفردات مرتب فى 2021/7/1</t>
  </si>
  <si>
    <t>غير قابلة للصرف</t>
  </si>
  <si>
    <t xml:space="preserve">           كشف المستقطع لحساب المعاشات عن شهر .................. سنة .........</t>
  </si>
  <si>
    <t xml:space="preserve">   أقر أنا / .....................................مسئول ماهيات المدرسة بأنى مسئول عن الملف أثناء </t>
  </si>
  <si>
    <t xml:space="preserve">    الدفع الاليكترونى وأى تعديل أو أخطاء اقوم بتصحيحها.....</t>
  </si>
  <si>
    <t>يعتمد صرف المبالغ الموضح أعلاه من بنك ........... 
 إلى ...............................................................................</t>
  </si>
  <si>
    <t>إمضاء الرئيس المباشر</t>
  </si>
  <si>
    <t>الكاتب المنوط</t>
  </si>
  <si>
    <t>مدير المدرسة</t>
  </si>
  <si>
    <t xml:space="preserve">                                                        وهذا إقرار منى بذلك....،</t>
  </si>
  <si>
    <t xml:space="preserve">     من هو مخالف طبقًا للقرار الوزارى الخاص بذلك...،</t>
  </si>
  <si>
    <t xml:space="preserve">      أقـر أن الموظفين والمستخدمين البالغ عددهم........... والوارد أسماؤهم</t>
  </si>
  <si>
    <t xml:space="preserve">      ماعـدا الذين يرخــص لهم بأجـــازات كانوا فعلا فى خدمـة الحكـومة </t>
  </si>
  <si>
    <t xml:space="preserve">      ابتـــداءً من المدة الموضحـة ببطاطنــــه لغاية اليوم      /       / 2021</t>
  </si>
  <si>
    <t xml:space="preserve">      وأن المبـــــالغ المقــتضى صرفها التى قيمتهـــا ..........................</t>
  </si>
  <si>
    <t xml:space="preserve">      تســــتحـــق إلـيـهـــم أول الشهــــر القـــــــادم </t>
  </si>
  <si>
    <t xml:space="preserve">     أقر أنا / مدير المدرسة بأن المذكورين بالكشف يستحقون صرف </t>
  </si>
  <si>
    <t xml:space="preserve">     وأن تقارير الكفاية كفء للعاملين السابقين ولا يوجد منهم </t>
  </si>
  <si>
    <t xml:space="preserve">     أقـــر أن الموظفــين أو المستخدمين المبينة أسماؤهــــــم بهذا الكشف</t>
  </si>
  <si>
    <t xml:space="preserve">     واردة فى سجـلات المســتــخــدمــين وأن الماهيات والمرتبــــات .... إلخ</t>
  </si>
  <si>
    <t xml:space="preserve">     والمــدة المطلـــوب الصــــرف عنها هــــــى جميعهـــــا صحيحة.</t>
  </si>
  <si>
    <t xml:space="preserve"> مرتب أكتوبر 2021 وصرف حافز الأعباء الوظيفية  </t>
  </si>
  <si>
    <t>وقانون 212 لسنة 2020 ولا يوجد أحد محـال للمحكمة التأديبية</t>
  </si>
  <si>
    <t xml:space="preserve">           كشف المستقطع لحساب المعاشات عن شهر ............. سنة ............</t>
  </si>
  <si>
    <t>يعتمد صرف المبالغ الموضح أعلاه من بنك……...... 
 إلى .................................................................................</t>
  </si>
  <si>
    <t xml:space="preserve">بيان المستحق المهن التطبيقية </t>
  </si>
  <si>
    <t>عن شهر أكتوبر سنة 2021</t>
  </si>
  <si>
    <t xml:space="preserve">بيان المستحق قسط شركة اورانج </t>
  </si>
  <si>
    <t xml:space="preserve">بيان المستحق المهن الزراعية </t>
  </si>
  <si>
    <t xml:space="preserve">بيان المستحق بدل إعارة </t>
  </si>
  <si>
    <t>عن شهر أكتوبر  سنة 2021</t>
  </si>
  <si>
    <t xml:space="preserve">بيان المستحق قرض حسن نقابة مهن تعليمية </t>
  </si>
  <si>
    <t>مهن 
اجتماعية</t>
  </si>
  <si>
    <t>الاساسى الوهمى</t>
  </si>
  <si>
    <t>حافز تعويضى</t>
  </si>
  <si>
    <t>حافز تكميلى 2019م</t>
  </si>
  <si>
    <t>حافز مقطوع 2019م</t>
  </si>
  <si>
    <t>حافز مقطوع 2020م</t>
  </si>
  <si>
    <t>مقطوعة 2021</t>
  </si>
  <si>
    <t>مكافئة إداريين</t>
  </si>
  <si>
    <t>أجر الاشتراك الشامل</t>
  </si>
  <si>
    <t>3% تأمين المرض</t>
  </si>
  <si>
    <t>1%اشتراك مكافئة</t>
  </si>
  <si>
    <t>1.25% تأمين إصابة عمل</t>
  </si>
  <si>
    <t>1.25% تأمين اصابة عمل</t>
  </si>
  <si>
    <t>9% تأمين الشيخوخة</t>
  </si>
  <si>
    <t xml:space="preserve"> 1% اشتراك المكافاة </t>
  </si>
  <si>
    <t xml:space="preserve"> 1% تأمين المرض</t>
  </si>
  <si>
    <t>قسط اعارة</t>
  </si>
  <si>
    <t>جملة المعاشات</t>
  </si>
  <si>
    <t>اساسى وهمى</t>
  </si>
  <si>
    <t>جملة المستحق</t>
  </si>
  <si>
    <t>جملة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</si>
</sst>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0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2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AdvertisingExtraBold"/>
      <charset val="17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</fills>
  <borders count="50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309">
    <xf numFmtId="0" fontId="0" fillId="0" borderId="0" xfId="0"/>
    <xf numFmtId="2" fontId="0" fillId="0" borderId="0" xfId="0" applyNumberFormat="1"/>
    <xf numFmtId="2" fontId="1" fillId="0" borderId="0" xfId="0" applyNumberFormat="1" applyFont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4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Border="1"/>
    <xf numFmtId="2" fontId="2" fillId="2" borderId="9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/>
    <xf numFmtId="0" fontId="2" fillId="0" borderId="0" xfId="0" applyFont="1"/>
    <xf numFmtId="2" fontId="2" fillId="0" borderId="2" xfId="0" applyNumberFormat="1" applyFont="1" applyBorder="1"/>
    <xf numFmtId="0" fontId="2" fillId="0" borderId="0" xfId="0" applyFont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9" fontId="2" fillId="0" borderId="4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2" fontId="2" fillId="0" borderId="6" xfId="0" applyNumberFormat="1" applyFont="1" applyBorder="1"/>
    <xf numFmtId="1" fontId="2" fillId="0" borderId="8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2" fillId="0" borderId="0" xfId="0" applyFont="1" applyBorder="1"/>
    <xf numFmtId="2" fontId="0" fillId="0" borderId="0" xfId="0" applyNumberFormat="1" applyAlignment="1">
      <alignment horizontal="center"/>
    </xf>
    <xf numFmtId="0" fontId="7" fillId="0" borderId="0" xfId="2" applyFont="1" applyBorder="1" applyAlignment="1"/>
    <xf numFmtId="0" fontId="7" fillId="0" borderId="0" xfId="2" applyFont="1" applyBorder="1"/>
    <xf numFmtId="0" fontId="2" fillId="0" borderId="0" xfId="0" applyFont="1" applyFill="1" applyBorder="1"/>
    <xf numFmtId="0" fontId="8" fillId="0" borderId="0" xfId="0" applyFont="1"/>
    <xf numFmtId="0" fontId="8" fillId="0" borderId="0" xfId="0" applyFont="1" applyAlignment="1">
      <alignment horizontal="center"/>
    </xf>
    <xf numFmtId="2" fontId="8" fillId="0" borderId="0" xfId="0" applyNumberFormat="1" applyFont="1"/>
    <xf numFmtId="0" fontId="9" fillId="0" borderId="0" xfId="0" applyFont="1"/>
    <xf numFmtId="165" fontId="0" fillId="0" borderId="0" xfId="0" applyNumberFormat="1"/>
    <xf numFmtId="165" fontId="2" fillId="0" borderId="6" xfId="0" applyNumberFormat="1" applyFont="1" applyBorder="1"/>
    <xf numFmtId="2" fontId="10" fillId="2" borderId="8" xfId="0" applyNumberFormat="1" applyFont="1" applyFill="1" applyBorder="1" applyAlignment="1">
      <alignment horizontal="center" vertical="center"/>
    </xf>
    <xf numFmtId="165" fontId="10" fillId="2" borderId="8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2" fontId="2" fillId="2" borderId="26" xfId="0" applyNumberFormat="1" applyFont="1" applyFill="1" applyBorder="1" applyAlignment="1">
      <alignment horizontal="center" vertical="center"/>
    </xf>
    <xf numFmtId="2" fontId="2" fillId="0" borderId="27" xfId="0" applyNumberFormat="1" applyFont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2" fontId="8" fillId="3" borderId="17" xfId="0" applyNumberFormat="1" applyFont="1" applyFill="1" applyBorder="1" applyAlignment="1">
      <alignment horizontal="center"/>
    </xf>
    <xf numFmtId="2" fontId="8" fillId="3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/>
    <xf numFmtId="2" fontId="12" fillId="0" borderId="0" xfId="0" applyNumberFormat="1" applyFont="1"/>
    <xf numFmtId="2" fontId="11" fillId="0" borderId="0" xfId="0" applyNumberFormat="1" applyFont="1"/>
    <xf numFmtId="2" fontId="2" fillId="3" borderId="0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readingOrder="2"/>
    </xf>
    <xf numFmtId="0" fontId="13" fillId="0" borderId="0" xfId="0" applyFont="1" applyBorder="1" applyAlignment="1">
      <alignment horizontal="right" readingOrder="2"/>
    </xf>
    <xf numFmtId="2" fontId="13" fillId="0" borderId="0" xfId="0" applyNumberFormat="1" applyFont="1" applyBorder="1" applyAlignment="1">
      <alignment readingOrder="2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8" fillId="3" borderId="17" xfId="0" applyFont="1" applyFill="1" applyBorder="1" applyAlignment="1">
      <alignment horizontal="center"/>
    </xf>
    <xf numFmtId="2" fontId="8" fillId="3" borderId="38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1" fillId="0" borderId="0" xfId="0" applyFont="1" applyBorder="1"/>
    <xf numFmtId="0" fontId="11" fillId="0" borderId="31" xfId="0" applyFont="1" applyBorder="1"/>
    <xf numFmtId="0" fontId="0" fillId="0" borderId="0" xfId="0" applyAlignment="1">
      <alignment horizontal="center"/>
    </xf>
    <xf numFmtId="0" fontId="2" fillId="0" borderId="17" xfId="0" applyFont="1" applyBorder="1"/>
    <xf numFmtId="0" fontId="2" fillId="0" borderId="36" xfId="0" applyFont="1" applyBorder="1"/>
    <xf numFmtId="0" fontId="2" fillId="0" borderId="17" xfId="0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Border="1"/>
    <xf numFmtId="0" fontId="4" fillId="0" borderId="0" xfId="0" applyFont="1"/>
    <xf numFmtId="2" fontId="2" fillId="0" borderId="0" xfId="0" applyNumberFormat="1" applyFont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31" xfId="0" applyBorder="1" applyAlignment="1"/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readingOrder="2"/>
    </xf>
    <xf numFmtId="0" fontId="7" fillId="0" borderId="0" xfId="2" applyFont="1" applyBorder="1" applyAlignment="1">
      <alignment horizontal="center" vertical="center" readingOrder="2"/>
    </xf>
    <xf numFmtId="0" fontId="7" fillId="0" borderId="22" xfId="2" applyFont="1" applyBorder="1" applyAlignment="1">
      <alignment horizontal="center" vertical="center" readingOrder="2"/>
    </xf>
    <xf numFmtId="2" fontId="7" fillId="0" borderId="22" xfId="2" applyNumberFormat="1" applyFont="1" applyBorder="1" applyAlignment="1">
      <alignment horizontal="center" vertical="center" readingOrder="2"/>
    </xf>
    <xf numFmtId="0" fontId="7" fillId="0" borderId="22" xfId="2" applyFont="1" applyBorder="1" applyAlignment="1">
      <alignment horizontal="center" vertical="center" readingOrder="2"/>
    </xf>
    <xf numFmtId="0" fontId="7" fillId="0" borderId="20" xfId="2" applyFont="1" applyBorder="1" applyAlignment="1">
      <alignment horizontal="center" vertical="center" readingOrder="2"/>
    </xf>
    <xf numFmtId="0" fontId="7" fillId="0" borderId="0" xfId="2" applyFont="1" applyBorder="1" applyAlignment="1">
      <alignment horizontal="center" vertical="center" readingOrder="2"/>
    </xf>
    <xf numFmtId="0" fontId="7" fillId="0" borderId="0" xfId="2" applyFont="1" applyBorder="1" applyAlignment="1">
      <alignment vertical="center" readingOrder="2"/>
    </xf>
    <xf numFmtId="0" fontId="7" fillId="0" borderId="0" xfId="2" applyFont="1" applyBorder="1" applyAlignment="1">
      <alignment horizontal="right" vertical="center" readingOrder="2"/>
    </xf>
    <xf numFmtId="0" fontId="7" fillId="4" borderId="0" xfId="2" applyFont="1" applyFill="1" applyBorder="1" applyAlignment="1">
      <alignment horizontal="center" vertical="center" readingOrder="2"/>
    </xf>
    <xf numFmtId="2" fontId="7" fillId="0" borderId="0" xfId="2" applyNumberFormat="1" applyFont="1" applyBorder="1" applyAlignment="1">
      <alignment horizontal="center" vertical="center" readingOrder="2"/>
    </xf>
    <xf numFmtId="2" fontId="7" fillId="0" borderId="20" xfId="2" applyNumberFormat="1" applyFont="1" applyBorder="1" applyAlignment="1">
      <alignment horizontal="center" vertical="center" readingOrder="2"/>
    </xf>
    <xf numFmtId="0" fontId="0" fillId="0" borderId="0" xfId="0" applyBorder="1"/>
    <xf numFmtId="0" fontId="6" fillId="0" borderId="0" xfId="2" applyBorder="1" applyAlignment="1"/>
    <xf numFmtId="0" fontId="7" fillId="0" borderId="0" xfId="2" applyFont="1" applyBorder="1" applyAlignment="1">
      <alignment horizontal="center"/>
    </xf>
    <xf numFmtId="0" fontId="7" fillId="0" borderId="42" xfId="2" applyFont="1" applyBorder="1" applyAlignment="1">
      <alignment horizontal="center" vertical="center" readingOrder="2"/>
    </xf>
    <xf numFmtId="2" fontId="7" fillId="0" borderId="42" xfId="2" applyNumberFormat="1" applyFont="1" applyBorder="1" applyAlignment="1">
      <alignment horizontal="center" vertical="center" readingOrder="2"/>
    </xf>
    <xf numFmtId="0" fontId="0" fillId="0" borderId="42" xfId="0" applyBorder="1" applyAlignment="1">
      <alignment horizontal="center" vertical="center" readingOrder="2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 readingOrder="2"/>
    </xf>
    <xf numFmtId="0" fontId="13" fillId="0" borderId="17" xfId="0" applyFont="1" applyBorder="1" applyAlignment="1">
      <alignment horizontal="center"/>
    </xf>
    <xf numFmtId="2" fontId="13" fillId="0" borderId="17" xfId="0" applyNumberFormat="1" applyFont="1" applyBorder="1" applyAlignment="1">
      <alignment horizontal="center"/>
    </xf>
    <xf numFmtId="0" fontId="17" fillId="0" borderId="0" xfId="0" applyFont="1"/>
    <xf numFmtId="0" fontId="13" fillId="0" borderId="0" xfId="0" applyFont="1"/>
    <xf numFmtId="0" fontId="17" fillId="0" borderId="31" xfId="0" applyFont="1" applyBorder="1"/>
    <xf numFmtId="0" fontId="13" fillId="0" borderId="0" xfId="0" applyFont="1" applyBorder="1"/>
    <xf numFmtId="0" fontId="17" fillId="0" borderId="0" xfId="0" applyFont="1" applyBorder="1"/>
    <xf numFmtId="2" fontId="15" fillId="3" borderId="17" xfId="0" applyNumberFormat="1" applyFont="1" applyFill="1" applyBorder="1" applyAlignment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9" fontId="15" fillId="3" borderId="17" xfId="0" applyNumberFormat="1" applyFont="1" applyFill="1" applyBorder="1" applyAlignment="1">
      <alignment horizontal="center" vertical="center"/>
    </xf>
    <xf numFmtId="2" fontId="15" fillId="3" borderId="17" xfId="0" applyNumberFormat="1" applyFont="1" applyFill="1" applyBorder="1" applyAlignment="1">
      <alignment horizontal="center"/>
    </xf>
    <xf numFmtId="2" fontId="15" fillId="3" borderId="17" xfId="0" applyNumberFormat="1" applyFont="1" applyFill="1" applyBorder="1" applyAlignment="1"/>
    <xf numFmtId="0" fontId="15" fillId="3" borderId="17" xfId="0" applyFont="1" applyFill="1" applyBorder="1" applyAlignment="1"/>
    <xf numFmtId="0" fontId="15" fillId="3" borderId="17" xfId="0" applyFont="1" applyFill="1" applyBorder="1" applyAlignment="1">
      <alignment horizontal="center"/>
    </xf>
    <xf numFmtId="49" fontId="15" fillId="3" borderId="17" xfId="0" applyNumberFormat="1" applyFont="1" applyFill="1" applyBorder="1" applyAlignment="1">
      <alignment horizontal="center" vertical="center"/>
    </xf>
    <xf numFmtId="2" fontId="15" fillId="3" borderId="17" xfId="0" applyNumberFormat="1" applyFont="1" applyFill="1" applyBorder="1" applyAlignment="1">
      <alignment horizontal="center" vertical="center"/>
    </xf>
    <xf numFmtId="9" fontId="18" fillId="0" borderId="17" xfId="0" applyNumberFormat="1" applyFont="1" applyBorder="1" applyAlignment="1">
      <alignment horizontal="center"/>
    </xf>
    <xf numFmtId="2" fontId="15" fillId="3" borderId="18" xfId="0" applyNumberFormat="1" applyFont="1" applyFill="1" applyBorder="1" applyAlignment="1">
      <alignment horizontal="center" vertical="center"/>
    </xf>
    <xf numFmtId="2" fontId="15" fillId="2" borderId="18" xfId="0" applyNumberFormat="1" applyFont="1" applyFill="1" applyBorder="1" applyAlignment="1">
      <alignment horizontal="center" vertical="center"/>
    </xf>
    <xf numFmtId="2" fontId="15" fillId="3" borderId="38" xfId="0" applyNumberFormat="1" applyFont="1" applyFill="1" applyBorder="1" applyAlignment="1">
      <alignment horizontal="center" vertical="center"/>
    </xf>
    <xf numFmtId="2" fontId="15" fillId="3" borderId="0" xfId="0" applyNumberFormat="1" applyFont="1" applyFill="1" applyBorder="1" applyAlignment="1">
      <alignment horizontal="center" vertical="center"/>
    </xf>
    <xf numFmtId="0" fontId="19" fillId="0" borderId="0" xfId="0" applyFont="1"/>
    <xf numFmtId="0" fontId="16" fillId="0" borderId="0" xfId="0" applyFont="1"/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15" fillId="0" borderId="17" xfId="0" applyFont="1" applyBorder="1" applyAlignment="1">
      <alignment horizontal="center"/>
    </xf>
    <xf numFmtId="2" fontId="15" fillId="0" borderId="17" xfId="0" applyNumberFormat="1" applyFont="1" applyBorder="1" applyAlignment="1">
      <alignment horizontal="center"/>
    </xf>
    <xf numFmtId="0" fontId="18" fillId="0" borderId="0" xfId="0" applyFont="1"/>
    <xf numFmtId="0" fontId="15" fillId="0" borderId="0" xfId="0" applyFont="1"/>
    <xf numFmtId="0" fontId="18" fillId="0" borderId="31" xfId="0" applyFont="1" applyBorder="1"/>
    <xf numFmtId="0" fontId="15" fillId="0" borderId="0" xfId="0" applyFont="1" applyBorder="1"/>
    <xf numFmtId="0" fontId="18" fillId="0" borderId="0" xfId="0" applyFont="1" applyBorder="1"/>
    <xf numFmtId="0" fontId="7" fillId="0" borderId="20" xfId="2" applyFont="1" applyBorder="1" applyAlignment="1">
      <alignment horizontal="center" vertical="center" readingOrder="2"/>
    </xf>
    <xf numFmtId="0" fontId="0" fillId="0" borderId="42" xfId="0" applyBorder="1" applyAlignment="1">
      <alignment horizontal="center" vertical="center" readingOrder="2"/>
    </xf>
    <xf numFmtId="0" fontId="7" fillId="0" borderId="22" xfId="2" applyFont="1" applyBorder="1" applyAlignment="1">
      <alignment horizontal="center" vertical="center" readingOrder="2"/>
    </xf>
    <xf numFmtId="0" fontId="7" fillId="0" borderId="0" xfId="2" applyFont="1" applyBorder="1" applyAlignment="1">
      <alignment horizontal="center" vertical="center" readingOrder="2"/>
    </xf>
    <xf numFmtId="0" fontId="7" fillId="0" borderId="0" xfId="2" applyFont="1" applyBorder="1" applyAlignment="1">
      <alignment horizontal="right" vertical="center" readingOrder="2"/>
    </xf>
    <xf numFmtId="0" fontId="0" fillId="0" borderId="0" xfId="0" applyAlignment="1">
      <alignment horizontal="right" vertical="center" readingOrder="2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/>
    <xf numFmtId="2" fontId="2" fillId="2" borderId="0" xfId="0" applyNumberFormat="1" applyFont="1" applyFill="1" applyBorder="1"/>
    <xf numFmtId="2" fontId="2" fillId="2" borderId="0" xfId="0" applyNumberFormat="1" applyFont="1" applyFill="1" applyBorder="1" applyAlignment="1">
      <alignment horizontal="center" vertical="center"/>
    </xf>
    <xf numFmtId="0" fontId="2" fillId="0" borderId="27" xfId="0" applyFont="1" applyBorder="1"/>
    <xf numFmtId="2" fontId="2" fillId="0" borderId="27" xfId="0" applyNumberFormat="1" applyFont="1" applyBorder="1"/>
    <xf numFmtId="0" fontId="2" fillId="0" borderId="26" xfId="0" applyFont="1" applyBorder="1"/>
    <xf numFmtId="2" fontId="2" fillId="2" borderId="49" xfId="0" applyNumberFormat="1" applyFont="1" applyFill="1" applyBorder="1"/>
    <xf numFmtId="0" fontId="8" fillId="0" borderId="0" xfId="0" applyFont="1" applyBorder="1"/>
    <xf numFmtId="0" fontId="2" fillId="0" borderId="0" xfId="0" applyFont="1" applyBorder="1" applyAlignment="1">
      <alignment horizontal="center" vertical="center"/>
    </xf>
    <xf numFmtId="2" fontId="1" fillId="0" borderId="0" xfId="0" applyNumberFormat="1" applyFont="1" applyBorder="1"/>
    <xf numFmtId="2" fontId="0" fillId="0" borderId="0" xfId="0" applyNumberFormat="1" applyBorder="1"/>
    <xf numFmtId="2" fontId="2" fillId="0" borderId="0" xfId="0" applyNumberFormat="1" applyFont="1" applyBorder="1" applyAlignment="1">
      <alignment horizontal="center" vertical="center"/>
    </xf>
    <xf numFmtId="0" fontId="2" fillId="0" borderId="46" xfId="0" applyFont="1" applyBorder="1" applyAlignment="1"/>
    <xf numFmtId="0" fontId="2" fillId="0" borderId="47" xfId="0" applyFont="1" applyBorder="1" applyAlignment="1"/>
    <xf numFmtId="0" fontId="2" fillId="0" borderId="48" xfId="0" applyFont="1" applyBorder="1" applyAlignment="1"/>
    <xf numFmtId="0" fontId="2" fillId="0" borderId="1" xfId="0" applyFont="1" applyBorder="1" applyAlignment="1">
      <alignment horizontal="center" vertical="center" textRotation="90"/>
    </xf>
    <xf numFmtId="0" fontId="2" fillId="0" borderId="3" xfId="0" applyFont="1" applyBorder="1" applyAlignment="1">
      <alignment textRotation="90"/>
    </xf>
    <xf numFmtId="0" fontId="2" fillId="0" borderId="5" xfId="0" applyFont="1" applyBorder="1" applyAlignment="1">
      <alignment textRotation="90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/>
    <xf numFmtId="14" fontId="2" fillId="0" borderId="11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/>
    <xf numFmtId="0" fontId="2" fillId="0" borderId="13" xfId="0" applyFont="1" applyBorder="1" applyAlignment="1"/>
    <xf numFmtId="0" fontId="2" fillId="0" borderId="11" xfId="0" applyFont="1" applyBorder="1" applyAlignment="1"/>
    <xf numFmtId="2" fontId="2" fillId="0" borderId="14" xfId="0" applyNumberFormat="1" applyFont="1" applyBorder="1" applyAlignment="1">
      <alignment horizontal="center" vertical="center" wrapText="1"/>
    </xf>
    <xf numFmtId="0" fontId="2" fillId="0" borderId="8" xfId="0" applyFont="1" applyBorder="1" applyAlignment="1"/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/>
    <xf numFmtId="0" fontId="2" fillId="0" borderId="16" xfId="0" applyFont="1" applyBorder="1" applyAlignment="1"/>
    <xf numFmtId="14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65" fontId="2" fillId="0" borderId="14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/>
    <xf numFmtId="2" fontId="15" fillId="3" borderId="0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2" fontId="15" fillId="3" borderId="18" xfId="0" applyNumberFormat="1" applyFont="1" applyFill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10" fontId="13" fillId="0" borderId="17" xfId="0" applyNumberFormat="1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7" xfId="0" applyFont="1" applyBorder="1" applyAlignment="1">
      <alignment horizontal="center" vertical="center"/>
    </xf>
    <xf numFmtId="9" fontId="13" fillId="0" borderId="17" xfId="0" applyNumberFormat="1" applyFont="1" applyBorder="1" applyAlignment="1">
      <alignment horizontal="center"/>
    </xf>
    <xf numFmtId="2" fontId="15" fillId="2" borderId="18" xfId="0" applyNumberFormat="1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/>
    </xf>
    <xf numFmtId="10" fontId="11" fillId="0" borderId="0" xfId="0" applyNumberFormat="1" applyFont="1" applyAlignment="1"/>
    <xf numFmtId="0" fontId="0" fillId="0" borderId="0" xfId="0" applyAlignment="1"/>
    <xf numFmtId="2" fontId="15" fillId="0" borderId="31" xfId="0" applyNumberFormat="1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2" fontId="15" fillId="3" borderId="35" xfId="0" applyNumberFormat="1" applyFont="1" applyFill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2" fontId="15" fillId="3" borderId="17" xfId="0" applyNumberFormat="1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2" fontId="15" fillId="3" borderId="29" xfId="0" applyNumberFormat="1" applyFont="1" applyFill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2" fontId="15" fillId="0" borderId="29" xfId="0" applyNumberFormat="1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readingOrder="2"/>
    </xf>
    <xf numFmtId="164" fontId="15" fillId="3" borderId="35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wrapText="1" readingOrder="2"/>
    </xf>
    <xf numFmtId="2" fontId="18" fillId="0" borderId="18" xfId="0" applyNumberFormat="1" applyFont="1" applyBorder="1" applyAlignment="1">
      <alignment horizontal="center" vertical="center"/>
    </xf>
    <xf numFmtId="2" fontId="15" fillId="0" borderId="18" xfId="0" applyNumberFormat="1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2" fontId="15" fillId="3" borderId="19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2" fontId="14" fillId="0" borderId="0" xfId="0" applyNumberFormat="1" applyFont="1" applyAlignment="1">
      <alignment horizontal="right" vertical="center"/>
    </xf>
    <xf numFmtId="2" fontId="1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31" xfId="0" applyFont="1" applyBorder="1" applyAlignment="1">
      <alignment vertical="center"/>
    </xf>
    <xf numFmtId="0" fontId="17" fillId="0" borderId="0" xfId="0" applyFont="1" applyBorder="1" applyAlignment="1"/>
    <xf numFmtId="0" fontId="17" fillId="0" borderId="31" xfId="0" applyFont="1" applyBorder="1" applyAlignment="1"/>
    <xf numFmtId="0" fontId="13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horizontal="right"/>
    </xf>
    <xf numFmtId="0" fontId="15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3" fillId="0" borderId="18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3" fillId="0" borderId="31" xfId="0" applyFont="1" applyBorder="1" applyAlignment="1">
      <alignment horizontal="right" vertical="center"/>
    </xf>
    <xf numFmtId="0" fontId="17" fillId="0" borderId="31" xfId="0" applyFont="1" applyBorder="1" applyAlignment="1">
      <alignment horizontal="right"/>
    </xf>
    <xf numFmtId="0" fontId="18" fillId="0" borderId="31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9" fontId="15" fillId="0" borderId="17" xfId="0" applyNumberFormat="1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10" fontId="15" fillId="0" borderId="17" xfId="0" applyNumberFormat="1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/>
    <xf numFmtId="0" fontId="18" fillId="0" borderId="31" xfId="0" applyFont="1" applyBorder="1" applyAlignment="1"/>
    <xf numFmtId="0" fontId="15" fillId="0" borderId="0" xfId="0" applyFont="1" applyBorder="1" applyAlignment="1">
      <alignment horizontal="center" vertical="center"/>
    </xf>
    <xf numFmtId="0" fontId="15" fillId="0" borderId="31" xfId="0" applyFont="1" applyBorder="1" applyAlignment="1">
      <alignment horizontal="right" vertical="center"/>
    </xf>
    <xf numFmtId="2" fontId="8" fillId="3" borderId="0" xfId="0" applyNumberFormat="1" applyFont="1" applyFill="1" applyBorder="1" applyAlignment="1">
      <alignment horizontal="center" vertical="center"/>
    </xf>
    <xf numFmtId="0" fontId="8" fillId="0" borderId="0" xfId="0" applyFont="1" applyAlignment="1"/>
    <xf numFmtId="0" fontId="7" fillId="0" borderId="20" xfId="2" applyFont="1" applyBorder="1" applyAlignment="1">
      <alignment horizontal="center" vertical="center" readingOrder="2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2" fontId="7" fillId="0" borderId="0" xfId="2" applyNumberFormat="1" applyFont="1" applyBorder="1" applyAlignment="1">
      <alignment horizontal="right"/>
    </xf>
    <xf numFmtId="0" fontId="0" fillId="0" borderId="23" xfId="0" applyBorder="1" applyAlignment="1">
      <alignment horizontal="center" vertical="center" readingOrder="2"/>
    </xf>
    <xf numFmtId="0" fontId="0" fillId="0" borderId="21" xfId="0" applyBorder="1" applyAlignment="1">
      <alignment horizontal="center" vertical="center" readingOrder="2"/>
    </xf>
    <xf numFmtId="2" fontId="7" fillId="0" borderId="20" xfId="2" applyNumberFormat="1" applyFont="1" applyBorder="1" applyAlignment="1">
      <alignment horizontal="center" readingOrder="2"/>
    </xf>
    <xf numFmtId="2" fontId="7" fillId="0" borderId="21" xfId="2" applyNumberFormat="1" applyFont="1" applyBorder="1" applyAlignment="1">
      <alignment horizontal="center" readingOrder="2"/>
    </xf>
    <xf numFmtId="2" fontId="7" fillId="0" borderId="39" xfId="2" applyNumberFormat="1" applyFont="1" applyBorder="1" applyAlignment="1">
      <alignment horizontal="center" vertical="center" readingOrder="2"/>
    </xf>
    <xf numFmtId="0" fontId="0" fillId="0" borderId="15" xfId="0" applyBorder="1" applyAlignment="1">
      <alignment horizontal="center" vertical="center" readingOrder="2"/>
    </xf>
    <xf numFmtId="0" fontId="0" fillId="0" borderId="16" xfId="0" applyBorder="1" applyAlignment="1">
      <alignment horizontal="center" vertical="center" readingOrder="2"/>
    </xf>
    <xf numFmtId="0" fontId="7" fillId="0" borderId="24" xfId="2" applyFont="1" applyBorder="1" applyAlignment="1">
      <alignment horizontal="center" vertical="center" readingOrder="2"/>
    </xf>
    <xf numFmtId="0" fontId="0" fillId="0" borderId="40" xfId="0" applyBorder="1" applyAlignment="1">
      <alignment horizontal="center" vertical="center" readingOrder="2"/>
    </xf>
    <xf numFmtId="0" fontId="0" fillId="0" borderId="25" xfId="0" applyBorder="1" applyAlignment="1">
      <alignment horizontal="center" vertical="center" readingOrder="2"/>
    </xf>
    <xf numFmtId="0" fontId="0" fillId="0" borderId="41" xfId="0" applyBorder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0" fontId="0" fillId="0" borderId="42" xfId="0" applyBorder="1" applyAlignment="1">
      <alignment horizontal="center" vertical="center" readingOrder="2"/>
    </xf>
    <xf numFmtId="0" fontId="0" fillId="0" borderId="43" xfId="0" applyBorder="1" applyAlignment="1">
      <alignment horizontal="center" vertical="center" readingOrder="2"/>
    </xf>
    <xf numFmtId="0" fontId="0" fillId="0" borderId="44" xfId="0" applyBorder="1" applyAlignment="1">
      <alignment horizontal="center" vertical="center" readingOrder="2"/>
    </xf>
    <xf numFmtId="0" fontId="0" fillId="0" borderId="45" xfId="0" applyBorder="1" applyAlignment="1">
      <alignment horizontal="center" vertical="center" readingOrder="2"/>
    </xf>
    <xf numFmtId="2" fontId="7" fillId="0" borderId="20" xfId="2" applyNumberFormat="1" applyFont="1" applyBorder="1" applyAlignment="1">
      <alignment horizontal="center"/>
    </xf>
    <xf numFmtId="2" fontId="7" fillId="0" borderId="21" xfId="2" applyNumberFormat="1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9" fontId="7" fillId="0" borderId="22" xfId="2" applyNumberFormat="1" applyFont="1" applyBorder="1" applyAlignment="1">
      <alignment horizontal="center" vertical="center" readingOrder="2"/>
    </xf>
    <xf numFmtId="0" fontId="7" fillId="0" borderId="22" xfId="2" applyFont="1" applyBorder="1" applyAlignment="1">
      <alignment horizontal="center" vertical="center" readingOrder="2"/>
    </xf>
    <xf numFmtId="9" fontId="7" fillId="0" borderId="20" xfId="2" applyNumberFormat="1" applyFont="1" applyBorder="1" applyAlignment="1">
      <alignment horizontal="center" vertical="center" readingOrder="2"/>
    </xf>
    <xf numFmtId="0" fontId="7" fillId="0" borderId="23" xfId="2" applyFont="1" applyBorder="1" applyAlignment="1">
      <alignment horizontal="center" vertical="center" readingOrder="2"/>
    </xf>
    <xf numFmtId="2" fontId="7" fillId="0" borderId="22" xfId="2" applyNumberFormat="1" applyFont="1" applyBorder="1" applyAlignment="1">
      <alignment horizontal="center"/>
    </xf>
    <xf numFmtId="0" fontId="16" fillId="0" borderId="23" xfId="0" applyFont="1" applyBorder="1" applyAlignment="1">
      <alignment horizontal="center" vertical="center" readingOrder="2"/>
    </xf>
    <xf numFmtId="0" fontId="7" fillId="0" borderId="20" xfId="2" applyFont="1" applyBorder="1" applyAlignment="1">
      <alignment horizontal="center" vertical="center" shrinkToFit="1" readingOrder="2"/>
    </xf>
    <xf numFmtId="0" fontId="7" fillId="0" borderId="23" xfId="2" applyFont="1" applyBorder="1" applyAlignment="1">
      <alignment horizontal="center" vertical="center" shrinkToFit="1" readingOrder="2"/>
    </xf>
    <xf numFmtId="0" fontId="16" fillId="0" borderId="21" xfId="0" applyFont="1" applyBorder="1" applyAlignment="1">
      <alignment horizontal="center" vertical="center" shrinkToFit="1" readingOrder="2"/>
    </xf>
    <xf numFmtId="49" fontId="7" fillId="0" borderId="20" xfId="2" applyNumberFormat="1" applyFont="1" applyBorder="1" applyAlignment="1">
      <alignment horizontal="center" vertical="center" readingOrder="2"/>
    </xf>
    <xf numFmtId="49" fontId="16" fillId="0" borderId="23" xfId="0" applyNumberFormat="1" applyFont="1" applyBorder="1" applyAlignment="1">
      <alignment horizontal="center" vertical="center" readingOrder="2"/>
    </xf>
    <xf numFmtId="10" fontId="7" fillId="0" borderId="22" xfId="2" applyNumberFormat="1" applyFont="1" applyBorder="1" applyAlignment="1">
      <alignment horizontal="center" vertical="center" readingOrder="2"/>
    </xf>
    <xf numFmtId="2" fontId="7" fillId="0" borderId="22" xfId="2" applyNumberFormat="1" applyFont="1" applyBorder="1" applyAlignment="1">
      <alignment horizontal="center" readingOrder="2"/>
    </xf>
    <xf numFmtId="9" fontId="7" fillId="0" borderId="20" xfId="1" applyFont="1" applyBorder="1" applyAlignment="1">
      <alignment horizontal="center" readingOrder="2"/>
    </xf>
    <xf numFmtId="9" fontId="7" fillId="0" borderId="21" xfId="1" applyFont="1" applyBorder="1" applyAlignment="1">
      <alignment horizontal="center" readingOrder="2"/>
    </xf>
    <xf numFmtId="0" fontId="7" fillId="0" borderId="0" xfId="2" applyFont="1" applyBorder="1" applyAlignment="1">
      <alignment horizontal="center" vertical="center" readingOrder="2"/>
    </xf>
    <xf numFmtId="0" fontId="7" fillId="0" borderId="0" xfId="2" applyFont="1" applyBorder="1" applyAlignment="1">
      <alignment horizontal="right" vertical="center" readingOrder="2"/>
    </xf>
    <xf numFmtId="2" fontId="7" fillId="0" borderId="0" xfId="2" applyNumberFormat="1" applyFont="1" applyBorder="1" applyAlignment="1">
      <alignment horizontal="right" vertical="center" readingOrder="2"/>
    </xf>
    <xf numFmtId="0" fontId="0" fillId="0" borderId="0" xfId="0" applyAlignment="1">
      <alignment horizontal="right" vertical="center" readingOrder="2"/>
    </xf>
    <xf numFmtId="2" fontId="7" fillId="0" borderId="0" xfId="2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7" xfId="0" applyFont="1" applyBorder="1" applyAlignment="1"/>
    <xf numFmtId="0" fontId="0" fillId="0" borderId="17" xfId="0" applyBorder="1" applyAlignment="1"/>
    <xf numFmtId="0" fontId="2" fillId="0" borderId="18" xfId="0" applyFont="1" applyBorder="1" applyAlignment="1"/>
    <xf numFmtId="0" fontId="0" fillId="0" borderId="19" xfId="0" applyBorder="1" applyAlignment="1"/>
    <xf numFmtId="0" fontId="19" fillId="0" borderId="0" xfId="0" applyFont="1" applyAlignment="1">
      <alignment horizontal="center" vertical="center"/>
    </xf>
  </cellXfs>
  <cellStyles count="3">
    <cellStyle name="Normal" xfId="0" builtinId="0"/>
    <cellStyle name="Normal 3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6;&#1605;&#1608;&#1584;&#1580;_&#1605;&#1585;&#1578;&#1576;_-_Copy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"/>
      <sheetName val="1 ادارى"/>
      <sheetName val="خلفية"/>
      <sheetName val="مدرس"/>
      <sheetName val="ادارى"/>
      <sheetName val="خلفية جديده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Z94"/>
  <sheetViews>
    <sheetView showZeros="0" rightToLeft="1" view="pageBreakPreview" topLeftCell="A5" zoomScale="60" zoomScaleNormal="100" workbookViewId="0">
      <pane xSplit="3" ySplit="5" topLeftCell="D40" activePane="bottomRight" state="frozen"/>
      <selection activeCell="A5" sqref="A5"/>
      <selection pane="topRight" activeCell="C5" sqref="C5"/>
      <selection pane="bottomLeft" activeCell="A9" sqref="A9"/>
      <selection pane="bottomRight" activeCell="D44" sqref="D44"/>
    </sheetView>
  </sheetViews>
  <sheetFormatPr defaultRowHeight="15"/>
  <cols>
    <col min="2" max="2" width="19" bestFit="1" customWidth="1"/>
    <col min="3" max="3" width="10.5703125" customWidth="1"/>
    <col min="4" max="4" width="5.85546875" customWidth="1"/>
    <col min="5" max="5" width="9.42578125" customWidth="1"/>
    <col min="6" max="6" width="12" bestFit="1" customWidth="1"/>
    <col min="7" max="9" width="10.85546875" bestFit="1" customWidth="1"/>
    <col min="10" max="10" width="11.140625" bestFit="1" customWidth="1"/>
    <col min="11" max="11" width="10.5703125" bestFit="1" customWidth="1"/>
    <col min="12" max="12" width="12.28515625" bestFit="1" customWidth="1"/>
    <col min="13" max="13" width="7.7109375" customWidth="1"/>
    <col min="14" max="14" width="7.28515625" bestFit="1" customWidth="1"/>
    <col min="15" max="22" width="7.7109375" customWidth="1"/>
    <col min="23" max="23" width="6.140625" customWidth="1"/>
    <col min="24" max="24" width="6" customWidth="1"/>
    <col min="25" max="25" width="9.140625" bestFit="1" customWidth="1"/>
    <col min="26" max="26" width="12" style="1" bestFit="1" customWidth="1"/>
    <col min="27" max="27" width="10.5703125" style="1" bestFit="1" customWidth="1"/>
    <col min="28" max="28" width="9.42578125" style="1" bestFit="1" customWidth="1"/>
    <col min="29" max="29" width="9.85546875" bestFit="1" customWidth="1"/>
    <col min="30" max="31" width="9.140625" bestFit="1" customWidth="1"/>
    <col min="32" max="32" width="8.28515625" customWidth="1"/>
    <col min="33" max="33" width="13.7109375" style="1" bestFit="1" customWidth="1"/>
    <col min="34" max="34" width="8.85546875" customWidth="1"/>
    <col min="35" max="35" width="12.28515625" style="1" bestFit="1" customWidth="1"/>
    <col min="36" max="36" width="10.28515625" customWidth="1"/>
    <col min="37" max="38" width="10.85546875" style="1" bestFit="1" customWidth="1"/>
    <col min="39" max="39" width="9.85546875" customWidth="1"/>
    <col min="40" max="40" width="9.140625" bestFit="1" customWidth="1"/>
    <col min="41" max="41" width="7.7109375" style="1" customWidth="1"/>
    <col min="42" max="42" width="10.85546875" style="1" bestFit="1" customWidth="1"/>
    <col min="43" max="43" width="9.140625" style="1" bestFit="1" customWidth="1"/>
    <col min="44" max="44" width="7.7109375" customWidth="1"/>
    <col min="45" max="45" width="9.140625" bestFit="1" customWidth="1"/>
    <col min="46" max="46" width="11.140625" bestFit="1" customWidth="1"/>
    <col min="47" max="47" width="9.140625" customWidth="1"/>
    <col min="48" max="48" width="10.140625" customWidth="1"/>
    <col min="49" max="49" width="7.7109375" customWidth="1"/>
    <col min="50" max="50" width="9.140625" customWidth="1"/>
    <col min="51" max="51" width="10.85546875" bestFit="1" customWidth="1"/>
    <col min="52" max="52" width="8.7109375" customWidth="1"/>
    <col min="53" max="53" width="9.42578125" bestFit="1" customWidth="1"/>
    <col min="54" max="54" width="7.7109375" customWidth="1"/>
    <col min="55" max="55" width="9.42578125" customWidth="1"/>
    <col min="56" max="57" width="7.7109375" customWidth="1"/>
    <col min="58" max="58" width="9.42578125" bestFit="1" customWidth="1"/>
    <col min="59" max="59" width="7.7109375" customWidth="1"/>
    <col min="60" max="60" width="9.42578125" bestFit="1" customWidth="1"/>
    <col min="61" max="61" width="13.7109375" style="1" customWidth="1"/>
    <col min="62" max="62" width="12" style="1" bestFit="1" customWidth="1"/>
    <col min="63" max="63" width="29" customWidth="1"/>
    <col min="64" max="64" width="8" bestFit="1" customWidth="1"/>
    <col min="65" max="65" width="9.5703125" hidden="1" customWidth="1"/>
    <col min="66" max="66" width="11.28515625" hidden="1" customWidth="1"/>
    <col min="67" max="67" width="9.140625" style="101"/>
    <col min="68" max="68" width="12.42578125" style="101" bestFit="1" customWidth="1"/>
    <col min="69" max="69" width="16.5703125" style="101" bestFit="1" customWidth="1"/>
    <col min="70" max="70" width="13.140625" style="101" bestFit="1" customWidth="1"/>
    <col min="71" max="74" width="9.140625" style="101"/>
  </cols>
  <sheetData>
    <row r="5" spans="1:74">
      <c r="A5">
        <v>1</v>
      </c>
      <c r="B5">
        <v>2</v>
      </c>
      <c r="C5">
        <v>3</v>
      </c>
      <c r="D5">
        <v>1</v>
      </c>
      <c r="E5">
        <v>2</v>
      </c>
      <c r="F5">
        <v>3</v>
      </c>
      <c r="G5">
        <v>4</v>
      </c>
      <c r="H5">
        <v>5</v>
      </c>
      <c r="I5">
        <v>6</v>
      </c>
      <c r="J5">
        <v>7</v>
      </c>
      <c r="K5">
        <v>8</v>
      </c>
      <c r="L5">
        <v>9</v>
      </c>
      <c r="M5">
        <v>10</v>
      </c>
      <c r="N5">
        <v>11</v>
      </c>
      <c r="O5">
        <v>12</v>
      </c>
      <c r="P5">
        <v>13</v>
      </c>
      <c r="Q5">
        <v>14</v>
      </c>
      <c r="R5">
        <v>15</v>
      </c>
      <c r="S5">
        <v>16</v>
      </c>
      <c r="T5">
        <v>17</v>
      </c>
      <c r="U5">
        <v>18</v>
      </c>
      <c r="V5">
        <v>19</v>
      </c>
      <c r="W5">
        <v>20</v>
      </c>
      <c r="X5">
        <v>21</v>
      </c>
      <c r="Y5">
        <v>22</v>
      </c>
      <c r="Z5">
        <v>23</v>
      </c>
      <c r="AA5">
        <v>24</v>
      </c>
      <c r="AB5">
        <v>25</v>
      </c>
      <c r="AC5">
        <v>26</v>
      </c>
      <c r="AD5">
        <v>27</v>
      </c>
      <c r="AE5">
        <v>28</v>
      </c>
      <c r="AF5">
        <v>29</v>
      </c>
      <c r="AG5">
        <v>30</v>
      </c>
      <c r="AH5">
        <v>31</v>
      </c>
      <c r="AI5">
        <v>32</v>
      </c>
      <c r="AJ5">
        <v>33</v>
      </c>
      <c r="AK5">
        <v>34</v>
      </c>
      <c r="AL5">
        <v>35</v>
      </c>
      <c r="AM5">
        <v>36</v>
      </c>
      <c r="AN5">
        <v>37</v>
      </c>
      <c r="AO5">
        <v>38</v>
      </c>
      <c r="AP5">
        <v>39</v>
      </c>
      <c r="AQ5">
        <v>40</v>
      </c>
      <c r="AR5">
        <v>41</v>
      </c>
      <c r="AS5">
        <v>42</v>
      </c>
      <c r="AT5">
        <v>43</v>
      </c>
      <c r="AU5">
        <v>44</v>
      </c>
      <c r="AV5">
        <v>45</v>
      </c>
      <c r="AW5">
        <v>46</v>
      </c>
      <c r="AX5">
        <v>47</v>
      </c>
      <c r="AY5">
        <v>48</v>
      </c>
      <c r="AZ5">
        <v>49</v>
      </c>
      <c r="BA5">
        <v>50</v>
      </c>
      <c r="BB5">
        <v>51</v>
      </c>
      <c r="BC5">
        <v>52</v>
      </c>
      <c r="BD5">
        <v>53</v>
      </c>
      <c r="BE5">
        <v>54</v>
      </c>
      <c r="BF5">
        <v>55</v>
      </c>
      <c r="BG5">
        <v>56</v>
      </c>
      <c r="BH5">
        <v>57</v>
      </c>
      <c r="BI5">
        <v>58</v>
      </c>
      <c r="BJ5">
        <v>59</v>
      </c>
      <c r="BK5">
        <v>60</v>
      </c>
      <c r="BL5">
        <v>61</v>
      </c>
      <c r="BM5">
        <v>62</v>
      </c>
      <c r="BN5">
        <v>63</v>
      </c>
      <c r="BO5" s="101">
        <v>64</v>
      </c>
      <c r="BP5" s="101">
        <v>65</v>
      </c>
      <c r="BQ5" s="101">
        <v>66</v>
      </c>
      <c r="BR5" s="101">
        <v>67</v>
      </c>
      <c r="BS5" s="101">
        <v>68</v>
      </c>
      <c r="BT5" s="101">
        <v>69</v>
      </c>
      <c r="BU5" s="101">
        <v>70</v>
      </c>
      <c r="BV5" s="101">
        <v>71</v>
      </c>
    </row>
    <row r="6" spans="1:74" s="43" customFormat="1" ht="30.75" customHeight="1" thickBot="1">
      <c r="F6" s="43">
        <v>1</v>
      </c>
      <c r="L6" s="44"/>
      <c r="V6" s="43">
        <v>1</v>
      </c>
      <c r="AA6" s="43">
        <v>1</v>
      </c>
      <c r="AG6" s="43">
        <v>1</v>
      </c>
      <c r="AP6" s="43">
        <v>2</v>
      </c>
      <c r="AT6" s="43">
        <v>1</v>
      </c>
      <c r="AZ6" s="43">
        <v>1</v>
      </c>
      <c r="BJ6" s="43">
        <v>3</v>
      </c>
      <c r="BO6" s="158"/>
      <c r="BP6" s="158"/>
      <c r="BQ6" s="158"/>
      <c r="BR6" s="158"/>
      <c r="BS6" s="158"/>
      <c r="BT6" s="158"/>
      <c r="BU6" s="158"/>
      <c r="BV6" s="158"/>
    </row>
    <row r="7" spans="1:74" s="16" customFormat="1" ht="15.75" customHeight="1" thickTop="1">
      <c r="D7" s="166" t="s">
        <v>0</v>
      </c>
      <c r="E7" s="169" t="s">
        <v>7</v>
      </c>
      <c r="F7" s="172" t="s">
        <v>9</v>
      </c>
      <c r="G7" s="174">
        <v>44206</v>
      </c>
      <c r="H7" s="175"/>
      <c r="I7" s="175"/>
      <c r="J7" s="175"/>
      <c r="K7" s="175"/>
      <c r="L7" s="175"/>
      <c r="M7" s="175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7"/>
      <c r="AG7" s="17"/>
      <c r="AH7" s="178" t="s">
        <v>61</v>
      </c>
      <c r="AI7" s="176"/>
      <c r="AJ7" s="176"/>
      <c r="AK7" s="176"/>
      <c r="AL7" s="176"/>
      <c r="AM7" s="176"/>
      <c r="AN7" s="176"/>
      <c r="AO7" s="176"/>
      <c r="AP7" s="176"/>
      <c r="AQ7" s="177"/>
      <c r="AR7" s="178" t="s">
        <v>62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6"/>
      <c r="BD7" s="176"/>
      <c r="BE7" s="176"/>
      <c r="BF7" s="176"/>
      <c r="BG7" s="176"/>
      <c r="BH7" s="177"/>
      <c r="BI7" s="179" t="s">
        <v>38</v>
      </c>
      <c r="BJ7" s="179" t="s">
        <v>39</v>
      </c>
      <c r="BK7" s="181" t="s">
        <v>40</v>
      </c>
      <c r="BL7" s="181" t="s">
        <v>50</v>
      </c>
      <c r="BM7" s="181" t="s">
        <v>41</v>
      </c>
      <c r="BN7" s="163"/>
      <c r="BO7" s="38"/>
      <c r="BP7" s="38"/>
      <c r="BQ7" s="38"/>
      <c r="BR7" s="38"/>
      <c r="BS7" s="38"/>
      <c r="BT7" s="38"/>
      <c r="BU7" s="38"/>
      <c r="BV7" s="38"/>
    </row>
    <row r="8" spans="1:74" s="18" customFormat="1" ht="52.5" customHeight="1">
      <c r="C8" s="18" t="s">
        <v>77</v>
      </c>
      <c r="D8" s="167"/>
      <c r="E8" s="170"/>
      <c r="F8" s="173"/>
      <c r="G8" s="19" t="s">
        <v>1</v>
      </c>
      <c r="H8" s="20" t="s">
        <v>2</v>
      </c>
      <c r="I8" s="20" t="s">
        <v>3</v>
      </c>
      <c r="J8" s="9" t="s">
        <v>4</v>
      </c>
      <c r="K8" s="9" t="s">
        <v>5</v>
      </c>
      <c r="L8" s="9" t="s">
        <v>6</v>
      </c>
      <c r="M8" s="9" t="s">
        <v>8</v>
      </c>
      <c r="N8" s="9" t="s">
        <v>10</v>
      </c>
      <c r="O8" s="9">
        <v>2019</v>
      </c>
      <c r="P8" s="9">
        <v>2020</v>
      </c>
      <c r="Q8" s="9">
        <v>2021</v>
      </c>
      <c r="R8" s="20" t="s">
        <v>56</v>
      </c>
      <c r="S8" s="20" t="s">
        <v>301</v>
      </c>
      <c r="T8" s="20" t="s">
        <v>58</v>
      </c>
      <c r="U8" s="20" t="s">
        <v>117</v>
      </c>
      <c r="V8" s="20" t="s">
        <v>118</v>
      </c>
      <c r="W8" s="9" t="s">
        <v>11</v>
      </c>
      <c r="X8" s="9" t="s">
        <v>12</v>
      </c>
      <c r="Y8" s="20" t="s">
        <v>120</v>
      </c>
      <c r="Z8" s="21" t="s">
        <v>13</v>
      </c>
      <c r="AA8" s="21" t="s">
        <v>14</v>
      </c>
      <c r="AB8" s="21" t="s">
        <v>15</v>
      </c>
      <c r="AC8" s="22">
        <v>0.91500000000000004</v>
      </c>
      <c r="AD8" s="20" t="s">
        <v>59</v>
      </c>
      <c r="AE8" s="20" t="s">
        <v>16</v>
      </c>
      <c r="AF8" s="20" t="s">
        <v>17</v>
      </c>
      <c r="AG8" s="21" t="s">
        <v>18</v>
      </c>
      <c r="AH8" s="20" t="s">
        <v>19</v>
      </c>
      <c r="AI8" s="21" t="s">
        <v>64</v>
      </c>
      <c r="AJ8" s="20" t="s">
        <v>20</v>
      </c>
      <c r="AK8" s="23">
        <v>0.01</v>
      </c>
      <c r="AL8" s="21" t="s">
        <v>60</v>
      </c>
      <c r="AM8" s="20" t="s">
        <v>21</v>
      </c>
      <c r="AN8" s="23">
        <v>0.02</v>
      </c>
      <c r="AO8" s="21" t="s">
        <v>22</v>
      </c>
      <c r="AP8" s="21" t="s">
        <v>23</v>
      </c>
      <c r="AQ8" s="21" t="s">
        <v>24</v>
      </c>
      <c r="AR8" s="20" t="s">
        <v>25</v>
      </c>
      <c r="AS8" s="20" t="s">
        <v>26</v>
      </c>
      <c r="AT8" s="20" t="s">
        <v>27</v>
      </c>
      <c r="AU8" s="20" t="s">
        <v>28</v>
      </c>
      <c r="AV8" s="20" t="s">
        <v>29</v>
      </c>
      <c r="AW8" s="20" t="s">
        <v>30</v>
      </c>
      <c r="AX8" s="20" t="s">
        <v>31</v>
      </c>
      <c r="AY8" s="20" t="s">
        <v>32</v>
      </c>
      <c r="AZ8" s="20" t="s">
        <v>33</v>
      </c>
      <c r="BA8" s="20" t="s">
        <v>34</v>
      </c>
      <c r="BB8" s="20" t="s">
        <v>35</v>
      </c>
      <c r="BC8" s="20" t="s">
        <v>32</v>
      </c>
      <c r="BD8" s="20" t="s">
        <v>36</v>
      </c>
      <c r="BE8" s="20" t="s">
        <v>121</v>
      </c>
      <c r="BF8" s="9" t="s">
        <v>233</v>
      </c>
      <c r="BG8" s="20" t="s">
        <v>305</v>
      </c>
      <c r="BH8" s="20" t="s">
        <v>37</v>
      </c>
      <c r="BI8" s="180"/>
      <c r="BJ8" s="180"/>
      <c r="BK8" s="182"/>
      <c r="BL8" s="182"/>
      <c r="BM8" s="182"/>
      <c r="BN8" s="164"/>
      <c r="BO8" s="159"/>
      <c r="BP8" s="159"/>
      <c r="BQ8" s="159" t="s">
        <v>212</v>
      </c>
      <c r="BR8" s="159" t="s">
        <v>373</v>
      </c>
      <c r="BS8" s="159"/>
      <c r="BT8" s="159"/>
      <c r="BU8" s="159"/>
      <c r="BV8" s="159"/>
    </row>
    <row r="9" spans="1:74" s="16" customFormat="1" ht="19.5" thickBot="1">
      <c r="D9" s="168"/>
      <c r="E9" s="171"/>
      <c r="F9" s="24"/>
      <c r="G9" s="25"/>
      <c r="H9" s="25"/>
      <c r="I9" s="25"/>
      <c r="J9" s="25"/>
      <c r="K9" s="25"/>
      <c r="L9" s="25"/>
      <c r="M9" s="25"/>
      <c r="N9" s="25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7"/>
      <c r="AA9" s="27"/>
      <c r="AB9" s="27"/>
      <c r="AC9" s="26"/>
      <c r="AD9" s="26"/>
      <c r="AE9" s="26"/>
      <c r="AF9" s="37">
        <v>10</v>
      </c>
      <c r="AG9" s="27"/>
      <c r="AH9" s="26"/>
      <c r="AI9" s="27"/>
      <c r="AJ9" s="26"/>
      <c r="AK9" s="27"/>
      <c r="AL9" s="27"/>
      <c r="AM9" s="26"/>
      <c r="AN9" s="26"/>
      <c r="AO9" s="27"/>
      <c r="AP9" s="27"/>
      <c r="AQ9" s="27"/>
      <c r="AR9" s="26"/>
      <c r="AS9" s="26"/>
      <c r="AT9" s="36">
        <v>4.5</v>
      </c>
      <c r="AU9" s="36">
        <v>2</v>
      </c>
      <c r="AV9" s="36">
        <v>0.25</v>
      </c>
      <c r="AW9" s="36">
        <v>3</v>
      </c>
      <c r="AX9" s="36">
        <v>0.5</v>
      </c>
      <c r="AY9" s="26"/>
      <c r="AZ9" s="26"/>
      <c r="BA9" s="26" t="s">
        <v>99</v>
      </c>
      <c r="BB9" s="26"/>
      <c r="BC9" s="26"/>
      <c r="BD9" s="26"/>
      <c r="BE9" s="26"/>
      <c r="BF9" s="26"/>
      <c r="BG9" s="26"/>
      <c r="BH9" s="26"/>
      <c r="BI9" s="27"/>
      <c r="BJ9" s="27"/>
      <c r="BK9" s="183"/>
      <c r="BL9" s="183"/>
      <c r="BM9" s="183"/>
      <c r="BN9" s="165"/>
      <c r="BO9" s="38"/>
      <c r="BP9" s="38"/>
      <c r="BQ9" s="38"/>
      <c r="BR9" s="38"/>
      <c r="BS9" s="38"/>
      <c r="BT9" s="38"/>
      <c r="BU9" s="38"/>
      <c r="BV9" s="38"/>
    </row>
    <row r="10" spans="1:74" ht="24" customHeight="1">
      <c r="B10" t="str">
        <f>BK10</f>
        <v>وصال حسين بلحه</v>
      </c>
      <c r="C10" s="1">
        <v>695.46</v>
      </c>
      <c r="D10" s="3">
        <v>1</v>
      </c>
      <c r="E10" s="4"/>
      <c r="F10" s="5">
        <v>2134.0300000000002</v>
      </c>
      <c r="G10" s="5">
        <v>65.349999999999994</v>
      </c>
      <c r="H10" s="6">
        <f t="shared" ref="H10:H34" si="0">IF(BO10="مدرس",C10*10%,"")</f>
        <v>69.546000000000006</v>
      </c>
      <c r="I10" s="6">
        <f t="shared" ref="I10:I34" si="1">IF(BO10="مدرس",C10*25%,"")</f>
        <v>173.86500000000001</v>
      </c>
      <c r="J10" s="6">
        <f t="shared" ref="J10:J34" si="2">IF(BO10="مدرس",ROUND(IF(BL10="كبير",C10*25%,IF(BL10="كبير ا",C10*25%,IF(BL10="اولى",C10*25%,IF(BL10="ثانيه",C10*50%,IF(BL10="ثالثه",C10*75%,IF(BL10="م م",C10*125%,)))))),2),"")</f>
        <v>173.87</v>
      </c>
      <c r="K10" s="6">
        <f t="shared" ref="K10:K34" si="3">IF(BO10="مدرس",C10*50%,"")</f>
        <v>347.73</v>
      </c>
      <c r="L10" s="5">
        <v>1390.92</v>
      </c>
      <c r="M10" s="28"/>
      <c r="N10" s="33">
        <f>IF(BO10="مدرس",IF(BL10="كبير ا",300,IF(BL10="كبير",325,IF(BL10="اولى",350,IF(BL10="ثانيه",375,IF(BL10="ثالثه",400,""))))),"")</f>
        <v>300</v>
      </c>
      <c r="O10" s="4">
        <v>150</v>
      </c>
      <c r="P10" s="4">
        <v>350</v>
      </c>
      <c r="Q10" s="34">
        <f>IF(BL10="كبير ا",375,IF(BL10="كبير",350,IF(BL10="اولى",325,IF(BL10="ثانيه",275,IF(BL10="ثالثه",225,)))))</f>
        <v>375</v>
      </c>
      <c r="R10" s="4"/>
      <c r="S10" s="34">
        <f>IF(BO10="مدرس",IF(BL10="كبير ا",180,IF(BL10="كبير",165,IF(BL10="اولى",125,IF(BL10="ثانيه",100,IF(BL10="ثالثه",75,))))),"")</f>
        <v>180</v>
      </c>
      <c r="T10" s="34">
        <f>IF(BO10="مدرس",IF(BL10="كبير ا",140,IF(BL10="كبير",145,IF(BL10="اولى",150,IF(BL10="ثانيه",165,IF(BL10="ثالثه",185,))))),"")</f>
        <v>140</v>
      </c>
      <c r="U10" s="34">
        <f>IF(BO10="مدرس",IF(BL10="كبير ا",155,IF(BL10="كبير",140,IF(BL10="اولى",120,IF(BL10="ثانيه",85,IF(BL10="ثالثه",65,))))),"")</f>
        <v>155</v>
      </c>
      <c r="V10" s="4" t="str">
        <f>IF(BO10="مدرس","",IF(BL10="اولى",85,IF(BL10="ثانيه",65,IF(BL10="ثالثه",55,IF(BL10="رابعه",50,IF(BL10="خامسه",50,))))))</f>
        <v/>
      </c>
      <c r="W10" s="4">
        <v>2</v>
      </c>
      <c r="X10" s="4">
        <v>4</v>
      </c>
      <c r="Y10" s="5"/>
      <c r="Z10" s="5"/>
      <c r="AA10" s="5"/>
      <c r="AB10" s="5"/>
      <c r="AC10" s="5"/>
      <c r="AD10" s="4"/>
      <c r="AE10" s="4"/>
      <c r="AF10" s="4">
        <f t="shared" ref="AF10:AF34" si="4">IF(BO10="مدرس",AF9,"")</f>
        <v>10</v>
      </c>
      <c r="AG10" s="6">
        <f>SUM(F10:AF10)</f>
        <v>6021.3109999999997</v>
      </c>
      <c r="AH10" s="4"/>
      <c r="AI10" s="6">
        <f>SUM(F10:AE10)*9%</f>
        <v>541.01798999999994</v>
      </c>
      <c r="AJ10" s="4"/>
      <c r="AK10" s="6">
        <f>SUM(F10:AE10)*1%</f>
        <v>60.113109999999999</v>
      </c>
      <c r="AL10" s="6">
        <f>SUM(F10:AE10)*1%</f>
        <v>60.113109999999999</v>
      </c>
      <c r="AM10" s="7">
        <v>9.5</v>
      </c>
      <c r="AN10" s="6">
        <f>IF(BO10="مدرس",IF(BL10="كبير ا",3.1,IF(BL10="كبير",2.8,IF(BL10="اولى",2.4,IF(BL10="ثانيه",1.7,IF(BL10="ثالثه",1.3,))))),"")</f>
        <v>3.1</v>
      </c>
      <c r="AO10" s="5"/>
      <c r="AP10" s="5">
        <v>193.7</v>
      </c>
      <c r="AQ10" s="5">
        <v>36.6</v>
      </c>
      <c r="AR10" s="5"/>
      <c r="AS10" s="5">
        <v>2.5</v>
      </c>
      <c r="AT10" s="6">
        <f t="shared" ref="AT10:AT34" si="5">IF($BO10="مدرس",AT9,"")</f>
        <v>4.5</v>
      </c>
      <c r="AU10" s="6">
        <f t="shared" ref="AU10:AU34" si="6">IF($BO10="مدرس",AU9,"")</f>
        <v>2</v>
      </c>
      <c r="AV10" s="6">
        <f t="shared" ref="AV10:AV34" si="7">IF($BO10="مدرس",AV9,"")</f>
        <v>0.25</v>
      </c>
      <c r="AW10" s="6">
        <f t="shared" ref="AW10:AW34" si="8">IF($BO10="مدرس",AW9,"")</f>
        <v>3</v>
      </c>
      <c r="AX10" s="6">
        <f t="shared" ref="AX10:AX34" si="9">IF($BO10="مدرس",AX9,"")</f>
        <v>0.5</v>
      </c>
      <c r="AY10" s="6">
        <f t="shared" ref="AY10:AY34" si="10">IF(BO10="مدرس",F10*7%,"")</f>
        <v>149.38210000000004</v>
      </c>
      <c r="AZ10" s="5"/>
      <c r="BA10" s="5"/>
      <c r="BB10" s="5"/>
      <c r="BC10" s="5"/>
      <c r="BD10" s="5"/>
      <c r="BE10" s="4"/>
      <c r="BF10" s="4"/>
      <c r="BG10" s="4"/>
      <c r="BH10" s="7">
        <v>0.03</v>
      </c>
      <c r="BI10" s="6">
        <f t="shared" ref="BI10:BI34" si="11">SUM(AH10:BH10)</f>
        <v>1066.3063100000002</v>
      </c>
      <c r="BJ10" s="6">
        <f t="shared" ref="BJ10:BJ34" si="12">AG10-BI10</f>
        <v>4955.0046899999998</v>
      </c>
      <c r="BK10" s="8" t="s">
        <v>78</v>
      </c>
      <c r="BL10" s="8" t="s">
        <v>116</v>
      </c>
      <c r="BM10" s="8"/>
      <c r="BN10" s="154"/>
      <c r="BO10" s="101" t="s">
        <v>119</v>
      </c>
      <c r="BP10" s="42" t="s">
        <v>229</v>
      </c>
      <c r="BQ10" s="160">
        <f t="shared" ref="BQ10:BQ42" si="13">SUM(O10:Q10)</f>
        <v>875</v>
      </c>
      <c r="BR10" s="161"/>
      <c r="BT10" s="101" t="s">
        <v>116</v>
      </c>
    </row>
    <row r="11" spans="1:74" ht="24" customHeight="1">
      <c r="B11" t="str">
        <f t="shared" ref="B11:B34" si="14">BK11</f>
        <v>عاطف عبدالعظيم النجار</v>
      </c>
      <c r="C11" s="1">
        <v>576.69000000000005</v>
      </c>
      <c r="D11" s="3">
        <v>2</v>
      </c>
      <c r="E11" s="4"/>
      <c r="F11" s="5">
        <v>1821.85</v>
      </c>
      <c r="G11" s="5">
        <v>53.6</v>
      </c>
      <c r="H11" s="6">
        <f t="shared" si="0"/>
        <v>57.669000000000011</v>
      </c>
      <c r="I11" s="6">
        <f t="shared" si="1"/>
        <v>144.17250000000001</v>
      </c>
      <c r="J11" s="6">
        <f t="shared" si="2"/>
        <v>144.16999999999999</v>
      </c>
      <c r="K11" s="6">
        <f t="shared" si="3"/>
        <v>288.34500000000003</v>
      </c>
      <c r="L11" s="5">
        <v>1197.3699999999999</v>
      </c>
      <c r="M11" s="28"/>
      <c r="N11" s="33">
        <f t="shared" ref="N11:N34" si="15">IF(BO11="مدرس",IF(BL11="كبير ا",300,IF(BL11="كبير",325,IF(BL11="اولى",350,IF(BL11="ثانيه",375,IF(BL11="ثالثه",400,""))))),"")</f>
        <v>300</v>
      </c>
      <c r="O11" s="4">
        <v>150</v>
      </c>
      <c r="P11" s="4">
        <v>325</v>
      </c>
      <c r="Q11" s="34">
        <f t="shared" ref="Q11:Q34" si="16">IF(BL11="كبير ا",375,IF(BL11="كبير",350,IF(BL11="اولى",325,IF(BL11="ثانيه",275,IF(BL11="ثالثه",225,)))))</f>
        <v>375</v>
      </c>
      <c r="R11" s="4"/>
      <c r="S11" s="34">
        <f t="shared" ref="S11:S34" si="17">IF(BO11="مدرس",IF(BL11="كبير ا",180,IF(BL11="كبير",165,IF(BL11="اولى",125,IF(BL11="ثانيه",100,IF(BL11="ثالثه",75,))))),"")</f>
        <v>180</v>
      </c>
      <c r="T11" s="34">
        <f t="shared" ref="T11:T34" si="18">IF(BO11="مدرس",IF(BL11="كبير ا",140,IF(BL11="كبير",145,IF(BL11="اولى",150,IF(BL11="ثانيه",165,IF(BL11="ثالثه",185,))))),"")</f>
        <v>140</v>
      </c>
      <c r="U11" s="34">
        <f t="shared" ref="U11:U34" si="19">IF(BO11="مدرس",IF(BL11="كبير ا",155,IF(BL11="كبير",140,IF(BL11="اولى",120,IF(BL11="ثانيه",85,IF(BL11="ثالثه",65,))))),"")</f>
        <v>155</v>
      </c>
      <c r="V11" s="4" t="str">
        <f t="shared" ref="V11:V34" si="20">IF(BO11="مدرس","",IF(BL11="اولى",85,IF(BL11="ثانيه",65,IF(BL11="ثالثه",55,IF(BL11="رابعه",50,IF(BL11="خامسه",50,))))))</f>
        <v/>
      </c>
      <c r="W11" s="4">
        <v>6</v>
      </c>
      <c r="X11" s="4">
        <v>4</v>
      </c>
      <c r="Y11" s="5"/>
      <c r="Z11" s="5"/>
      <c r="AA11" s="5"/>
      <c r="AB11" s="5"/>
      <c r="AC11" s="5"/>
      <c r="AD11" s="4"/>
      <c r="AE11" s="4"/>
      <c r="AF11" s="4">
        <f t="shared" si="4"/>
        <v>10</v>
      </c>
      <c r="AG11" s="6">
        <f t="shared" ref="AG11:AG34" si="21">SUM(F11:AF11)</f>
        <v>5352.1764999999996</v>
      </c>
      <c r="AH11" s="4"/>
      <c r="AI11" s="6">
        <f t="shared" ref="AI11:AI34" si="22">SUM(F11:AE11)*9%</f>
        <v>480.79588499999994</v>
      </c>
      <c r="AJ11" s="4"/>
      <c r="AK11" s="6">
        <f t="shared" ref="AK11:AK34" si="23">SUM(F11:AE11)*1%</f>
        <v>53.421764999999994</v>
      </c>
      <c r="AL11" s="6">
        <f t="shared" ref="AL11:AL34" si="24">SUM(F11:AE11)*1%</f>
        <v>53.421764999999994</v>
      </c>
      <c r="AM11" s="7">
        <v>9.5</v>
      </c>
      <c r="AN11" s="6">
        <f t="shared" ref="AN11:AN34" si="25">IF(BO11="مدرس",IF(BL11="كبير ا",3.1,IF(BL11="كبير",2.8,IF(BL11="اولى",2.4,IF(BL11="ثانيه",1.7,IF(BL11="ثالثه",1.3,))))),"")</f>
        <v>3.1</v>
      </c>
      <c r="AO11" s="5"/>
      <c r="AP11" s="5">
        <v>159</v>
      </c>
      <c r="AQ11" s="5">
        <v>32.799999999999997</v>
      </c>
      <c r="AR11" s="5"/>
      <c r="AS11" s="5">
        <v>2</v>
      </c>
      <c r="AT11" s="6">
        <f t="shared" si="5"/>
        <v>4.5</v>
      </c>
      <c r="AU11" s="6">
        <f t="shared" si="6"/>
        <v>2</v>
      </c>
      <c r="AV11" s="6">
        <f t="shared" si="7"/>
        <v>0.25</v>
      </c>
      <c r="AW11" s="6">
        <f t="shared" si="8"/>
        <v>3</v>
      </c>
      <c r="AX11" s="6">
        <f t="shared" si="9"/>
        <v>0.5</v>
      </c>
      <c r="AY11" s="6">
        <f t="shared" si="10"/>
        <v>127.5295</v>
      </c>
      <c r="AZ11" s="5"/>
      <c r="BA11" s="5"/>
      <c r="BB11" s="5"/>
      <c r="BC11" s="5"/>
      <c r="BD11" s="5"/>
      <c r="BE11" s="4"/>
      <c r="BF11" s="4"/>
      <c r="BG11" s="4"/>
      <c r="BH11" s="7">
        <v>0.01</v>
      </c>
      <c r="BI11" s="6">
        <f t="shared" si="11"/>
        <v>931.82891499999982</v>
      </c>
      <c r="BJ11" s="6">
        <f t="shared" si="12"/>
        <v>4420.3475849999995</v>
      </c>
      <c r="BK11" s="8" t="s">
        <v>79</v>
      </c>
      <c r="BL11" s="8" t="s">
        <v>116</v>
      </c>
      <c r="BM11" s="8"/>
      <c r="BN11" s="154"/>
      <c r="BO11" s="101" t="s">
        <v>119</v>
      </c>
      <c r="BP11" s="42" t="s">
        <v>229</v>
      </c>
      <c r="BQ11" s="160">
        <f t="shared" si="13"/>
        <v>850</v>
      </c>
      <c r="BT11" s="101" t="s">
        <v>51</v>
      </c>
    </row>
    <row r="12" spans="1:74" ht="24" customHeight="1">
      <c r="B12" t="str">
        <f t="shared" si="14"/>
        <v>مسعد ونس عبدالحميد</v>
      </c>
      <c r="C12" s="1">
        <v>599.09</v>
      </c>
      <c r="D12" s="3">
        <v>3</v>
      </c>
      <c r="E12" s="4"/>
      <c r="F12" s="5">
        <v>1883.62</v>
      </c>
      <c r="G12" s="5">
        <v>55.72</v>
      </c>
      <c r="H12" s="6">
        <f t="shared" si="0"/>
        <v>59.909000000000006</v>
      </c>
      <c r="I12" s="6">
        <f t="shared" si="1"/>
        <v>149.77250000000001</v>
      </c>
      <c r="J12" s="6">
        <f t="shared" si="2"/>
        <v>149.77000000000001</v>
      </c>
      <c r="K12" s="6">
        <f t="shared" si="3"/>
        <v>299.54500000000002</v>
      </c>
      <c r="L12" s="5">
        <v>1198.17</v>
      </c>
      <c r="M12" s="28"/>
      <c r="N12" s="33">
        <f t="shared" si="15"/>
        <v>300</v>
      </c>
      <c r="O12" s="4">
        <v>150</v>
      </c>
      <c r="P12" s="4">
        <v>325</v>
      </c>
      <c r="Q12" s="34">
        <f t="shared" si="16"/>
        <v>375</v>
      </c>
      <c r="R12" s="4"/>
      <c r="S12" s="34">
        <f t="shared" si="17"/>
        <v>180</v>
      </c>
      <c r="T12" s="34">
        <f t="shared" si="18"/>
        <v>140</v>
      </c>
      <c r="U12" s="34">
        <f t="shared" si="19"/>
        <v>155</v>
      </c>
      <c r="V12" s="4" t="str">
        <f t="shared" si="20"/>
        <v/>
      </c>
      <c r="W12" s="4">
        <v>6</v>
      </c>
      <c r="X12" s="4">
        <v>4</v>
      </c>
      <c r="Y12" s="5"/>
      <c r="Z12" s="5"/>
      <c r="AA12" s="5"/>
      <c r="AB12" s="5"/>
      <c r="AC12" s="5"/>
      <c r="AD12" s="4"/>
      <c r="AE12" s="4"/>
      <c r="AF12" s="4">
        <f t="shared" si="4"/>
        <v>10</v>
      </c>
      <c r="AG12" s="6">
        <f t="shared" si="21"/>
        <v>5441.5064999999995</v>
      </c>
      <c r="AH12" s="4"/>
      <c r="AI12" s="6">
        <f t="shared" si="22"/>
        <v>488.83558499999992</v>
      </c>
      <c r="AJ12" s="4">
        <v>2.82</v>
      </c>
      <c r="AK12" s="6">
        <f t="shared" si="23"/>
        <v>54.315064999999997</v>
      </c>
      <c r="AL12" s="6">
        <f t="shared" si="24"/>
        <v>54.315064999999997</v>
      </c>
      <c r="AM12" s="7">
        <v>9.5</v>
      </c>
      <c r="AN12" s="6">
        <f t="shared" si="25"/>
        <v>3.1</v>
      </c>
      <c r="AO12" s="5">
        <v>90</v>
      </c>
      <c r="AP12" s="5">
        <v>142.1</v>
      </c>
      <c r="AQ12" s="5">
        <v>33.200000000000003</v>
      </c>
      <c r="AR12" s="5"/>
      <c r="AS12" s="5">
        <v>2</v>
      </c>
      <c r="AT12" s="6">
        <f t="shared" si="5"/>
        <v>4.5</v>
      </c>
      <c r="AU12" s="6">
        <f t="shared" si="6"/>
        <v>2</v>
      </c>
      <c r="AV12" s="6">
        <f t="shared" si="7"/>
        <v>0.25</v>
      </c>
      <c r="AW12" s="6">
        <f t="shared" si="8"/>
        <v>3</v>
      </c>
      <c r="AX12" s="6">
        <f t="shared" si="9"/>
        <v>0.5</v>
      </c>
      <c r="AY12" s="6">
        <f t="shared" si="10"/>
        <v>131.85339999999999</v>
      </c>
      <c r="AZ12" s="5"/>
      <c r="BA12" s="5">
        <v>250</v>
      </c>
      <c r="BB12" s="5"/>
      <c r="BC12" s="5"/>
      <c r="BD12" s="5"/>
      <c r="BE12" s="4"/>
      <c r="BF12" s="4"/>
      <c r="BG12" s="4"/>
      <c r="BH12" s="7">
        <v>0.02</v>
      </c>
      <c r="BI12" s="6">
        <f t="shared" si="11"/>
        <v>1272.309115</v>
      </c>
      <c r="BJ12" s="6">
        <f t="shared" si="12"/>
        <v>4169.1973849999995</v>
      </c>
      <c r="BK12" s="8" t="s">
        <v>80</v>
      </c>
      <c r="BL12" s="8" t="s">
        <v>116</v>
      </c>
      <c r="BM12" s="8"/>
      <c r="BN12" s="154"/>
      <c r="BO12" s="101" t="s">
        <v>119</v>
      </c>
      <c r="BP12" s="42" t="s">
        <v>229</v>
      </c>
      <c r="BQ12" s="160">
        <f t="shared" si="13"/>
        <v>850</v>
      </c>
      <c r="BT12" s="101" t="s">
        <v>52</v>
      </c>
    </row>
    <row r="13" spans="1:74" ht="24" customHeight="1">
      <c r="B13" t="str">
        <f t="shared" si="14"/>
        <v>محمد صالحين محمد</v>
      </c>
      <c r="C13" s="1">
        <v>578.30999999999995</v>
      </c>
      <c r="D13" s="3">
        <v>4</v>
      </c>
      <c r="E13" s="4"/>
      <c r="F13" s="5">
        <v>1826.18</v>
      </c>
      <c r="G13" s="5">
        <v>53.76</v>
      </c>
      <c r="H13" s="6">
        <f t="shared" si="0"/>
        <v>57.830999999999996</v>
      </c>
      <c r="I13" s="6">
        <f t="shared" si="1"/>
        <v>144.57749999999999</v>
      </c>
      <c r="J13" s="6">
        <f t="shared" si="2"/>
        <v>144.58000000000001</v>
      </c>
      <c r="K13" s="6">
        <f t="shared" si="3"/>
        <v>289.15499999999997</v>
      </c>
      <c r="L13" s="5">
        <v>1156.5999999999999</v>
      </c>
      <c r="M13" s="28"/>
      <c r="N13" s="33">
        <f t="shared" si="15"/>
        <v>300</v>
      </c>
      <c r="O13" s="4">
        <v>150</v>
      </c>
      <c r="P13" s="4">
        <v>325</v>
      </c>
      <c r="Q13" s="34">
        <f t="shared" si="16"/>
        <v>375</v>
      </c>
      <c r="R13" s="4"/>
      <c r="S13" s="34">
        <f t="shared" si="17"/>
        <v>180</v>
      </c>
      <c r="T13" s="34">
        <f t="shared" si="18"/>
        <v>140</v>
      </c>
      <c r="U13" s="34">
        <f t="shared" si="19"/>
        <v>155</v>
      </c>
      <c r="V13" s="4" t="str">
        <f t="shared" si="20"/>
        <v/>
      </c>
      <c r="W13" s="4">
        <v>6</v>
      </c>
      <c r="X13" s="4">
        <v>4</v>
      </c>
      <c r="Y13" s="5"/>
      <c r="Z13" s="5"/>
      <c r="AA13" s="5"/>
      <c r="AB13" s="5"/>
      <c r="AC13" s="5"/>
      <c r="AD13" s="4"/>
      <c r="AE13" s="4"/>
      <c r="AF13" s="4">
        <f t="shared" si="4"/>
        <v>10</v>
      </c>
      <c r="AG13" s="6">
        <f t="shared" si="21"/>
        <v>5317.6834999999992</v>
      </c>
      <c r="AH13" s="4"/>
      <c r="AI13" s="6">
        <f t="shared" si="22"/>
        <v>477.69151499999992</v>
      </c>
      <c r="AJ13" s="4"/>
      <c r="AK13" s="6">
        <f t="shared" si="23"/>
        <v>53.076834999999996</v>
      </c>
      <c r="AL13" s="6">
        <f t="shared" si="24"/>
        <v>53.076834999999996</v>
      </c>
      <c r="AM13" s="7">
        <v>9.5</v>
      </c>
      <c r="AN13" s="6">
        <f t="shared" si="25"/>
        <v>3.1</v>
      </c>
      <c r="AO13" s="5"/>
      <c r="AP13" s="5">
        <v>157</v>
      </c>
      <c r="AQ13" s="5">
        <v>32.5</v>
      </c>
      <c r="AR13" s="5"/>
      <c r="AS13" s="5">
        <v>2</v>
      </c>
      <c r="AT13" s="6">
        <f t="shared" si="5"/>
        <v>4.5</v>
      </c>
      <c r="AU13" s="6">
        <f t="shared" si="6"/>
        <v>2</v>
      </c>
      <c r="AV13" s="6">
        <f t="shared" si="7"/>
        <v>0.25</v>
      </c>
      <c r="AW13" s="6">
        <f t="shared" si="8"/>
        <v>3</v>
      </c>
      <c r="AX13" s="6">
        <f t="shared" si="9"/>
        <v>0.5</v>
      </c>
      <c r="AY13" s="6">
        <f t="shared" si="10"/>
        <v>127.83260000000001</v>
      </c>
      <c r="AZ13" s="5"/>
      <c r="BA13" s="5"/>
      <c r="BB13" s="5"/>
      <c r="BC13" s="5"/>
      <c r="BD13" s="5"/>
      <c r="BE13" s="4"/>
      <c r="BF13" s="4"/>
      <c r="BG13" s="4"/>
      <c r="BH13" s="7">
        <v>0.01</v>
      </c>
      <c r="BI13" s="6">
        <f t="shared" si="11"/>
        <v>926.03778499999999</v>
      </c>
      <c r="BJ13" s="6">
        <f t="shared" si="12"/>
        <v>4391.6457149999987</v>
      </c>
      <c r="BK13" s="8" t="s">
        <v>81</v>
      </c>
      <c r="BL13" s="8" t="s">
        <v>116</v>
      </c>
      <c r="BM13" s="8"/>
      <c r="BN13" s="154"/>
      <c r="BO13" s="101" t="s">
        <v>119</v>
      </c>
      <c r="BP13" s="42" t="s">
        <v>229</v>
      </c>
      <c r="BQ13" s="160">
        <f t="shared" si="13"/>
        <v>850</v>
      </c>
      <c r="BT13" s="101" t="s">
        <v>53</v>
      </c>
    </row>
    <row r="14" spans="1:74" ht="24" customHeight="1">
      <c r="B14" t="str">
        <f t="shared" si="14"/>
        <v>لبنى حمدى محمد</v>
      </c>
      <c r="C14" s="1">
        <v>695.31</v>
      </c>
      <c r="D14" s="3">
        <v>5</v>
      </c>
      <c r="E14" s="4"/>
      <c r="F14" s="5">
        <v>2132.4499999999998</v>
      </c>
      <c r="G14" s="5">
        <v>65.34</v>
      </c>
      <c r="H14" s="6">
        <f t="shared" si="0"/>
        <v>69.530999999999992</v>
      </c>
      <c r="I14" s="6">
        <f t="shared" si="1"/>
        <v>173.82749999999999</v>
      </c>
      <c r="J14" s="6">
        <f t="shared" si="2"/>
        <v>173.83</v>
      </c>
      <c r="K14" s="6">
        <f t="shared" si="3"/>
        <v>347.65499999999997</v>
      </c>
      <c r="L14" s="5">
        <v>1390.6</v>
      </c>
      <c r="M14" s="28"/>
      <c r="N14" s="33">
        <f t="shared" si="15"/>
        <v>300</v>
      </c>
      <c r="O14" s="4">
        <v>150</v>
      </c>
      <c r="P14" s="4">
        <v>350</v>
      </c>
      <c r="Q14" s="34">
        <f t="shared" si="16"/>
        <v>375</v>
      </c>
      <c r="R14" s="4"/>
      <c r="S14" s="34">
        <f t="shared" si="17"/>
        <v>180</v>
      </c>
      <c r="T14" s="34">
        <f t="shared" si="18"/>
        <v>140</v>
      </c>
      <c r="U14" s="34">
        <f t="shared" si="19"/>
        <v>155</v>
      </c>
      <c r="V14" s="4" t="str">
        <f t="shared" si="20"/>
        <v/>
      </c>
      <c r="W14" s="4">
        <v>2</v>
      </c>
      <c r="X14" s="4">
        <v>4</v>
      </c>
      <c r="Y14" s="5">
        <v>173.82</v>
      </c>
      <c r="Z14" s="5"/>
      <c r="AA14" s="5"/>
      <c r="AB14" s="5"/>
      <c r="AC14" s="5"/>
      <c r="AD14" s="4"/>
      <c r="AE14" s="4"/>
      <c r="AF14" s="4">
        <f t="shared" si="4"/>
        <v>10</v>
      </c>
      <c r="AG14" s="6">
        <f t="shared" si="21"/>
        <v>6193.0535</v>
      </c>
      <c r="AH14" s="4"/>
      <c r="AI14" s="6">
        <f t="shared" si="22"/>
        <v>556.47481499999992</v>
      </c>
      <c r="AJ14" s="4"/>
      <c r="AK14" s="6">
        <f t="shared" si="23"/>
        <v>61.830535000000005</v>
      </c>
      <c r="AL14" s="6">
        <f t="shared" si="24"/>
        <v>61.830535000000005</v>
      </c>
      <c r="AM14" s="7">
        <v>9.5</v>
      </c>
      <c r="AN14" s="6">
        <f t="shared" si="25"/>
        <v>3.1</v>
      </c>
      <c r="AO14" s="5"/>
      <c r="AP14" s="5">
        <v>197</v>
      </c>
      <c r="AQ14" s="5">
        <v>40.450000000000003</v>
      </c>
      <c r="AR14" s="5"/>
      <c r="AS14" s="5">
        <v>2.5</v>
      </c>
      <c r="AT14" s="6">
        <f t="shared" si="5"/>
        <v>4.5</v>
      </c>
      <c r="AU14" s="6">
        <f t="shared" si="6"/>
        <v>2</v>
      </c>
      <c r="AV14" s="6">
        <f t="shared" si="7"/>
        <v>0.25</v>
      </c>
      <c r="AW14" s="6">
        <f t="shared" si="8"/>
        <v>3</v>
      </c>
      <c r="AX14" s="6">
        <f t="shared" si="9"/>
        <v>0.5</v>
      </c>
      <c r="AY14" s="6">
        <f t="shared" si="10"/>
        <v>149.2715</v>
      </c>
      <c r="AZ14" s="5"/>
      <c r="BA14" s="5"/>
      <c r="BB14" s="5"/>
      <c r="BC14" s="5"/>
      <c r="BD14" s="5"/>
      <c r="BE14" s="4"/>
      <c r="BF14" s="4"/>
      <c r="BG14" s="4"/>
      <c r="BH14" s="7"/>
      <c r="BI14" s="6">
        <f t="shared" si="11"/>
        <v>1092.2073850000002</v>
      </c>
      <c r="BJ14" s="6">
        <f t="shared" si="12"/>
        <v>5100.8461150000003</v>
      </c>
      <c r="BK14" s="8" t="s">
        <v>82</v>
      </c>
      <c r="BL14" s="8" t="s">
        <v>116</v>
      </c>
      <c r="BM14" s="8"/>
      <c r="BN14" s="154"/>
      <c r="BO14" s="101" t="s">
        <v>119</v>
      </c>
      <c r="BP14" s="42" t="s">
        <v>229</v>
      </c>
      <c r="BQ14" s="160">
        <f t="shared" si="13"/>
        <v>875</v>
      </c>
      <c r="BT14" s="101" t="s">
        <v>54</v>
      </c>
    </row>
    <row r="15" spans="1:74" ht="24" customHeight="1">
      <c r="B15" t="str">
        <f t="shared" si="14"/>
        <v>جيهان فتحى محمود</v>
      </c>
      <c r="C15" s="1">
        <v>548.4</v>
      </c>
      <c r="D15" s="3">
        <v>6</v>
      </c>
      <c r="E15" s="4"/>
      <c r="F15" s="5">
        <v>1767.67</v>
      </c>
      <c r="G15" s="5">
        <v>51.55</v>
      </c>
      <c r="H15" s="6">
        <f t="shared" si="0"/>
        <v>54.84</v>
      </c>
      <c r="I15" s="6">
        <f t="shared" si="1"/>
        <v>137.1</v>
      </c>
      <c r="J15" s="6">
        <f t="shared" si="2"/>
        <v>137.1</v>
      </c>
      <c r="K15" s="6">
        <f t="shared" si="3"/>
        <v>274.2</v>
      </c>
      <c r="L15" s="5">
        <v>959.7</v>
      </c>
      <c r="M15" s="28"/>
      <c r="N15" s="33">
        <f t="shared" si="15"/>
        <v>325</v>
      </c>
      <c r="O15" s="4">
        <v>150</v>
      </c>
      <c r="P15" s="4">
        <v>325</v>
      </c>
      <c r="Q15" s="34">
        <f t="shared" si="16"/>
        <v>350</v>
      </c>
      <c r="R15" s="4"/>
      <c r="S15" s="34">
        <f t="shared" si="17"/>
        <v>165</v>
      </c>
      <c r="T15" s="34">
        <f t="shared" si="18"/>
        <v>145</v>
      </c>
      <c r="U15" s="34">
        <f t="shared" si="19"/>
        <v>140</v>
      </c>
      <c r="V15" s="4" t="str">
        <f t="shared" si="20"/>
        <v/>
      </c>
      <c r="W15" s="4">
        <v>2</v>
      </c>
      <c r="X15" s="4">
        <v>4</v>
      </c>
      <c r="Y15" s="5"/>
      <c r="Z15" s="5"/>
      <c r="AA15" s="5"/>
      <c r="AB15" s="5"/>
      <c r="AC15" s="5"/>
      <c r="AD15" s="4"/>
      <c r="AE15" s="4"/>
      <c r="AF15" s="4">
        <f t="shared" si="4"/>
        <v>10</v>
      </c>
      <c r="AG15" s="6">
        <f t="shared" si="21"/>
        <v>4998.16</v>
      </c>
      <c r="AH15" s="4"/>
      <c r="AI15" s="6">
        <f t="shared" si="22"/>
        <v>448.93439999999998</v>
      </c>
      <c r="AJ15" s="4"/>
      <c r="AK15" s="6">
        <f t="shared" si="23"/>
        <v>49.881599999999999</v>
      </c>
      <c r="AL15" s="6">
        <f t="shared" si="24"/>
        <v>49.881599999999999</v>
      </c>
      <c r="AM15" s="7">
        <v>9</v>
      </c>
      <c r="AN15" s="6">
        <f t="shared" si="25"/>
        <v>2.8</v>
      </c>
      <c r="AO15" s="5"/>
      <c r="AP15" s="5">
        <v>139.6</v>
      </c>
      <c r="AQ15" s="5">
        <v>30.3</v>
      </c>
      <c r="AR15" s="5"/>
      <c r="AS15" s="5">
        <v>2</v>
      </c>
      <c r="AT15" s="6">
        <f t="shared" si="5"/>
        <v>4.5</v>
      </c>
      <c r="AU15" s="6">
        <f t="shared" si="6"/>
        <v>2</v>
      </c>
      <c r="AV15" s="6">
        <f t="shared" si="7"/>
        <v>0.25</v>
      </c>
      <c r="AW15" s="6">
        <f t="shared" si="8"/>
        <v>3</v>
      </c>
      <c r="AX15" s="6">
        <f t="shared" si="9"/>
        <v>0.5</v>
      </c>
      <c r="AY15" s="6">
        <f t="shared" si="10"/>
        <v>123.73690000000002</v>
      </c>
      <c r="AZ15" s="5"/>
      <c r="BA15" s="5"/>
      <c r="BB15" s="5"/>
      <c r="BC15" s="5"/>
      <c r="BD15" s="5"/>
      <c r="BE15" s="4"/>
      <c r="BF15" s="4"/>
      <c r="BG15" s="4"/>
      <c r="BH15" s="7">
        <v>0.03</v>
      </c>
      <c r="BI15" s="6">
        <f t="shared" si="11"/>
        <v>866.41449999999986</v>
      </c>
      <c r="BJ15" s="6">
        <f t="shared" si="12"/>
        <v>4131.7455</v>
      </c>
      <c r="BK15" s="8" t="s">
        <v>83</v>
      </c>
      <c r="BL15" s="8" t="s">
        <v>51</v>
      </c>
      <c r="BM15" s="8"/>
      <c r="BN15" s="154"/>
      <c r="BO15" s="101" t="s">
        <v>119</v>
      </c>
      <c r="BP15" s="42" t="s">
        <v>230</v>
      </c>
      <c r="BQ15" s="160">
        <f t="shared" si="13"/>
        <v>825</v>
      </c>
      <c r="BT15" s="101" t="s">
        <v>137</v>
      </c>
    </row>
    <row r="16" spans="1:74" ht="24" customHeight="1">
      <c r="B16" t="str">
        <f t="shared" si="14"/>
        <v>محمد نجاح نصر</v>
      </c>
      <c r="C16" s="1">
        <v>531.62</v>
      </c>
      <c r="D16" s="3">
        <v>7</v>
      </c>
      <c r="E16" s="4"/>
      <c r="F16" s="5">
        <v>1717.35</v>
      </c>
      <c r="G16" s="5">
        <v>49.98</v>
      </c>
      <c r="H16" s="6">
        <f t="shared" si="0"/>
        <v>53.162000000000006</v>
      </c>
      <c r="I16" s="6">
        <f t="shared" si="1"/>
        <v>132.905</v>
      </c>
      <c r="J16" s="6">
        <f t="shared" si="2"/>
        <v>132.91</v>
      </c>
      <c r="K16" s="6">
        <f t="shared" si="3"/>
        <v>265.81</v>
      </c>
      <c r="L16" s="5">
        <v>930.35</v>
      </c>
      <c r="M16" s="28"/>
      <c r="N16" s="33">
        <f t="shared" si="15"/>
        <v>325</v>
      </c>
      <c r="O16" s="4">
        <v>150</v>
      </c>
      <c r="P16" s="4">
        <v>325</v>
      </c>
      <c r="Q16" s="34">
        <f t="shared" si="16"/>
        <v>350</v>
      </c>
      <c r="R16" s="4"/>
      <c r="S16" s="34">
        <f t="shared" si="17"/>
        <v>165</v>
      </c>
      <c r="T16" s="34">
        <f t="shared" si="18"/>
        <v>145</v>
      </c>
      <c r="U16" s="34">
        <f t="shared" si="19"/>
        <v>140</v>
      </c>
      <c r="V16" s="4" t="str">
        <f t="shared" si="20"/>
        <v/>
      </c>
      <c r="W16" s="4">
        <v>6</v>
      </c>
      <c r="X16" s="4">
        <v>4</v>
      </c>
      <c r="Y16" s="5"/>
      <c r="Z16" s="5"/>
      <c r="AA16" s="5"/>
      <c r="AB16" s="5"/>
      <c r="AC16" s="5"/>
      <c r="AD16" s="4"/>
      <c r="AE16" s="4"/>
      <c r="AF16" s="4">
        <f t="shared" si="4"/>
        <v>10</v>
      </c>
      <c r="AG16" s="6">
        <f t="shared" si="21"/>
        <v>4902.4669999999996</v>
      </c>
      <c r="AH16" s="4"/>
      <c r="AI16" s="6">
        <f t="shared" si="22"/>
        <v>440.32202999999993</v>
      </c>
      <c r="AJ16" s="4"/>
      <c r="AK16" s="6">
        <f t="shared" si="23"/>
        <v>48.924669999999999</v>
      </c>
      <c r="AL16" s="6">
        <f t="shared" si="24"/>
        <v>48.924669999999999</v>
      </c>
      <c r="AM16" s="7">
        <v>9</v>
      </c>
      <c r="AN16" s="6">
        <f t="shared" si="25"/>
        <v>2.8</v>
      </c>
      <c r="AO16" s="5"/>
      <c r="AP16" s="5">
        <v>135</v>
      </c>
      <c r="AQ16" s="5">
        <v>29.8</v>
      </c>
      <c r="AR16" s="5"/>
      <c r="AS16" s="5">
        <v>2</v>
      </c>
      <c r="AT16" s="6">
        <f t="shared" si="5"/>
        <v>4.5</v>
      </c>
      <c r="AU16" s="6">
        <f t="shared" si="6"/>
        <v>2</v>
      </c>
      <c r="AV16" s="6">
        <f t="shared" si="7"/>
        <v>0.25</v>
      </c>
      <c r="AW16" s="6">
        <f t="shared" si="8"/>
        <v>3</v>
      </c>
      <c r="AX16" s="6">
        <f t="shared" si="9"/>
        <v>0.5</v>
      </c>
      <c r="AY16" s="6">
        <f t="shared" si="10"/>
        <v>120.2145</v>
      </c>
      <c r="AZ16" s="5"/>
      <c r="BA16" s="5"/>
      <c r="BB16" s="5"/>
      <c r="BC16" s="5"/>
      <c r="BD16" s="5"/>
      <c r="BE16" s="4"/>
      <c r="BF16" s="4"/>
      <c r="BG16" s="4"/>
      <c r="BH16" s="7">
        <v>0.03</v>
      </c>
      <c r="BI16" s="6">
        <f t="shared" si="11"/>
        <v>847.26586999999984</v>
      </c>
      <c r="BJ16" s="6">
        <f t="shared" si="12"/>
        <v>4055.2011299999999</v>
      </c>
      <c r="BK16" s="8" t="s">
        <v>84</v>
      </c>
      <c r="BL16" s="8" t="s">
        <v>51</v>
      </c>
      <c r="BM16" s="8"/>
      <c r="BN16" s="154"/>
      <c r="BO16" s="101" t="s">
        <v>119</v>
      </c>
      <c r="BP16" s="42" t="s">
        <v>230</v>
      </c>
      <c r="BQ16" s="160">
        <f t="shared" si="13"/>
        <v>825</v>
      </c>
      <c r="BT16" s="101" t="s">
        <v>55</v>
      </c>
    </row>
    <row r="17" spans="2:72" ht="24" customHeight="1">
      <c r="B17" t="str">
        <f t="shared" si="14"/>
        <v>زينات البيلى حسب ا لله</v>
      </c>
      <c r="C17" s="1">
        <v>507.94</v>
      </c>
      <c r="D17" s="3">
        <v>8</v>
      </c>
      <c r="E17" s="4"/>
      <c r="F17" s="5">
        <v>1661.05</v>
      </c>
      <c r="G17" s="5">
        <v>47.77</v>
      </c>
      <c r="H17" s="6">
        <f t="shared" si="0"/>
        <v>50.794000000000004</v>
      </c>
      <c r="I17" s="6">
        <f t="shared" si="1"/>
        <v>126.985</v>
      </c>
      <c r="J17" s="6">
        <f t="shared" si="2"/>
        <v>126.99</v>
      </c>
      <c r="K17" s="6">
        <f t="shared" si="3"/>
        <v>253.97</v>
      </c>
      <c r="L17" s="5">
        <v>888.83</v>
      </c>
      <c r="M17" s="28"/>
      <c r="N17" s="33">
        <f t="shared" si="15"/>
        <v>325</v>
      </c>
      <c r="O17" s="4">
        <v>150</v>
      </c>
      <c r="P17" s="4">
        <v>325</v>
      </c>
      <c r="Q17" s="34">
        <f t="shared" si="16"/>
        <v>350</v>
      </c>
      <c r="R17" s="4"/>
      <c r="S17" s="34">
        <f t="shared" si="17"/>
        <v>165</v>
      </c>
      <c r="T17" s="34">
        <f t="shared" si="18"/>
        <v>145</v>
      </c>
      <c r="U17" s="34">
        <f t="shared" si="19"/>
        <v>140</v>
      </c>
      <c r="V17" s="4" t="str">
        <f t="shared" si="20"/>
        <v/>
      </c>
      <c r="W17" s="4">
        <v>2</v>
      </c>
      <c r="X17" s="4">
        <v>4</v>
      </c>
      <c r="Y17" s="5"/>
      <c r="Z17" s="5"/>
      <c r="AA17" s="5"/>
      <c r="AB17" s="5"/>
      <c r="AC17" s="5"/>
      <c r="AD17" s="4"/>
      <c r="AE17" s="4"/>
      <c r="AF17" s="4">
        <f t="shared" si="4"/>
        <v>10</v>
      </c>
      <c r="AG17" s="6">
        <f t="shared" si="21"/>
        <v>4772.3889999999992</v>
      </c>
      <c r="AH17" s="4"/>
      <c r="AI17" s="6">
        <f t="shared" si="22"/>
        <v>428.61500999999993</v>
      </c>
      <c r="AJ17" s="4"/>
      <c r="AK17" s="6">
        <f t="shared" si="23"/>
        <v>47.623889999999996</v>
      </c>
      <c r="AL17" s="6">
        <f t="shared" si="24"/>
        <v>47.623889999999996</v>
      </c>
      <c r="AM17" s="7">
        <v>9</v>
      </c>
      <c r="AN17" s="6">
        <f t="shared" si="25"/>
        <v>2.8</v>
      </c>
      <c r="AO17" s="5"/>
      <c r="AP17" s="5">
        <v>128</v>
      </c>
      <c r="AQ17" s="5">
        <v>29</v>
      </c>
      <c r="AR17" s="5"/>
      <c r="AS17" s="5">
        <v>2</v>
      </c>
      <c r="AT17" s="6">
        <f t="shared" si="5"/>
        <v>4.5</v>
      </c>
      <c r="AU17" s="6">
        <f t="shared" si="6"/>
        <v>2</v>
      </c>
      <c r="AV17" s="6">
        <f t="shared" si="7"/>
        <v>0.25</v>
      </c>
      <c r="AW17" s="6">
        <f t="shared" si="8"/>
        <v>3</v>
      </c>
      <c r="AX17" s="6">
        <f t="shared" si="9"/>
        <v>0.5</v>
      </c>
      <c r="AY17" s="6">
        <f t="shared" si="10"/>
        <v>116.27350000000001</v>
      </c>
      <c r="AZ17" s="5"/>
      <c r="BA17" s="5"/>
      <c r="BB17" s="5"/>
      <c r="BC17" s="5"/>
      <c r="BD17" s="5"/>
      <c r="BE17" s="4"/>
      <c r="BF17" s="4"/>
      <c r="BG17" s="4"/>
      <c r="BH17" s="7"/>
      <c r="BI17" s="6">
        <f t="shared" si="11"/>
        <v>821.18628999999987</v>
      </c>
      <c r="BJ17" s="6">
        <f t="shared" si="12"/>
        <v>3951.2027099999996</v>
      </c>
      <c r="BK17" s="8" t="s">
        <v>85</v>
      </c>
      <c r="BL17" s="8" t="s">
        <v>51</v>
      </c>
      <c r="BM17" s="8"/>
      <c r="BN17" s="154"/>
      <c r="BO17" s="101" t="s">
        <v>119</v>
      </c>
      <c r="BP17" s="42" t="s">
        <v>230</v>
      </c>
      <c r="BQ17" s="160">
        <f t="shared" si="13"/>
        <v>825</v>
      </c>
      <c r="BT17" s="101" t="s">
        <v>138</v>
      </c>
    </row>
    <row r="18" spans="2:72" ht="24" customHeight="1">
      <c r="B18" t="str">
        <f t="shared" si="14"/>
        <v>هاله المغازى محمد</v>
      </c>
      <c r="C18" s="1">
        <v>487.1</v>
      </c>
      <c r="D18" s="3">
        <v>9</v>
      </c>
      <c r="E18" s="4"/>
      <c r="F18" s="5">
        <v>1613</v>
      </c>
      <c r="G18" s="5">
        <v>45.8</v>
      </c>
      <c r="H18" s="6">
        <f t="shared" si="0"/>
        <v>48.710000000000008</v>
      </c>
      <c r="I18" s="6">
        <f t="shared" si="1"/>
        <v>121.77500000000001</v>
      </c>
      <c r="J18" s="6">
        <f t="shared" si="2"/>
        <v>121.78</v>
      </c>
      <c r="K18" s="6">
        <f t="shared" si="3"/>
        <v>243.55</v>
      </c>
      <c r="L18" s="5">
        <v>852.42</v>
      </c>
      <c r="M18" s="28"/>
      <c r="N18" s="33">
        <f t="shared" si="15"/>
        <v>325</v>
      </c>
      <c r="O18" s="4">
        <v>150</v>
      </c>
      <c r="P18" s="4">
        <v>325</v>
      </c>
      <c r="Q18" s="34">
        <f t="shared" si="16"/>
        <v>350</v>
      </c>
      <c r="R18" s="4"/>
      <c r="S18" s="34">
        <f t="shared" si="17"/>
        <v>165</v>
      </c>
      <c r="T18" s="34">
        <f t="shared" si="18"/>
        <v>145</v>
      </c>
      <c r="U18" s="34">
        <f t="shared" si="19"/>
        <v>140</v>
      </c>
      <c r="V18" s="4" t="str">
        <f t="shared" si="20"/>
        <v/>
      </c>
      <c r="W18" s="4">
        <v>2</v>
      </c>
      <c r="X18" s="4">
        <v>4</v>
      </c>
      <c r="Y18" s="5"/>
      <c r="Z18" s="5"/>
      <c r="AA18" s="5"/>
      <c r="AB18" s="5"/>
      <c r="AC18" s="5"/>
      <c r="AD18" s="4"/>
      <c r="AE18" s="4"/>
      <c r="AF18" s="4">
        <f t="shared" si="4"/>
        <v>10</v>
      </c>
      <c r="AG18" s="6">
        <f t="shared" si="21"/>
        <v>4663.0349999999999</v>
      </c>
      <c r="AH18" s="4"/>
      <c r="AI18" s="6">
        <f t="shared" si="22"/>
        <v>418.77314999999999</v>
      </c>
      <c r="AJ18" s="4"/>
      <c r="AK18" s="6">
        <f t="shared" si="23"/>
        <v>46.530349999999999</v>
      </c>
      <c r="AL18" s="6">
        <f t="shared" si="24"/>
        <v>46.530349999999999</v>
      </c>
      <c r="AM18" s="7">
        <v>9</v>
      </c>
      <c r="AN18" s="6">
        <f t="shared" si="25"/>
        <v>2.8</v>
      </c>
      <c r="AO18" s="5"/>
      <c r="AP18" s="5">
        <v>96</v>
      </c>
      <c r="AQ18" s="5">
        <v>28.4</v>
      </c>
      <c r="AR18" s="5"/>
      <c r="AS18" s="5">
        <v>2</v>
      </c>
      <c r="AT18" s="6">
        <f t="shared" si="5"/>
        <v>4.5</v>
      </c>
      <c r="AU18" s="6">
        <f t="shared" si="6"/>
        <v>2</v>
      </c>
      <c r="AV18" s="6">
        <f t="shared" si="7"/>
        <v>0.25</v>
      </c>
      <c r="AW18" s="6">
        <f t="shared" si="8"/>
        <v>3</v>
      </c>
      <c r="AX18" s="6">
        <f t="shared" si="9"/>
        <v>0.5</v>
      </c>
      <c r="AY18" s="6">
        <f t="shared" si="10"/>
        <v>112.91000000000001</v>
      </c>
      <c r="AZ18" s="5"/>
      <c r="BA18" s="5"/>
      <c r="BB18" s="5"/>
      <c r="BC18" s="5"/>
      <c r="BD18" s="5"/>
      <c r="BE18" s="4"/>
      <c r="BF18" s="4"/>
      <c r="BG18" s="4"/>
      <c r="BH18" s="7">
        <v>0.04</v>
      </c>
      <c r="BI18" s="6">
        <f t="shared" si="11"/>
        <v>773.23384999999985</v>
      </c>
      <c r="BJ18" s="6">
        <f t="shared" si="12"/>
        <v>3889.8011500000002</v>
      </c>
      <c r="BK18" s="8" t="s">
        <v>86</v>
      </c>
      <c r="BL18" s="8" t="s">
        <v>51</v>
      </c>
      <c r="BM18" s="8"/>
      <c r="BN18" s="154"/>
      <c r="BO18" s="101" t="s">
        <v>119</v>
      </c>
      <c r="BP18" s="42" t="s">
        <v>230</v>
      </c>
      <c r="BQ18" s="160">
        <f t="shared" si="13"/>
        <v>825</v>
      </c>
    </row>
    <row r="19" spans="2:72" ht="24" customHeight="1">
      <c r="B19" t="str">
        <f t="shared" si="14"/>
        <v>خالد ابوالنصر ميسره</v>
      </c>
      <c r="C19" s="1">
        <v>471.09</v>
      </c>
      <c r="D19" s="3">
        <v>10</v>
      </c>
      <c r="E19" s="4"/>
      <c r="F19" s="5">
        <v>1579.83</v>
      </c>
      <c r="G19" s="5">
        <v>44.29</v>
      </c>
      <c r="H19" s="6">
        <f t="shared" si="0"/>
        <v>47.109000000000002</v>
      </c>
      <c r="I19" s="6">
        <f t="shared" si="1"/>
        <v>117.77249999999999</v>
      </c>
      <c r="J19" s="6">
        <f t="shared" si="2"/>
        <v>117.77</v>
      </c>
      <c r="K19" s="6">
        <f t="shared" si="3"/>
        <v>235.54499999999999</v>
      </c>
      <c r="L19" s="5">
        <v>824.4</v>
      </c>
      <c r="M19" s="28"/>
      <c r="N19" s="33">
        <f t="shared" si="15"/>
        <v>325</v>
      </c>
      <c r="O19" s="4">
        <v>150</v>
      </c>
      <c r="P19" s="4">
        <v>325</v>
      </c>
      <c r="Q19" s="34">
        <f t="shared" si="16"/>
        <v>350</v>
      </c>
      <c r="R19" s="4"/>
      <c r="S19" s="34">
        <f t="shared" si="17"/>
        <v>165</v>
      </c>
      <c r="T19" s="34">
        <f t="shared" si="18"/>
        <v>145</v>
      </c>
      <c r="U19" s="34">
        <f t="shared" si="19"/>
        <v>140</v>
      </c>
      <c r="V19" s="4" t="str">
        <f t="shared" si="20"/>
        <v/>
      </c>
      <c r="W19" s="4">
        <v>2</v>
      </c>
      <c r="X19" s="4">
        <v>4</v>
      </c>
      <c r="Y19" s="5"/>
      <c r="Z19" s="5"/>
      <c r="AA19" s="5"/>
      <c r="AB19" s="5"/>
      <c r="AC19" s="5"/>
      <c r="AD19" s="4"/>
      <c r="AE19" s="4"/>
      <c r="AF19" s="4">
        <f t="shared" si="4"/>
        <v>10</v>
      </c>
      <c r="AG19" s="6">
        <f t="shared" si="21"/>
        <v>4582.7165000000005</v>
      </c>
      <c r="AH19" s="4"/>
      <c r="AI19" s="6">
        <f t="shared" si="22"/>
        <v>411.54448500000001</v>
      </c>
      <c r="AJ19" s="4"/>
      <c r="AK19" s="6">
        <f t="shared" si="23"/>
        <v>45.727165000000007</v>
      </c>
      <c r="AL19" s="6">
        <f t="shared" si="24"/>
        <v>45.727165000000007</v>
      </c>
      <c r="AM19" s="7">
        <v>9</v>
      </c>
      <c r="AN19" s="6">
        <f t="shared" si="25"/>
        <v>2.8</v>
      </c>
      <c r="AO19" s="5"/>
      <c r="AP19" s="5">
        <v>92.6</v>
      </c>
      <c r="AQ19" s="5">
        <v>27.9</v>
      </c>
      <c r="AR19" s="5"/>
      <c r="AS19" s="5">
        <v>2</v>
      </c>
      <c r="AT19" s="6">
        <f t="shared" si="5"/>
        <v>4.5</v>
      </c>
      <c r="AU19" s="6">
        <f t="shared" si="6"/>
        <v>2</v>
      </c>
      <c r="AV19" s="6">
        <f t="shared" si="7"/>
        <v>0.25</v>
      </c>
      <c r="AW19" s="6">
        <f t="shared" si="8"/>
        <v>3</v>
      </c>
      <c r="AX19" s="6">
        <f t="shared" si="9"/>
        <v>0.5</v>
      </c>
      <c r="AY19" s="6">
        <f t="shared" si="10"/>
        <v>110.58810000000001</v>
      </c>
      <c r="AZ19" s="5">
        <v>9</v>
      </c>
      <c r="BA19" s="5"/>
      <c r="BB19" s="5"/>
      <c r="BC19" s="5"/>
      <c r="BD19" s="5"/>
      <c r="BE19" s="4"/>
      <c r="BF19" s="4"/>
      <c r="BG19" s="4"/>
      <c r="BH19" s="7">
        <v>0.03</v>
      </c>
      <c r="BI19" s="6">
        <f t="shared" si="11"/>
        <v>767.16691500000002</v>
      </c>
      <c r="BJ19" s="6">
        <f t="shared" si="12"/>
        <v>3815.5495850000007</v>
      </c>
      <c r="BK19" s="8" t="s">
        <v>87</v>
      </c>
      <c r="BL19" s="8" t="s">
        <v>51</v>
      </c>
      <c r="BM19" s="8"/>
      <c r="BN19" s="154"/>
      <c r="BO19" s="101" t="s">
        <v>119</v>
      </c>
      <c r="BP19" s="42" t="s">
        <v>230</v>
      </c>
      <c r="BQ19" s="160">
        <f t="shared" si="13"/>
        <v>825</v>
      </c>
    </row>
    <row r="20" spans="2:72" ht="24" customHeight="1">
      <c r="B20" t="str">
        <f t="shared" si="14"/>
        <v>سماح حجازى بدر</v>
      </c>
      <c r="C20" s="1">
        <v>462.97</v>
      </c>
      <c r="D20" s="3">
        <v>11</v>
      </c>
      <c r="E20" s="4"/>
      <c r="F20" s="5">
        <v>1557.14</v>
      </c>
      <c r="G20" s="5">
        <v>42.51</v>
      </c>
      <c r="H20" s="6">
        <f t="shared" si="0"/>
        <v>46.297000000000004</v>
      </c>
      <c r="I20" s="6">
        <f t="shared" si="1"/>
        <v>115.74250000000001</v>
      </c>
      <c r="J20" s="6">
        <f t="shared" si="2"/>
        <v>115.74</v>
      </c>
      <c r="K20" s="6">
        <f t="shared" si="3"/>
        <v>231.48500000000001</v>
      </c>
      <c r="L20" s="5">
        <v>810.19</v>
      </c>
      <c r="M20" s="28"/>
      <c r="N20" s="33">
        <f t="shared" si="15"/>
        <v>325</v>
      </c>
      <c r="O20" s="4">
        <v>150</v>
      </c>
      <c r="P20" s="4">
        <v>300</v>
      </c>
      <c r="Q20" s="34">
        <f t="shared" si="16"/>
        <v>350</v>
      </c>
      <c r="R20" s="4"/>
      <c r="S20" s="34">
        <f t="shared" si="17"/>
        <v>165</v>
      </c>
      <c r="T20" s="34">
        <f t="shared" si="18"/>
        <v>145</v>
      </c>
      <c r="U20" s="34">
        <f t="shared" si="19"/>
        <v>140</v>
      </c>
      <c r="V20" s="4" t="str">
        <f t="shared" si="20"/>
        <v/>
      </c>
      <c r="W20" s="4">
        <v>2</v>
      </c>
      <c r="X20" s="4">
        <v>4</v>
      </c>
      <c r="Y20" s="5"/>
      <c r="Z20" s="5"/>
      <c r="AA20" s="5"/>
      <c r="AB20" s="5"/>
      <c r="AC20" s="5"/>
      <c r="AD20" s="4"/>
      <c r="AE20" s="4"/>
      <c r="AF20" s="4">
        <f t="shared" si="4"/>
        <v>10</v>
      </c>
      <c r="AG20" s="6">
        <f t="shared" si="21"/>
        <v>4510.1045000000004</v>
      </c>
      <c r="AH20" s="4"/>
      <c r="AI20" s="6">
        <f t="shared" si="22"/>
        <v>405.00940500000002</v>
      </c>
      <c r="AJ20" s="4"/>
      <c r="AK20" s="6">
        <f t="shared" si="23"/>
        <v>45.001045000000005</v>
      </c>
      <c r="AL20" s="6">
        <f t="shared" si="24"/>
        <v>45.001045000000005</v>
      </c>
      <c r="AM20" s="7">
        <v>9</v>
      </c>
      <c r="AN20" s="6">
        <f t="shared" si="25"/>
        <v>2.8</v>
      </c>
      <c r="AO20" s="5"/>
      <c r="AP20" s="5">
        <v>89.7</v>
      </c>
      <c r="AQ20" s="5">
        <v>27.5</v>
      </c>
      <c r="AR20" s="5"/>
      <c r="AS20" s="5">
        <v>2</v>
      </c>
      <c r="AT20" s="6">
        <f t="shared" si="5"/>
        <v>4.5</v>
      </c>
      <c r="AU20" s="6">
        <f t="shared" si="6"/>
        <v>2</v>
      </c>
      <c r="AV20" s="6">
        <f t="shared" si="7"/>
        <v>0.25</v>
      </c>
      <c r="AW20" s="6">
        <f t="shared" si="8"/>
        <v>3</v>
      </c>
      <c r="AX20" s="6">
        <f t="shared" si="9"/>
        <v>0.5</v>
      </c>
      <c r="AY20" s="6">
        <f t="shared" si="10"/>
        <v>108.99980000000002</v>
      </c>
      <c r="AZ20" s="5"/>
      <c r="BA20" s="5"/>
      <c r="BB20" s="5"/>
      <c r="BC20" s="5"/>
      <c r="BD20" s="5"/>
      <c r="BE20" s="4"/>
      <c r="BF20" s="4"/>
      <c r="BG20" s="4"/>
      <c r="BH20" s="7">
        <v>0.04</v>
      </c>
      <c r="BI20" s="6">
        <f t="shared" si="11"/>
        <v>745.30129499999998</v>
      </c>
      <c r="BJ20" s="6">
        <f t="shared" si="12"/>
        <v>3764.8032050000002</v>
      </c>
      <c r="BK20" s="8" t="s">
        <v>88</v>
      </c>
      <c r="BL20" s="8" t="s">
        <v>51</v>
      </c>
      <c r="BM20" s="8"/>
      <c r="BN20" s="154"/>
      <c r="BO20" s="101" t="s">
        <v>119</v>
      </c>
      <c r="BP20" s="42" t="s">
        <v>230</v>
      </c>
      <c r="BQ20" s="160">
        <f t="shared" si="13"/>
        <v>800</v>
      </c>
    </row>
    <row r="21" spans="2:72" ht="24" customHeight="1">
      <c r="B21" t="str">
        <f t="shared" si="14"/>
        <v>علاء ابراهيم النمراوى</v>
      </c>
      <c r="C21" s="1">
        <v>445.42</v>
      </c>
      <c r="D21" s="3">
        <v>12</v>
      </c>
      <c r="E21" s="4"/>
      <c r="F21" s="5">
        <v>1520.75</v>
      </c>
      <c r="G21" s="5">
        <v>40.85</v>
      </c>
      <c r="H21" s="6">
        <f t="shared" si="0"/>
        <v>44.542000000000002</v>
      </c>
      <c r="I21" s="6">
        <f t="shared" si="1"/>
        <v>111.355</v>
      </c>
      <c r="J21" s="6">
        <f t="shared" si="2"/>
        <v>111.36</v>
      </c>
      <c r="K21" s="6">
        <f t="shared" si="3"/>
        <v>222.71</v>
      </c>
      <c r="L21" s="5">
        <v>779.48</v>
      </c>
      <c r="M21" s="28"/>
      <c r="N21" s="33">
        <f t="shared" si="15"/>
        <v>325</v>
      </c>
      <c r="O21" s="4">
        <v>150</v>
      </c>
      <c r="P21" s="4">
        <v>300</v>
      </c>
      <c r="Q21" s="34">
        <f t="shared" si="16"/>
        <v>350</v>
      </c>
      <c r="R21" s="4"/>
      <c r="S21" s="34">
        <f t="shared" si="17"/>
        <v>165</v>
      </c>
      <c r="T21" s="34">
        <f t="shared" si="18"/>
        <v>145</v>
      </c>
      <c r="U21" s="34">
        <f t="shared" si="19"/>
        <v>140</v>
      </c>
      <c r="V21" s="4" t="str">
        <f t="shared" si="20"/>
        <v/>
      </c>
      <c r="W21" s="4">
        <v>6</v>
      </c>
      <c r="X21" s="4">
        <v>4</v>
      </c>
      <c r="Y21" s="5"/>
      <c r="Z21" s="5"/>
      <c r="AA21" s="5"/>
      <c r="AB21" s="5"/>
      <c r="AC21" s="5"/>
      <c r="AD21" s="4"/>
      <c r="AE21" s="4"/>
      <c r="AF21" s="4">
        <f t="shared" si="4"/>
        <v>10</v>
      </c>
      <c r="AG21" s="6">
        <f t="shared" si="21"/>
        <v>4426.0469999999996</v>
      </c>
      <c r="AH21" s="4"/>
      <c r="AI21" s="6">
        <f t="shared" si="22"/>
        <v>397.44422999999995</v>
      </c>
      <c r="AJ21" s="4"/>
      <c r="AK21" s="6">
        <f t="shared" si="23"/>
        <v>44.160469999999997</v>
      </c>
      <c r="AL21" s="6">
        <f t="shared" si="24"/>
        <v>44.160469999999997</v>
      </c>
      <c r="AM21" s="7">
        <v>9</v>
      </c>
      <c r="AN21" s="6">
        <f t="shared" si="25"/>
        <v>2.8</v>
      </c>
      <c r="AO21" s="5"/>
      <c r="AP21" s="5">
        <v>86.3</v>
      </c>
      <c r="AQ21" s="5">
        <v>27</v>
      </c>
      <c r="AR21" s="5"/>
      <c r="AS21" s="5">
        <v>2</v>
      </c>
      <c r="AT21" s="6">
        <f t="shared" si="5"/>
        <v>4.5</v>
      </c>
      <c r="AU21" s="6">
        <f t="shared" si="6"/>
        <v>2</v>
      </c>
      <c r="AV21" s="6">
        <f t="shared" si="7"/>
        <v>0.25</v>
      </c>
      <c r="AW21" s="6">
        <f t="shared" si="8"/>
        <v>3</v>
      </c>
      <c r="AX21" s="6">
        <f t="shared" si="9"/>
        <v>0.5</v>
      </c>
      <c r="AY21" s="6">
        <f t="shared" si="10"/>
        <v>106.45250000000001</v>
      </c>
      <c r="AZ21" s="5"/>
      <c r="BA21" s="5"/>
      <c r="BB21" s="5"/>
      <c r="BC21" s="5"/>
      <c r="BD21" s="5"/>
      <c r="BE21" s="4"/>
      <c r="BF21" s="4"/>
      <c r="BG21" s="4"/>
      <c r="BH21" s="7">
        <v>0.03</v>
      </c>
      <c r="BI21" s="6">
        <f t="shared" si="11"/>
        <v>729.59766999999988</v>
      </c>
      <c r="BJ21" s="6">
        <f t="shared" si="12"/>
        <v>3696.4493299999995</v>
      </c>
      <c r="BK21" s="8" t="s">
        <v>89</v>
      </c>
      <c r="BL21" s="8" t="s">
        <v>51</v>
      </c>
      <c r="BM21" s="8"/>
      <c r="BN21" s="154"/>
      <c r="BO21" s="101" t="s">
        <v>119</v>
      </c>
      <c r="BP21" s="42" t="s">
        <v>230</v>
      </c>
      <c r="BQ21" s="160">
        <f t="shared" si="13"/>
        <v>800</v>
      </c>
    </row>
    <row r="22" spans="2:72" ht="24" customHeight="1">
      <c r="B22" t="str">
        <f t="shared" si="14"/>
        <v>سمير محمود البيلى</v>
      </c>
      <c r="C22" s="1">
        <v>526.05999999999995</v>
      </c>
      <c r="D22" s="3">
        <v>13</v>
      </c>
      <c r="E22" s="4"/>
      <c r="F22" s="5">
        <v>1704.95</v>
      </c>
      <c r="G22" s="5">
        <v>49.43</v>
      </c>
      <c r="H22" s="6">
        <f t="shared" si="0"/>
        <v>52.605999999999995</v>
      </c>
      <c r="I22" s="6">
        <f t="shared" si="1"/>
        <v>131.51499999999999</v>
      </c>
      <c r="J22" s="6">
        <f t="shared" si="2"/>
        <v>131.52000000000001</v>
      </c>
      <c r="K22" s="6">
        <f t="shared" si="3"/>
        <v>263.02999999999997</v>
      </c>
      <c r="L22" s="5">
        <v>920.6</v>
      </c>
      <c r="M22" s="28"/>
      <c r="N22" s="33">
        <f t="shared" si="15"/>
        <v>325</v>
      </c>
      <c r="O22" s="4">
        <v>150</v>
      </c>
      <c r="P22" s="4">
        <v>325</v>
      </c>
      <c r="Q22" s="34">
        <f t="shared" si="16"/>
        <v>350</v>
      </c>
      <c r="R22" s="4"/>
      <c r="S22" s="34">
        <f t="shared" si="17"/>
        <v>165</v>
      </c>
      <c r="T22" s="34">
        <f t="shared" si="18"/>
        <v>145</v>
      </c>
      <c r="U22" s="34">
        <f t="shared" si="19"/>
        <v>140</v>
      </c>
      <c r="V22" s="4" t="str">
        <f t="shared" si="20"/>
        <v/>
      </c>
      <c r="W22" s="4">
        <v>6</v>
      </c>
      <c r="X22" s="4">
        <v>4</v>
      </c>
      <c r="Y22" s="5"/>
      <c r="Z22" s="5"/>
      <c r="AA22" s="5"/>
      <c r="AB22" s="5"/>
      <c r="AC22" s="5"/>
      <c r="AD22" s="4"/>
      <c r="AE22" s="4"/>
      <c r="AF22" s="4">
        <f t="shared" si="4"/>
        <v>10</v>
      </c>
      <c r="AG22" s="6">
        <f t="shared" si="21"/>
        <v>4873.6509999999998</v>
      </c>
      <c r="AH22" s="4"/>
      <c r="AI22" s="6">
        <f t="shared" si="22"/>
        <v>437.72859</v>
      </c>
      <c r="AJ22" s="4"/>
      <c r="AK22" s="6">
        <f t="shared" si="23"/>
        <v>48.636510000000001</v>
      </c>
      <c r="AL22" s="6">
        <f t="shared" si="24"/>
        <v>48.636510000000001</v>
      </c>
      <c r="AM22" s="7">
        <v>9</v>
      </c>
      <c r="AN22" s="6">
        <f t="shared" si="25"/>
        <v>2.8</v>
      </c>
      <c r="AO22" s="5"/>
      <c r="AP22" s="5">
        <v>133</v>
      </c>
      <c r="AQ22" s="5">
        <v>29.6</v>
      </c>
      <c r="AR22" s="5"/>
      <c r="AS22" s="5">
        <v>2</v>
      </c>
      <c r="AT22" s="6">
        <f t="shared" si="5"/>
        <v>4.5</v>
      </c>
      <c r="AU22" s="6">
        <f t="shared" si="6"/>
        <v>2</v>
      </c>
      <c r="AV22" s="6">
        <f t="shared" si="7"/>
        <v>0.25</v>
      </c>
      <c r="AW22" s="6">
        <f t="shared" si="8"/>
        <v>3</v>
      </c>
      <c r="AX22" s="6">
        <f t="shared" si="9"/>
        <v>0.5</v>
      </c>
      <c r="AY22" s="6">
        <f t="shared" si="10"/>
        <v>119.34650000000002</v>
      </c>
      <c r="AZ22" s="5"/>
      <c r="BA22" s="5"/>
      <c r="BB22" s="5"/>
      <c r="BC22" s="5"/>
      <c r="BD22" s="5"/>
      <c r="BE22" s="4"/>
      <c r="BF22" s="4"/>
      <c r="BG22" s="4"/>
      <c r="BH22" s="7"/>
      <c r="BI22" s="6">
        <f t="shared" si="11"/>
        <v>840.99811</v>
      </c>
      <c r="BJ22" s="6">
        <f t="shared" si="12"/>
        <v>4032.6528899999998</v>
      </c>
      <c r="BK22" s="8" t="s">
        <v>190</v>
      </c>
      <c r="BL22" s="8" t="s">
        <v>51</v>
      </c>
      <c r="BM22" s="8"/>
      <c r="BN22" s="155"/>
      <c r="BO22" s="101" t="s">
        <v>119</v>
      </c>
      <c r="BP22" s="42" t="s">
        <v>230</v>
      </c>
      <c r="BQ22" s="160">
        <f t="shared" si="13"/>
        <v>825</v>
      </c>
    </row>
    <row r="23" spans="2:72" ht="24" customHeight="1">
      <c r="B23" t="str">
        <f t="shared" si="14"/>
        <v>محمد رجب حسن</v>
      </c>
      <c r="C23" s="1">
        <v>482.1</v>
      </c>
      <c r="D23" s="3">
        <v>14</v>
      </c>
      <c r="E23" s="9"/>
      <c r="F23" s="10">
        <v>1609.58</v>
      </c>
      <c r="G23" s="5">
        <v>45.3</v>
      </c>
      <c r="H23" s="6">
        <f t="shared" si="0"/>
        <v>48.210000000000008</v>
      </c>
      <c r="I23" s="6">
        <f t="shared" si="1"/>
        <v>120.52500000000001</v>
      </c>
      <c r="J23" s="6">
        <f t="shared" si="2"/>
        <v>120.53</v>
      </c>
      <c r="K23" s="6">
        <f t="shared" si="3"/>
        <v>241.05</v>
      </c>
      <c r="L23" s="5">
        <v>843.67</v>
      </c>
      <c r="M23" s="29"/>
      <c r="N23" s="33">
        <f t="shared" si="15"/>
        <v>325</v>
      </c>
      <c r="O23" s="4">
        <v>150</v>
      </c>
      <c r="P23" s="4">
        <v>325</v>
      </c>
      <c r="Q23" s="34">
        <f t="shared" si="16"/>
        <v>350</v>
      </c>
      <c r="R23" s="9"/>
      <c r="S23" s="34">
        <f t="shared" si="17"/>
        <v>165</v>
      </c>
      <c r="T23" s="34">
        <f t="shared" si="18"/>
        <v>145</v>
      </c>
      <c r="U23" s="34">
        <f t="shared" si="19"/>
        <v>140</v>
      </c>
      <c r="V23" s="4" t="str">
        <f t="shared" si="20"/>
        <v/>
      </c>
      <c r="W23" s="4">
        <v>6</v>
      </c>
      <c r="X23" s="4">
        <v>4</v>
      </c>
      <c r="Y23" s="10"/>
      <c r="Z23" s="10"/>
      <c r="AA23" s="10"/>
      <c r="AB23" s="10"/>
      <c r="AC23" s="10"/>
      <c r="AD23" s="9"/>
      <c r="AE23" s="9"/>
      <c r="AF23" s="4">
        <f t="shared" si="4"/>
        <v>10</v>
      </c>
      <c r="AG23" s="6">
        <f t="shared" si="21"/>
        <v>4648.8649999999998</v>
      </c>
      <c r="AH23" s="4"/>
      <c r="AI23" s="6">
        <f t="shared" si="22"/>
        <v>417.49784999999997</v>
      </c>
      <c r="AJ23" s="4"/>
      <c r="AK23" s="6">
        <f t="shared" si="23"/>
        <v>46.388649999999998</v>
      </c>
      <c r="AL23" s="6">
        <f t="shared" si="24"/>
        <v>46.388649999999998</v>
      </c>
      <c r="AM23" s="7">
        <v>9</v>
      </c>
      <c r="AN23" s="6">
        <f t="shared" si="25"/>
        <v>2.8</v>
      </c>
      <c r="AO23" s="5"/>
      <c r="AP23" s="5">
        <v>95.5</v>
      </c>
      <c r="AQ23" s="5">
        <v>28.3</v>
      </c>
      <c r="AR23" s="5"/>
      <c r="AS23" s="5">
        <v>2</v>
      </c>
      <c r="AT23" s="6">
        <f t="shared" si="5"/>
        <v>4.5</v>
      </c>
      <c r="AU23" s="6">
        <f t="shared" si="6"/>
        <v>2</v>
      </c>
      <c r="AV23" s="6">
        <f t="shared" si="7"/>
        <v>0.25</v>
      </c>
      <c r="AW23" s="6">
        <f t="shared" si="8"/>
        <v>3</v>
      </c>
      <c r="AX23" s="6">
        <f t="shared" si="9"/>
        <v>0.5</v>
      </c>
      <c r="AY23" s="6">
        <f t="shared" si="10"/>
        <v>112.67060000000001</v>
      </c>
      <c r="AZ23" s="5"/>
      <c r="BA23" s="5"/>
      <c r="BB23" s="5"/>
      <c r="BC23" s="5"/>
      <c r="BD23" s="5"/>
      <c r="BE23" s="4"/>
      <c r="BF23" s="4"/>
      <c r="BG23" s="4"/>
      <c r="BH23" s="7">
        <v>0.02</v>
      </c>
      <c r="BI23" s="6">
        <f t="shared" si="11"/>
        <v>770.81574999999987</v>
      </c>
      <c r="BJ23" s="6">
        <f t="shared" si="12"/>
        <v>3878.04925</v>
      </c>
      <c r="BK23" s="11" t="s">
        <v>90</v>
      </c>
      <c r="BL23" s="8" t="s">
        <v>51</v>
      </c>
      <c r="BM23" s="11"/>
      <c r="BN23" s="156"/>
      <c r="BO23" s="101" t="s">
        <v>119</v>
      </c>
      <c r="BP23" s="42" t="s">
        <v>230</v>
      </c>
      <c r="BQ23" s="160">
        <f t="shared" si="13"/>
        <v>825</v>
      </c>
    </row>
    <row r="24" spans="2:72" ht="24" customHeight="1">
      <c r="B24" t="str">
        <f t="shared" si="14"/>
        <v>مجدى يوسف الجندى</v>
      </c>
      <c r="C24" s="1">
        <v>639.70000000000005</v>
      </c>
      <c r="D24" s="3">
        <v>15</v>
      </c>
      <c r="E24" s="9"/>
      <c r="F24" s="10">
        <v>1974.18</v>
      </c>
      <c r="G24" s="5">
        <v>60.07</v>
      </c>
      <c r="H24" s="6">
        <f t="shared" si="0"/>
        <v>63.970000000000006</v>
      </c>
      <c r="I24" s="6">
        <f t="shared" si="1"/>
        <v>159.92500000000001</v>
      </c>
      <c r="J24" s="6">
        <f t="shared" si="2"/>
        <v>159.93</v>
      </c>
      <c r="K24" s="6">
        <f t="shared" si="3"/>
        <v>319.85000000000002</v>
      </c>
      <c r="L24" s="5">
        <v>1119.49</v>
      </c>
      <c r="M24" s="29"/>
      <c r="N24" s="33">
        <f t="shared" si="15"/>
        <v>325</v>
      </c>
      <c r="O24" s="4">
        <v>150</v>
      </c>
      <c r="P24" s="4">
        <v>325</v>
      </c>
      <c r="Q24" s="34">
        <f t="shared" si="16"/>
        <v>350</v>
      </c>
      <c r="R24" s="9"/>
      <c r="S24" s="34">
        <f t="shared" si="17"/>
        <v>165</v>
      </c>
      <c r="T24" s="34">
        <f t="shared" si="18"/>
        <v>145</v>
      </c>
      <c r="U24" s="34">
        <f t="shared" si="19"/>
        <v>140</v>
      </c>
      <c r="V24" s="4" t="str">
        <f t="shared" si="20"/>
        <v/>
      </c>
      <c r="W24" s="4">
        <v>6</v>
      </c>
      <c r="X24" s="4">
        <v>4</v>
      </c>
      <c r="Y24" s="10"/>
      <c r="Z24" s="10"/>
      <c r="AA24" s="10"/>
      <c r="AB24" s="10"/>
      <c r="AC24" s="10"/>
      <c r="AD24" s="9"/>
      <c r="AE24" s="9"/>
      <c r="AF24" s="4">
        <f t="shared" si="4"/>
        <v>10</v>
      </c>
      <c r="AG24" s="6">
        <f t="shared" si="21"/>
        <v>5477.415</v>
      </c>
      <c r="AH24" s="4"/>
      <c r="AI24" s="6">
        <f t="shared" si="22"/>
        <v>492.06734999999998</v>
      </c>
      <c r="AJ24" s="4"/>
      <c r="AK24" s="6">
        <f t="shared" si="23"/>
        <v>54.674149999999997</v>
      </c>
      <c r="AL24" s="6">
        <f t="shared" si="24"/>
        <v>54.674149999999997</v>
      </c>
      <c r="AM24" s="7">
        <v>9</v>
      </c>
      <c r="AN24" s="6">
        <f t="shared" si="25"/>
        <v>2.8</v>
      </c>
      <c r="AO24" s="5"/>
      <c r="AP24" s="5">
        <v>165</v>
      </c>
      <c r="AQ24" s="5">
        <v>33.15</v>
      </c>
      <c r="AR24" s="5"/>
      <c r="AS24" s="5">
        <v>2.5</v>
      </c>
      <c r="AT24" s="6">
        <f t="shared" si="5"/>
        <v>4.5</v>
      </c>
      <c r="AU24" s="6">
        <f t="shared" si="6"/>
        <v>2</v>
      </c>
      <c r="AV24" s="6">
        <f t="shared" si="7"/>
        <v>0.25</v>
      </c>
      <c r="AW24" s="6">
        <f t="shared" si="8"/>
        <v>3</v>
      </c>
      <c r="AX24" s="6">
        <f t="shared" si="9"/>
        <v>0.5</v>
      </c>
      <c r="AY24" s="6">
        <f t="shared" si="10"/>
        <v>138.19260000000003</v>
      </c>
      <c r="AZ24" s="5"/>
      <c r="BA24" s="5"/>
      <c r="BB24" s="5"/>
      <c r="BC24" s="5"/>
      <c r="BD24" s="5"/>
      <c r="BE24" s="4"/>
      <c r="BF24" s="4"/>
      <c r="BG24" s="4"/>
      <c r="BH24" s="7">
        <v>0.01</v>
      </c>
      <c r="BI24" s="6">
        <f t="shared" si="11"/>
        <v>962.31824999999981</v>
      </c>
      <c r="BJ24" s="6">
        <f t="shared" si="12"/>
        <v>4515.0967500000006</v>
      </c>
      <c r="BK24" s="11" t="s">
        <v>91</v>
      </c>
      <c r="BL24" s="8" t="s">
        <v>51</v>
      </c>
      <c r="BM24" s="11"/>
      <c r="BN24" s="156"/>
      <c r="BO24" s="101" t="s">
        <v>119</v>
      </c>
      <c r="BP24" s="42" t="s">
        <v>230</v>
      </c>
      <c r="BQ24" s="160">
        <f t="shared" si="13"/>
        <v>825</v>
      </c>
    </row>
    <row r="25" spans="2:72" ht="24" customHeight="1">
      <c r="B25" t="str">
        <f t="shared" si="14"/>
        <v>عاصم احمد عاصم</v>
      </c>
      <c r="C25" s="1">
        <v>356.96</v>
      </c>
      <c r="D25" s="3">
        <v>16</v>
      </c>
      <c r="E25" s="9"/>
      <c r="F25" s="10">
        <v>1335.08</v>
      </c>
      <c r="G25" s="5">
        <v>33.049999999999997</v>
      </c>
      <c r="H25" s="6">
        <f t="shared" si="0"/>
        <v>35.695999999999998</v>
      </c>
      <c r="I25" s="6">
        <f t="shared" si="1"/>
        <v>89.24</v>
      </c>
      <c r="J25" s="6">
        <f t="shared" si="2"/>
        <v>89.24</v>
      </c>
      <c r="K25" s="6">
        <f t="shared" si="3"/>
        <v>178.48</v>
      </c>
      <c r="L25" s="5">
        <v>535.44000000000005</v>
      </c>
      <c r="M25" s="29"/>
      <c r="N25" s="33">
        <f t="shared" si="15"/>
        <v>350</v>
      </c>
      <c r="O25" s="4">
        <v>150</v>
      </c>
      <c r="P25" s="9">
        <v>300</v>
      </c>
      <c r="Q25" s="34">
        <f t="shared" si="16"/>
        <v>325</v>
      </c>
      <c r="R25" s="9">
        <v>303</v>
      </c>
      <c r="S25" s="34">
        <f t="shared" si="17"/>
        <v>125</v>
      </c>
      <c r="T25" s="34">
        <f t="shared" si="18"/>
        <v>150</v>
      </c>
      <c r="U25" s="34">
        <f t="shared" si="19"/>
        <v>120</v>
      </c>
      <c r="V25" s="4" t="str">
        <f t="shared" si="20"/>
        <v/>
      </c>
      <c r="W25" s="4"/>
      <c r="X25" s="4">
        <v>4</v>
      </c>
      <c r="Y25" s="10"/>
      <c r="Z25" s="10"/>
      <c r="AA25" s="10"/>
      <c r="AB25" s="10"/>
      <c r="AC25" s="10"/>
      <c r="AD25" s="9"/>
      <c r="AE25" s="9"/>
      <c r="AF25" s="4">
        <f t="shared" si="4"/>
        <v>10</v>
      </c>
      <c r="AG25" s="6">
        <f t="shared" si="21"/>
        <v>4133.2259999999997</v>
      </c>
      <c r="AH25" s="4"/>
      <c r="AI25" s="6">
        <f t="shared" si="22"/>
        <v>371.09033999999997</v>
      </c>
      <c r="AJ25" s="4"/>
      <c r="AK25" s="6">
        <f t="shared" si="23"/>
        <v>41.232259999999997</v>
      </c>
      <c r="AL25" s="6">
        <f t="shared" si="24"/>
        <v>41.232259999999997</v>
      </c>
      <c r="AM25" s="7">
        <v>7.9</v>
      </c>
      <c r="AN25" s="6">
        <f t="shared" si="25"/>
        <v>2.4</v>
      </c>
      <c r="AO25" s="5"/>
      <c r="AP25" s="5">
        <v>74.7</v>
      </c>
      <c r="AQ25" s="5">
        <v>25.5</v>
      </c>
      <c r="AR25" s="5"/>
      <c r="AS25" s="5">
        <v>1.5</v>
      </c>
      <c r="AT25" s="6">
        <f t="shared" si="5"/>
        <v>4.5</v>
      </c>
      <c r="AU25" s="6">
        <f t="shared" si="6"/>
        <v>2</v>
      </c>
      <c r="AV25" s="6">
        <f t="shared" si="7"/>
        <v>0.25</v>
      </c>
      <c r="AW25" s="6">
        <f t="shared" si="8"/>
        <v>3</v>
      </c>
      <c r="AX25" s="6">
        <f t="shared" si="9"/>
        <v>0.5</v>
      </c>
      <c r="AY25" s="6">
        <f t="shared" si="10"/>
        <v>93.455600000000004</v>
      </c>
      <c r="AZ25" s="5"/>
      <c r="BA25" s="5"/>
      <c r="BB25" s="5"/>
      <c r="BC25" s="5"/>
      <c r="BD25" s="5"/>
      <c r="BE25" s="4"/>
      <c r="BF25" s="4"/>
      <c r="BG25" s="4"/>
      <c r="BH25" s="7">
        <v>0.02</v>
      </c>
      <c r="BI25" s="6">
        <f t="shared" si="11"/>
        <v>669.28045999999995</v>
      </c>
      <c r="BJ25" s="6">
        <f t="shared" si="12"/>
        <v>3463.9455399999997</v>
      </c>
      <c r="BK25" s="11" t="s">
        <v>92</v>
      </c>
      <c r="BL25" s="11" t="s">
        <v>52</v>
      </c>
      <c r="BM25" s="11"/>
      <c r="BN25" s="156"/>
      <c r="BO25" s="101" t="s">
        <v>119</v>
      </c>
      <c r="BP25" s="42" t="s">
        <v>231</v>
      </c>
      <c r="BQ25" s="160">
        <f t="shared" si="13"/>
        <v>775</v>
      </c>
    </row>
    <row r="26" spans="2:72" ht="24" customHeight="1">
      <c r="B26" t="str">
        <f t="shared" si="14"/>
        <v>نهاد عبدالعزيز البيلى</v>
      </c>
      <c r="C26" s="1">
        <v>359.9</v>
      </c>
      <c r="D26" s="3">
        <v>17</v>
      </c>
      <c r="E26" s="9"/>
      <c r="F26" s="10">
        <v>1349.29</v>
      </c>
      <c r="G26" s="5">
        <v>33.840000000000003</v>
      </c>
      <c r="H26" s="6">
        <f t="shared" si="0"/>
        <v>35.99</v>
      </c>
      <c r="I26" s="6">
        <f t="shared" si="1"/>
        <v>89.974999999999994</v>
      </c>
      <c r="J26" s="6">
        <f t="shared" si="2"/>
        <v>89.98</v>
      </c>
      <c r="K26" s="6">
        <f t="shared" si="3"/>
        <v>179.95</v>
      </c>
      <c r="L26" s="5">
        <v>539.85</v>
      </c>
      <c r="M26" s="29"/>
      <c r="N26" s="33">
        <f t="shared" si="15"/>
        <v>350</v>
      </c>
      <c r="O26" s="4">
        <v>150</v>
      </c>
      <c r="P26" s="9">
        <v>300</v>
      </c>
      <c r="Q26" s="34">
        <f t="shared" si="16"/>
        <v>325</v>
      </c>
      <c r="R26" s="9">
        <v>281</v>
      </c>
      <c r="S26" s="34">
        <f t="shared" si="17"/>
        <v>125</v>
      </c>
      <c r="T26" s="34">
        <f t="shared" si="18"/>
        <v>150</v>
      </c>
      <c r="U26" s="34">
        <f t="shared" si="19"/>
        <v>120</v>
      </c>
      <c r="V26" s="4" t="str">
        <f t="shared" si="20"/>
        <v/>
      </c>
      <c r="W26" s="4">
        <v>2</v>
      </c>
      <c r="X26" s="4">
        <v>4</v>
      </c>
      <c r="Y26" s="10"/>
      <c r="Z26" s="10"/>
      <c r="AA26" s="10"/>
      <c r="AB26" s="10"/>
      <c r="AC26" s="10"/>
      <c r="AD26" s="9"/>
      <c r="AE26" s="9"/>
      <c r="AF26" s="4">
        <f t="shared" si="4"/>
        <v>10</v>
      </c>
      <c r="AG26" s="6">
        <f t="shared" si="21"/>
        <v>4135.875</v>
      </c>
      <c r="AH26" s="4"/>
      <c r="AI26" s="6">
        <f t="shared" si="22"/>
        <v>371.32875000000001</v>
      </c>
      <c r="AJ26" s="4"/>
      <c r="AK26" s="6">
        <f t="shared" si="23"/>
        <v>41.258749999999999</v>
      </c>
      <c r="AL26" s="6">
        <f t="shared" si="24"/>
        <v>41.258749999999999</v>
      </c>
      <c r="AM26" s="7">
        <v>7.9</v>
      </c>
      <c r="AN26" s="6">
        <f t="shared" si="25"/>
        <v>2.4</v>
      </c>
      <c r="AO26" s="5"/>
      <c r="AP26" s="5">
        <v>74.7</v>
      </c>
      <c r="AQ26" s="5">
        <v>25.4</v>
      </c>
      <c r="AR26" s="5"/>
      <c r="AS26" s="5">
        <v>1.5</v>
      </c>
      <c r="AT26" s="6">
        <f t="shared" si="5"/>
        <v>4.5</v>
      </c>
      <c r="AU26" s="6">
        <f t="shared" si="6"/>
        <v>2</v>
      </c>
      <c r="AV26" s="6">
        <f t="shared" si="7"/>
        <v>0.25</v>
      </c>
      <c r="AW26" s="6">
        <f t="shared" si="8"/>
        <v>3</v>
      </c>
      <c r="AX26" s="6">
        <f t="shared" si="9"/>
        <v>0.5</v>
      </c>
      <c r="AY26" s="6">
        <f t="shared" si="10"/>
        <v>94.450300000000013</v>
      </c>
      <c r="AZ26" s="5"/>
      <c r="BA26" s="5"/>
      <c r="BB26" s="5"/>
      <c r="BC26" s="5"/>
      <c r="BD26" s="5"/>
      <c r="BE26" s="4"/>
      <c r="BF26" s="4"/>
      <c r="BG26" s="4"/>
      <c r="BH26" s="7">
        <v>0.03</v>
      </c>
      <c r="BI26" s="6">
        <f t="shared" si="11"/>
        <v>670.47654999999997</v>
      </c>
      <c r="BJ26" s="6">
        <f t="shared" si="12"/>
        <v>3465.3984500000001</v>
      </c>
      <c r="BK26" s="11" t="s">
        <v>93</v>
      </c>
      <c r="BL26" s="11" t="s">
        <v>52</v>
      </c>
      <c r="BM26" s="11"/>
      <c r="BN26" s="156"/>
      <c r="BO26" s="101" t="s">
        <v>119</v>
      </c>
      <c r="BP26" s="42" t="s">
        <v>231</v>
      </c>
      <c r="BQ26" s="160">
        <f t="shared" si="13"/>
        <v>775</v>
      </c>
    </row>
    <row r="27" spans="2:72" ht="24" customHeight="1">
      <c r="B27" t="str">
        <f t="shared" si="14"/>
        <v>محمود شحاته محمد</v>
      </c>
      <c r="C27" s="1">
        <v>356.96</v>
      </c>
      <c r="D27" s="3">
        <v>18</v>
      </c>
      <c r="E27" s="9"/>
      <c r="F27" s="10">
        <v>1342.73</v>
      </c>
      <c r="G27" s="5">
        <v>33.54</v>
      </c>
      <c r="H27" s="6">
        <f t="shared" si="0"/>
        <v>35.695999999999998</v>
      </c>
      <c r="I27" s="6">
        <f t="shared" si="1"/>
        <v>89.24</v>
      </c>
      <c r="J27" s="6">
        <f t="shared" si="2"/>
        <v>89.24</v>
      </c>
      <c r="K27" s="6">
        <f t="shared" si="3"/>
        <v>178.48</v>
      </c>
      <c r="L27" s="5">
        <v>535.44000000000005</v>
      </c>
      <c r="M27" s="29"/>
      <c r="N27" s="33">
        <f t="shared" si="15"/>
        <v>350</v>
      </c>
      <c r="O27" s="4">
        <v>150</v>
      </c>
      <c r="P27" s="9">
        <v>300</v>
      </c>
      <c r="Q27" s="34">
        <f t="shared" si="16"/>
        <v>325</v>
      </c>
      <c r="R27" s="9">
        <v>290</v>
      </c>
      <c r="S27" s="34">
        <f t="shared" si="17"/>
        <v>125</v>
      </c>
      <c r="T27" s="34">
        <f t="shared" si="18"/>
        <v>150</v>
      </c>
      <c r="U27" s="34">
        <f t="shared" si="19"/>
        <v>120</v>
      </c>
      <c r="V27" s="4" t="str">
        <f t="shared" si="20"/>
        <v/>
      </c>
      <c r="W27" s="4">
        <v>6</v>
      </c>
      <c r="X27" s="4">
        <v>4</v>
      </c>
      <c r="Y27" s="10"/>
      <c r="Z27" s="10"/>
      <c r="AA27" s="10"/>
      <c r="AB27" s="10"/>
      <c r="AC27" s="10"/>
      <c r="AD27" s="9"/>
      <c r="AE27" s="9"/>
      <c r="AF27" s="4">
        <f t="shared" si="4"/>
        <v>10</v>
      </c>
      <c r="AG27" s="6">
        <f t="shared" si="21"/>
        <v>4134.366</v>
      </c>
      <c r="AH27" s="4"/>
      <c r="AI27" s="6">
        <f t="shared" si="22"/>
        <v>371.19293999999996</v>
      </c>
      <c r="AJ27" s="4"/>
      <c r="AK27" s="6">
        <f t="shared" si="23"/>
        <v>41.243659999999998</v>
      </c>
      <c r="AL27" s="6">
        <f t="shared" si="24"/>
        <v>41.243659999999998</v>
      </c>
      <c r="AM27" s="7">
        <v>7.9</v>
      </c>
      <c r="AN27" s="6">
        <f t="shared" si="25"/>
        <v>2.4</v>
      </c>
      <c r="AO27" s="5"/>
      <c r="AP27" s="5">
        <v>74.7</v>
      </c>
      <c r="AQ27" s="5">
        <v>25.4</v>
      </c>
      <c r="AR27" s="5"/>
      <c r="AS27" s="5">
        <v>1.5</v>
      </c>
      <c r="AT27" s="6">
        <f t="shared" si="5"/>
        <v>4.5</v>
      </c>
      <c r="AU27" s="6">
        <f t="shared" si="6"/>
        <v>2</v>
      </c>
      <c r="AV27" s="6">
        <f t="shared" si="7"/>
        <v>0.25</v>
      </c>
      <c r="AW27" s="6">
        <f t="shared" si="8"/>
        <v>3</v>
      </c>
      <c r="AX27" s="6">
        <f t="shared" si="9"/>
        <v>0.5</v>
      </c>
      <c r="AY27" s="6">
        <f t="shared" si="10"/>
        <v>93.991100000000017</v>
      </c>
      <c r="AZ27" s="5"/>
      <c r="BA27" s="5"/>
      <c r="BB27" s="5"/>
      <c r="BC27" s="5"/>
      <c r="BD27" s="5"/>
      <c r="BE27" s="4"/>
      <c r="BF27" s="4"/>
      <c r="BG27" s="4"/>
      <c r="BH27" s="7">
        <v>0.04</v>
      </c>
      <c r="BI27" s="6">
        <f t="shared" si="11"/>
        <v>669.86135999999988</v>
      </c>
      <c r="BJ27" s="6">
        <f t="shared" si="12"/>
        <v>3464.5046400000001</v>
      </c>
      <c r="BK27" s="11" t="s">
        <v>94</v>
      </c>
      <c r="BL27" s="11" t="s">
        <v>52</v>
      </c>
      <c r="BM27" s="11"/>
      <c r="BN27" s="156"/>
      <c r="BO27" s="101" t="s">
        <v>119</v>
      </c>
      <c r="BP27" s="42" t="s">
        <v>231</v>
      </c>
      <c r="BQ27" s="160">
        <f t="shared" si="13"/>
        <v>775</v>
      </c>
    </row>
    <row r="28" spans="2:72" ht="24" customHeight="1">
      <c r="B28" t="str">
        <f t="shared" si="14"/>
        <v>محمد الحايس البدراوى</v>
      </c>
      <c r="C28" s="1">
        <v>507.57</v>
      </c>
      <c r="D28" s="3">
        <v>19</v>
      </c>
      <c r="E28" s="9"/>
      <c r="F28" s="10">
        <v>1666.02</v>
      </c>
      <c r="G28" s="5">
        <v>47.67</v>
      </c>
      <c r="H28" s="6">
        <f t="shared" si="0"/>
        <v>50.757000000000005</v>
      </c>
      <c r="I28" s="6">
        <f t="shared" si="1"/>
        <v>126.8925</v>
      </c>
      <c r="J28" s="6">
        <f t="shared" si="2"/>
        <v>253.79</v>
      </c>
      <c r="K28" s="6">
        <f t="shared" si="3"/>
        <v>253.785</v>
      </c>
      <c r="L28" s="5">
        <v>634.46</v>
      </c>
      <c r="M28" s="29"/>
      <c r="N28" s="33">
        <f t="shared" si="15"/>
        <v>375</v>
      </c>
      <c r="O28" s="4">
        <v>150</v>
      </c>
      <c r="P28" s="9">
        <v>250</v>
      </c>
      <c r="Q28" s="34">
        <f t="shared" si="16"/>
        <v>275</v>
      </c>
      <c r="R28" s="9"/>
      <c r="S28" s="34">
        <f t="shared" si="17"/>
        <v>100</v>
      </c>
      <c r="T28" s="34">
        <f t="shared" si="18"/>
        <v>165</v>
      </c>
      <c r="U28" s="34">
        <f t="shared" si="19"/>
        <v>85</v>
      </c>
      <c r="V28" s="4" t="str">
        <f t="shared" si="20"/>
        <v/>
      </c>
      <c r="W28" s="4">
        <v>2</v>
      </c>
      <c r="X28" s="4">
        <v>4</v>
      </c>
      <c r="Y28" s="10"/>
      <c r="Z28" s="10"/>
      <c r="AA28" s="10"/>
      <c r="AB28" s="10"/>
      <c r="AC28" s="10"/>
      <c r="AD28" s="9"/>
      <c r="AE28" s="9"/>
      <c r="AF28" s="4">
        <f t="shared" si="4"/>
        <v>10</v>
      </c>
      <c r="AG28" s="6">
        <f t="shared" si="21"/>
        <v>4449.3744999999999</v>
      </c>
      <c r="AH28" s="4"/>
      <c r="AI28" s="6">
        <f t="shared" si="22"/>
        <v>399.54370499999999</v>
      </c>
      <c r="AJ28" s="4"/>
      <c r="AK28" s="6">
        <f t="shared" si="23"/>
        <v>44.393745000000003</v>
      </c>
      <c r="AL28" s="6">
        <f t="shared" si="24"/>
        <v>44.393745000000003</v>
      </c>
      <c r="AM28" s="7">
        <v>7</v>
      </c>
      <c r="AN28" s="6">
        <f t="shared" si="25"/>
        <v>1.7</v>
      </c>
      <c r="AO28" s="5"/>
      <c r="AP28" s="5">
        <v>86.8</v>
      </c>
      <c r="AQ28" s="5">
        <v>26.6</v>
      </c>
      <c r="AR28" s="5"/>
      <c r="AS28" s="5">
        <v>2</v>
      </c>
      <c r="AT28" s="6">
        <f t="shared" si="5"/>
        <v>4.5</v>
      </c>
      <c r="AU28" s="6">
        <f t="shared" si="6"/>
        <v>2</v>
      </c>
      <c r="AV28" s="6">
        <f t="shared" si="7"/>
        <v>0.25</v>
      </c>
      <c r="AW28" s="6">
        <f t="shared" si="8"/>
        <v>3</v>
      </c>
      <c r="AX28" s="6">
        <f t="shared" si="9"/>
        <v>0.5</v>
      </c>
      <c r="AY28" s="6">
        <f t="shared" si="10"/>
        <v>116.62140000000001</v>
      </c>
      <c r="AZ28" s="5"/>
      <c r="BA28" s="5"/>
      <c r="BB28" s="5"/>
      <c r="BC28" s="5"/>
      <c r="BD28" s="5"/>
      <c r="BE28" s="4"/>
      <c r="BF28" s="4"/>
      <c r="BG28" s="4"/>
      <c r="BH28" s="7">
        <v>0.02</v>
      </c>
      <c r="BI28" s="6">
        <f t="shared" si="11"/>
        <v>739.32259499999998</v>
      </c>
      <c r="BJ28" s="6">
        <f t="shared" si="12"/>
        <v>3710.0519049999998</v>
      </c>
      <c r="BK28" s="11" t="s">
        <v>95</v>
      </c>
      <c r="BL28" s="11" t="s">
        <v>53</v>
      </c>
      <c r="BM28" s="11"/>
      <c r="BN28" s="156"/>
      <c r="BO28" s="101" t="s">
        <v>119</v>
      </c>
      <c r="BP28" s="42" t="s">
        <v>232</v>
      </c>
      <c r="BQ28" s="160">
        <f t="shared" si="13"/>
        <v>675</v>
      </c>
    </row>
    <row r="29" spans="2:72" ht="24" customHeight="1">
      <c r="B29" t="str">
        <f t="shared" si="14"/>
        <v xml:space="preserve">شيماء رأفت محمد </v>
      </c>
      <c r="C29" s="1">
        <v>258</v>
      </c>
      <c r="D29" s="3">
        <v>20</v>
      </c>
      <c r="E29" s="9"/>
      <c r="F29" s="10">
        <v>1126.3399999999999</v>
      </c>
      <c r="G29" s="5">
        <v>24.92</v>
      </c>
      <c r="H29" s="6">
        <f t="shared" si="0"/>
        <v>25.8</v>
      </c>
      <c r="I29" s="6">
        <f t="shared" si="1"/>
        <v>64.5</v>
      </c>
      <c r="J29" s="6">
        <f t="shared" si="2"/>
        <v>129</v>
      </c>
      <c r="K29" s="6">
        <f t="shared" si="3"/>
        <v>129</v>
      </c>
      <c r="L29" s="5">
        <v>322.5</v>
      </c>
      <c r="M29" s="29"/>
      <c r="N29" s="33">
        <f t="shared" si="15"/>
        <v>375</v>
      </c>
      <c r="O29" s="4">
        <v>150</v>
      </c>
      <c r="P29" s="9">
        <v>250</v>
      </c>
      <c r="Q29" s="34">
        <f t="shared" si="16"/>
        <v>275</v>
      </c>
      <c r="R29" s="9">
        <v>387</v>
      </c>
      <c r="S29" s="34">
        <f t="shared" si="17"/>
        <v>100</v>
      </c>
      <c r="T29" s="34">
        <f t="shared" si="18"/>
        <v>165</v>
      </c>
      <c r="U29" s="34">
        <f t="shared" si="19"/>
        <v>85</v>
      </c>
      <c r="V29" s="4" t="str">
        <f t="shared" si="20"/>
        <v/>
      </c>
      <c r="W29" s="4">
        <v>2</v>
      </c>
      <c r="X29" s="4">
        <v>4</v>
      </c>
      <c r="Y29" s="10"/>
      <c r="Z29" s="10"/>
      <c r="AA29" s="10"/>
      <c r="AB29" s="10"/>
      <c r="AC29" s="10"/>
      <c r="AD29" s="9"/>
      <c r="AE29" s="9"/>
      <c r="AF29" s="4">
        <f t="shared" si="4"/>
        <v>10</v>
      </c>
      <c r="AG29" s="6">
        <f t="shared" si="21"/>
        <v>3625.06</v>
      </c>
      <c r="AH29" s="4"/>
      <c r="AI29" s="6">
        <f t="shared" si="22"/>
        <v>325.35539999999997</v>
      </c>
      <c r="AJ29" s="4"/>
      <c r="AK29" s="6">
        <f t="shared" si="23"/>
        <v>36.150599999999997</v>
      </c>
      <c r="AL29" s="6">
        <f t="shared" si="24"/>
        <v>36.150599999999997</v>
      </c>
      <c r="AM29" s="7">
        <v>7</v>
      </c>
      <c r="AN29" s="6">
        <f t="shared" si="25"/>
        <v>1.7</v>
      </c>
      <c r="AO29" s="5"/>
      <c r="AP29" s="5">
        <v>35.799999999999997</v>
      </c>
      <c r="AQ29" s="5">
        <v>22.4</v>
      </c>
      <c r="AR29" s="5"/>
      <c r="AS29" s="5">
        <v>1.5</v>
      </c>
      <c r="AT29" s="6">
        <f t="shared" si="5"/>
        <v>4.5</v>
      </c>
      <c r="AU29" s="6">
        <f t="shared" si="6"/>
        <v>2</v>
      </c>
      <c r="AV29" s="6">
        <f t="shared" si="7"/>
        <v>0.25</v>
      </c>
      <c r="AW29" s="6">
        <f t="shared" si="8"/>
        <v>3</v>
      </c>
      <c r="AX29" s="6">
        <f t="shared" si="9"/>
        <v>0.5</v>
      </c>
      <c r="AY29" s="6">
        <f t="shared" si="10"/>
        <v>78.843800000000002</v>
      </c>
      <c r="AZ29" s="5"/>
      <c r="BA29" s="5"/>
      <c r="BB29" s="5"/>
      <c r="BC29" s="5"/>
      <c r="BD29" s="5"/>
      <c r="BE29" s="4"/>
      <c r="BF29" s="4"/>
      <c r="BG29" s="4"/>
      <c r="BH29" s="7">
        <v>0.01</v>
      </c>
      <c r="BI29" s="6">
        <f t="shared" si="11"/>
        <v>555.16039999999998</v>
      </c>
      <c r="BJ29" s="6">
        <f t="shared" si="12"/>
        <v>3069.8995999999997</v>
      </c>
      <c r="BK29" s="11" t="s">
        <v>96</v>
      </c>
      <c r="BL29" s="11" t="s">
        <v>53</v>
      </c>
      <c r="BM29" s="11"/>
      <c r="BN29" s="156"/>
      <c r="BO29" s="101" t="s">
        <v>119</v>
      </c>
      <c r="BP29" s="42" t="s">
        <v>232</v>
      </c>
      <c r="BQ29" s="160">
        <f t="shared" si="13"/>
        <v>675</v>
      </c>
    </row>
    <row r="30" spans="2:72" ht="24" customHeight="1">
      <c r="B30" t="str">
        <f t="shared" si="14"/>
        <v>شهيره السعيد عبدالغنى</v>
      </c>
      <c r="C30" s="1">
        <v>262</v>
      </c>
      <c r="D30" s="3">
        <v>21</v>
      </c>
      <c r="E30" s="9"/>
      <c r="F30" s="10">
        <v>1161.6199999999999</v>
      </c>
      <c r="G30" s="5">
        <v>25.32</v>
      </c>
      <c r="H30" s="6">
        <f t="shared" si="0"/>
        <v>26.200000000000003</v>
      </c>
      <c r="I30" s="6">
        <f t="shared" si="1"/>
        <v>65.5</v>
      </c>
      <c r="J30" s="6">
        <f t="shared" si="2"/>
        <v>131</v>
      </c>
      <c r="K30" s="6">
        <f t="shared" si="3"/>
        <v>131</v>
      </c>
      <c r="L30" s="5">
        <v>327.5</v>
      </c>
      <c r="M30" s="29"/>
      <c r="N30" s="33">
        <f t="shared" si="15"/>
        <v>375</v>
      </c>
      <c r="O30" s="4">
        <v>150</v>
      </c>
      <c r="P30" s="9">
        <v>250</v>
      </c>
      <c r="Q30" s="34">
        <f t="shared" si="16"/>
        <v>275</v>
      </c>
      <c r="R30" s="9">
        <v>336</v>
      </c>
      <c r="S30" s="34">
        <f t="shared" si="17"/>
        <v>100</v>
      </c>
      <c r="T30" s="34">
        <f t="shared" si="18"/>
        <v>165</v>
      </c>
      <c r="U30" s="34">
        <f t="shared" si="19"/>
        <v>85</v>
      </c>
      <c r="V30" s="4" t="str">
        <f t="shared" si="20"/>
        <v/>
      </c>
      <c r="W30" s="4">
        <v>2</v>
      </c>
      <c r="X30" s="4">
        <v>4</v>
      </c>
      <c r="Y30" s="10"/>
      <c r="Z30" s="10"/>
      <c r="AA30" s="10"/>
      <c r="AB30" s="10"/>
      <c r="AC30" s="10"/>
      <c r="AD30" s="9"/>
      <c r="AE30" s="9"/>
      <c r="AF30" s="4">
        <f t="shared" si="4"/>
        <v>10</v>
      </c>
      <c r="AG30" s="6">
        <f t="shared" si="21"/>
        <v>3620.14</v>
      </c>
      <c r="AH30" s="4"/>
      <c r="AI30" s="6">
        <f t="shared" si="22"/>
        <v>324.9126</v>
      </c>
      <c r="AJ30" s="4"/>
      <c r="AK30" s="6">
        <f t="shared" si="23"/>
        <v>36.101399999999998</v>
      </c>
      <c r="AL30" s="6">
        <f t="shared" si="24"/>
        <v>36.101399999999998</v>
      </c>
      <c r="AM30" s="7">
        <v>7</v>
      </c>
      <c r="AN30" s="6">
        <f t="shared" si="25"/>
        <v>1.7</v>
      </c>
      <c r="AO30" s="5"/>
      <c r="AP30" s="5">
        <v>35.799999999999997</v>
      </c>
      <c r="AQ30" s="5">
        <v>22.25</v>
      </c>
      <c r="AR30" s="5"/>
      <c r="AS30" s="5">
        <v>1.5</v>
      </c>
      <c r="AT30" s="6">
        <f t="shared" si="5"/>
        <v>4.5</v>
      </c>
      <c r="AU30" s="6">
        <f t="shared" si="6"/>
        <v>2</v>
      </c>
      <c r="AV30" s="6">
        <f t="shared" si="7"/>
        <v>0.25</v>
      </c>
      <c r="AW30" s="6">
        <f t="shared" si="8"/>
        <v>3</v>
      </c>
      <c r="AX30" s="6">
        <f t="shared" si="9"/>
        <v>0.5</v>
      </c>
      <c r="AY30" s="6">
        <f t="shared" si="10"/>
        <v>81.313400000000001</v>
      </c>
      <c r="AZ30" s="5"/>
      <c r="BA30" s="5"/>
      <c r="BB30" s="5"/>
      <c r="BC30" s="5"/>
      <c r="BD30" s="5"/>
      <c r="BE30" s="4"/>
      <c r="BF30" s="4"/>
      <c r="BG30" s="4"/>
      <c r="BH30" s="7">
        <v>0.01</v>
      </c>
      <c r="BI30" s="6">
        <f t="shared" si="11"/>
        <v>556.93880000000001</v>
      </c>
      <c r="BJ30" s="6">
        <f t="shared" si="12"/>
        <v>3063.2012</v>
      </c>
      <c r="BK30" s="11" t="s">
        <v>97</v>
      </c>
      <c r="BL30" s="11" t="s">
        <v>53</v>
      </c>
      <c r="BM30" s="11"/>
      <c r="BN30" s="156"/>
      <c r="BO30" s="101" t="s">
        <v>119</v>
      </c>
      <c r="BP30" s="42" t="s">
        <v>232</v>
      </c>
      <c r="BQ30" s="160">
        <f t="shared" si="13"/>
        <v>675</v>
      </c>
    </row>
    <row r="31" spans="2:72" ht="24" customHeight="1">
      <c r="B31" t="str">
        <f t="shared" si="14"/>
        <v>هبه عبدالعزيز صلاح</v>
      </c>
      <c r="C31" s="1">
        <v>262</v>
      </c>
      <c r="D31" s="3">
        <v>22</v>
      </c>
      <c r="E31" s="9"/>
      <c r="F31" s="10">
        <v>1161.6199999999999</v>
      </c>
      <c r="G31" s="5">
        <v>25.32</v>
      </c>
      <c r="H31" s="6">
        <f t="shared" si="0"/>
        <v>26.200000000000003</v>
      </c>
      <c r="I31" s="6">
        <f t="shared" si="1"/>
        <v>65.5</v>
      </c>
      <c r="J31" s="6">
        <f t="shared" si="2"/>
        <v>131</v>
      </c>
      <c r="K31" s="6">
        <f t="shared" si="3"/>
        <v>131</v>
      </c>
      <c r="L31" s="5">
        <v>327.5</v>
      </c>
      <c r="M31" s="29"/>
      <c r="N31" s="33">
        <f t="shared" si="15"/>
        <v>375</v>
      </c>
      <c r="O31" s="4">
        <v>150</v>
      </c>
      <c r="P31" s="9">
        <v>250</v>
      </c>
      <c r="Q31" s="34">
        <f t="shared" si="16"/>
        <v>275</v>
      </c>
      <c r="R31" s="9">
        <v>336</v>
      </c>
      <c r="S31" s="34">
        <f t="shared" si="17"/>
        <v>100</v>
      </c>
      <c r="T31" s="34">
        <f t="shared" si="18"/>
        <v>165</v>
      </c>
      <c r="U31" s="34">
        <f t="shared" si="19"/>
        <v>85</v>
      </c>
      <c r="V31" s="4" t="str">
        <f t="shared" si="20"/>
        <v/>
      </c>
      <c r="W31" s="4">
        <v>2</v>
      </c>
      <c r="X31" s="4">
        <v>4</v>
      </c>
      <c r="Y31" s="10"/>
      <c r="Z31" s="10"/>
      <c r="AA31" s="10"/>
      <c r="AB31" s="10"/>
      <c r="AC31" s="10"/>
      <c r="AD31" s="9"/>
      <c r="AE31" s="9"/>
      <c r="AF31" s="4">
        <f t="shared" si="4"/>
        <v>10</v>
      </c>
      <c r="AG31" s="6">
        <f t="shared" si="21"/>
        <v>3620.14</v>
      </c>
      <c r="AH31" s="4"/>
      <c r="AI31" s="6">
        <f t="shared" si="22"/>
        <v>324.9126</v>
      </c>
      <c r="AJ31" s="4"/>
      <c r="AK31" s="6">
        <f t="shared" si="23"/>
        <v>36.101399999999998</v>
      </c>
      <c r="AL31" s="6">
        <f t="shared" si="24"/>
        <v>36.101399999999998</v>
      </c>
      <c r="AM31" s="7">
        <v>7</v>
      </c>
      <c r="AN31" s="6">
        <f t="shared" si="25"/>
        <v>1.7</v>
      </c>
      <c r="AO31" s="5"/>
      <c r="AP31" s="5">
        <v>35.799999999999997</v>
      </c>
      <c r="AQ31" s="5">
        <v>22.25</v>
      </c>
      <c r="AR31" s="5"/>
      <c r="AS31" s="5">
        <v>1.5</v>
      </c>
      <c r="AT31" s="6">
        <f t="shared" si="5"/>
        <v>4.5</v>
      </c>
      <c r="AU31" s="6">
        <f t="shared" si="6"/>
        <v>2</v>
      </c>
      <c r="AV31" s="6">
        <f t="shared" si="7"/>
        <v>0.25</v>
      </c>
      <c r="AW31" s="6">
        <f t="shared" si="8"/>
        <v>3</v>
      </c>
      <c r="AX31" s="6">
        <f t="shared" si="9"/>
        <v>0.5</v>
      </c>
      <c r="AY31" s="6">
        <f t="shared" si="10"/>
        <v>81.313400000000001</v>
      </c>
      <c r="AZ31" s="5"/>
      <c r="BA31" s="5"/>
      <c r="BB31" s="5"/>
      <c r="BC31" s="5"/>
      <c r="BD31" s="5"/>
      <c r="BE31" s="4"/>
      <c r="BF31" s="4"/>
      <c r="BG31" s="4"/>
      <c r="BH31" s="7">
        <v>0.01</v>
      </c>
      <c r="BI31" s="6">
        <f t="shared" si="11"/>
        <v>556.93880000000001</v>
      </c>
      <c r="BJ31" s="6">
        <f t="shared" si="12"/>
        <v>3063.2012</v>
      </c>
      <c r="BK31" s="11" t="s">
        <v>98</v>
      </c>
      <c r="BL31" s="11" t="s">
        <v>53</v>
      </c>
      <c r="BM31" s="11"/>
      <c r="BN31" s="156"/>
      <c r="BO31" s="101" t="s">
        <v>119</v>
      </c>
      <c r="BP31" s="42" t="s">
        <v>232</v>
      </c>
      <c r="BQ31" s="160">
        <f t="shared" si="13"/>
        <v>675</v>
      </c>
    </row>
    <row r="32" spans="2:72" ht="24" customHeight="1">
      <c r="B32">
        <f t="shared" si="14"/>
        <v>0</v>
      </c>
      <c r="C32" s="1"/>
      <c r="D32" s="3"/>
      <c r="E32" s="9"/>
      <c r="F32" s="10"/>
      <c r="G32" s="5"/>
      <c r="H32" s="6" t="str">
        <f t="shared" si="0"/>
        <v/>
      </c>
      <c r="I32" s="6" t="str">
        <f t="shared" si="1"/>
        <v/>
      </c>
      <c r="J32" s="6" t="str">
        <f t="shared" si="2"/>
        <v/>
      </c>
      <c r="K32" s="6" t="str">
        <f t="shared" si="3"/>
        <v/>
      </c>
      <c r="L32" s="5"/>
      <c r="M32" s="29"/>
      <c r="N32" s="33" t="str">
        <f t="shared" si="15"/>
        <v/>
      </c>
      <c r="O32" s="9"/>
      <c r="P32" s="9"/>
      <c r="Q32" s="34">
        <f t="shared" si="16"/>
        <v>0</v>
      </c>
      <c r="R32" s="9"/>
      <c r="S32" s="34" t="str">
        <f t="shared" si="17"/>
        <v/>
      </c>
      <c r="T32" s="34" t="str">
        <f t="shared" si="18"/>
        <v/>
      </c>
      <c r="U32" s="34" t="str">
        <f t="shared" si="19"/>
        <v/>
      </c>
      <c r="V32" s="4">
        <f t="shared" si="20"/>
        <v>0</v>
      </c>
      <c r="W32" s="4"/>
      <c r="X32" s="9"/>
      <c r="Y32" s="10"/>
      <c r="Z32" s="10"/>
      <c r="AA32" s="10"/>
      <c r="AB32" s="10"/>
      <c r="AC32" s="10"/>
      <c r="AD32" s="9"/>
      <c r="AE32" s="9"/>
      <c r="AF32" s="4" t="str">
        <f t="shared" si="4"/>
        <v/>
      </c>
      <c r="AG32" s="6">
        <f t="shared" si="21"/>
        <v>0</v>
      </c>
      <c r="AH32" s="4"/>
      <c r="AI32" s="6">
        <f t="shared" si="22"/>
        <v>0</v>
      </c>
      <c r="AJ32" s="4"/>
      <c r="AK32" s="6">
        <f t="shared" si="23"/>
        <v>0</v>
      </c>
      <c r="AL32" s="6">
        <f t="shared" si="24"/>
        <v>0</v>
      </c>
      <c r="AM32" s="7"/>
      <c r="AN32" s="6" t="str">
        <f t="shared" si="25"/>
        <v/>
      </c>
      <c r="AO32" s="5"/>
      <c r="AP32" s="5"/>
      <c r="AQ32" s="5"/>
      <c r="AR32" s="5"/>
      <c r="AS32" s="5"/>
      <c r="AT32" s="6" t="str">
        <f t="shared" si="5"/>
        <v/>
      </c>
      <c r="AU32" s="6" t="str">
        <f t="shared" si="6"/>
        <v/>
      </c>
      <c r="AV32" s="6" t="str">
        <f t="shared" si="7"/>
        <v/>
      </c>
      <c r="AW32" s="6" t="str">
        <f t="shared" si="8"/>
        <v/>
      </c>
      <c r="AX32" s="6" t="str">
        <f t="shared" si="9"/>
        <v/>
      </c>
      <c r="AY32" s="6" t="str">
        <f t="shared" si="10"/>
        <v/>
      </c>
      <c r="AZ32" s="5"/>
      <c r="BA32" s="5"/>
      <c r="BB32" s="5"/>
      <c r="BC32" s="5"/>
      <c r="BD32" s="5"/>
      <c r="BE32" s="4"/>
      <c r="BF32" s="4"/>
      <c r="BG32" s="4"/>
      <c r="BH32" s="7"/>
      <c r="BI32" s="6">
        <f t="shared" si="11"/>
        <v>0</v>
      </c>
      <c r="BJ32" s="6">
        <f t="shared" si="12"/>
        <v>0</v>
      </c>
      <c r="BK32" s="11"/>
      <c r="BL32" s="11"/>
      <c r="BM32" s="11"/>
      <c r="BN32" s="156"/>
      <c r="BQ32" s="160">
        <f t="shared" si="13"/>
        <v>0</v>
      </c>
    </row>
    <row r="33" spans="2:74" ht="24" customHeight="1">
      <c r="B33">
        <f t="shared" si="14"/>
        <v>0</v>
      </c>
      <c r="C33" s="1"/>
      <c r="D33" s="3"/>
      <c r="E33" s="9"/>
      <c r="F33" s="10"/>
      <c r="G33" s="5">
        <f>C33*10%</f>
        <v>0</v>
      </c>
      <c r="H33" s="6" t="str">
        <f t="shared" si="0"/>
        <v/>
      </c>
      <c r="I33" s="6" t="str">
        <f t="shared" si="1"/>
        <v/>
      </c>
      <c r="J33" s="6" t="str">
        <f t="shared" si="2"/>
        <v/>
      </c>
      <c r="K33" s="6" t="str">
        <f t="shared" si="3"/>
        <v/>
      </c>
      <c r="L33" s="5">
        <f>IF(BL33="كبير ا",C33*200%,IF(BL33="كبير",C33*175%,IF(BL33="اولى",C33*150%,IF(BL33="ثانيه",C33*100%,IF(BL33="ثالثه",C33*75%,)))))</f>
        <v>0</v>
      </c>
      <c r="M33" s="29"/>
      <c r="N33" s="33" t="str">
        <f t="shared" si="15"/>
        <v/>
      </c>
      <c r="O33" s="9"/>
      <c r="P33" s="9"/>
      <c r="Q33" s="34">
        <f t="shared" si="16"/>
        <v>0</v>
      </c>
      <c r="R33" s="9"/>
      <c r="S33" s="34" t="str">
        <f t="shared" si="17"/>
        <v/>
      </c>
      <c r="T33" s="34" t="str">
        <f t="shared" si="18"/>
        <v/>
      </c>
      <c r="U33" s="34" t="str">
        <f t="shared" si="19"/>
        <v/>
      </c>
      <c r="V33" s="4">
        <f t="shared" si="20"/>
        <v>0</v>
      </c>
      <c r="W33" s="4"/>
      <c r="X33" s="9"/>
      <c r="Y33" s="10"/>
      <c r="Z33" s="10"/>
      <c r="AA33" s="10"/>
      <c r="AB33" s="10"/>
      <c r="AC33" s="10"/>
      <c r="AD33" s="9"/>
      <c r="AE33" s="9"/>
      <c r="AF33" s="4" t="str">
        <f t="shared" si="4"/>
        <v/>
      </c>
      <c r="AG33" s="6">
        <f t="shared" si="21"/>
        <v>0</v>
      </c>
      <c r="AH33" s="4"/>
      <c r="AI33" s="6">
        <f t="shared" si="22"/>
        <v>0</v>
      </c>
      <c r="AJ33" s="4"/>
      <c r="AK33" s="6">
        <f t="shared" si="23"/>
        <v>0</v>
      </c>
      <c r="AL33" s="6">
        <f t="shared" si="24"/>
        <v>0</v>
      </c>
      <c r="AM33" s="7"/>
      <c r="AN33" s="6" t="str">
        <f t="shared" si="25"/>
        <v/>
      </c>
      <c r="AO33" s="5"/>
      <c r="AP33" s="5"/>
      <c r="AQ33" s="5"/>
      <c r="AR33" s="5"/>
      <c r="AS33" s="5"/>
      <c r="AT33" s="6" t="str">
        <f t="shared" si="5"/>
        <v/>
      </c>
      <c r="AU33" s="6" t="str">
        <f t="shared" si="6"/>
        <v/>
      </c>
      <c r="AV33" s="6" t="str">
        <f t="shared" si="7"/>
        <v/>
      </c>
      <c r="AW33" s="6" t="str">
        <f t="shared" si="8"/>
        <v/>
      </c>
      <c r="AX33" s="6" t="str">
        <f t="shared" si="9"/>
        <v/>
      </c>
      <c r="AY33" s="6" t="str">
        <f t="shared" si="10"/>
        <v/>
      </c>
      <c r="AZ33" s="5"/>
      <c r="BA33" s="5"/>
      <c r="BB33" s="5"/>
      <c r="BC33" s="5"/>
      <c r="BD33" s="5"/>
      <c r="BE33" s="4"/>
      <c r="BF33" s="4"/>
      <c r="BG33" s="4"/>
      <c r="BH33" s="7"/>
      <c r="BI33" s="6">
        <f t="shared" si="11"/>
        <v>0</v>
      </c>
      <c r="BJ33" s="6">
        <f t="shared" si="12"/>
        <v>0</v>
      </c>
      <c r="BK33" s="11"/>
      <c r="BL33" s="11"/>
      <c r="BM33" s="11"/>
      <c r="BN33" s="156"/>
      <c r="BQ33" s="160">
        <f t="shared" si="13"/>
        <v>0</v>
      </c>
    </row>
    <row r="34" spans="2:74" ht="24" customHeight="1">
      <c r="B34">
        <f t="shared" si="14"/>
        <v>0</v>
      </c>
      <c r="C34" s="1"/>
      <c r="D34" s="3"/>
      <c r="E34" s="9"/>
      <c r="F34" s="10"/>
      <c r="G34" s="5">
        <f>C34*10%</f>
        <v>0</v>
      </c>
      <c r="H34" s="6" t="str">
        <f t="shared" si="0"/>
        <v/>
      </c>
      <c r="I34" s="6" t="str">
        <f t="shared" si="1"/>
        <v/>
      </c>
      <c r="J34" s="6" t="str">
        <f t="shared" si="2"/>
        <v/>
      </c>
      <c r="K34" s="6" t="str">
        <f t="shared" si="3"/>
        <v/>
      </c>
      <c r="L34" s="5">
        <f>IF(BL34="كبير ا",C34*200%,IF(BL34="كبير",C34*175%,IF(BL34="اولى",C34*150%,IF(BL34="ثانيه",C34*100%,IF(BL34="ثالثه",C34*75%,)))))</f>
        <v>0</v>
      </c>
      <c r="M34" s="29"/>
      <c r="N34" s="33" t="str">
        <f t="shared" si="15"/>
        <v/>
      </c>
      <c r="O34" s="9"/>
      <c r="P34" s="9"/>
      <c r="Q34" s="34">
        <f t="shared" si="16"/>
        <v>0</v>
      </c>
      <c r="R34" s="9"/>
      <c r="S34" s="34" t="str">
        <f t="shared" si="17"/>
        <v/>
      </c>
      <c r="T34" s="34" t="str">
        <f t="shared" si="18"/>
        <v/>
      </c>
      <c r="U34" s="34" t="str">
        <f t="shared" si="19"/>
        <v/>
      </c>
      <c r="V34" s="4">
        <f t="shared" si="20"/>
        <v>0</v>
      </c>
      <c r="W34" s="4"/>
      <c r="X34" s="9"/>
      <c r="Y34" s="10"/>
      <c r="Z34" s="10"/>
      <c r="AA34" s="10"/>
      <c r="AB34" s="10"/>
      <c r="AC34" s="10"/>
      <c r="AD34" s="9"/>
      <c r="AE34" s="9"/>
      <c r="AF34" s="4" t="str">
        <f t="shared" si="4"/>
        <v/>
      </c>
      <c r="AG34" s="6">
        <f t="shared" si="21"/>
        <v>0</v>
      </c>
      <c r="AH34" s="4"/>
      <c r="AI34" s="6">
        <f t="shared" si="22"/>
        <v>0</v>
      </c>
      <c r="AJ34" s="4"/>
      <c r="AK34" s="6">
        <f t="shared" si="23"/>
        <v>0</v>
      </c>
      <c r="AL34" s="6">
        <f t="shared" si="24"/>
        <v>0</v>
      </c>
      <c r="AM34" s="7"/>
      <c r="AN34" s="6" t="str">
        <f t="shared" si="25"/>
        <v/>
      </c>
      <c r="AO34" s="5"/>
      <c r="AP34" s="5"/>
      <c r="AQ34" s="5"/>
      <c r="AR34" s="5"/>
      <c r="AS34" s="5"/>
      <c r="AT34" s="6" t="str">
        <f t="shared" si="5"/>
        <v/>
      </c>
      <c r="AU34" s="6" t="str">
        <f t="shared" si="6"/>
        <v/>
      </c>
      <c r="AV34" s="6" t="str">
        <f t="shared" si="7"/>
        <v/>
      </c>
      <c r="AW34" s="6" t="str">
        <f t="shared" si="8"/>
        <v/>
      </c>
      <c r="AX34" s="6" t="str">
        <f t="shared" si="9"/>
        <v/>
      </c>
      <c r="AY34" s="6" t="str">
        <f t="shared" si="10"/>
        <v/>
      </c>
      <c r="AZ34" s="5"/>
      <c r="BA34" s="5"/>
      <c r="BB34" s="5"/>
      <c r="BC34" s="5"/>
      <c r="BD34" s="5"/>
      <c r="BE34" s="4"/>
      <c r="BF34" s="4"/>
      <c r="BG34" s="4"/>
      <c r="BH34" s="7"/>
      <c r="BI34" s="6">
        <f t="shared" si="11"/>
        <v>0</v>
      </c>
      <c r="BJ34" s="6">
        <f t="shared" si="12"/>
        <v>0</v>
      </c>
      <c r="BK34" s="11"/>
      <c r="BL34" s="11"/>
      <c r="BM34" s="11"/>
      <c r="BN34" s="156"/>
      <c r="BQ34" s="160">
        <f t="shared" si="13"/>
        <v>0</v>
      </c>
    </row>
    <row r="35" spans="2:74" s="1" customFormat="1" ht="24" customHeight="1" thickBot="1">
      <c r="D35" s="12"/>
      <c r="E35" s="13"/>
      <c r="F35" s="13">
        <f t="shared" ref="F35:AK35" si="26">SUM(F10:F34)</f>
        <v>35646.33</v>
      </c>
      <c r="G35" s="13">
        <f t="shared" si="26"/>
        <v>994.9799999999999</v>
      </c>
      <c r="H35" s="13">
        <f t="shared" si="26"/>
        <v>1061.0650000000003</v>
      </c>
      <c r="I35" s="13">
        <f t="shared" si="26"/>
        <v>2652.6624999999999</v>
      </c>
      <c r="J35" s="13">
        <f t="shared" si="26"/>
        <v>2975.0999999999995</v>
      </c>
      <c r="K35" s="13">
        <f t="shared" si="26"/>
        <v>5305.3249999999998</v>
      </c>
      <c r="L35" s="13">
        <f t="shared" si="26"/>
        <v>18485.48</v>
      </c>
      <c r="M35" s="13">
        <f t="shared" si="26"/>
        <v>0</v>
      </c>
      <c r="N35" s="14">
        <f t="shared" si="26"/>
        <v>7300</v>
      </c>
      <c r="O35" s="14">
        <f t="shared" si="26"/>
        <v>3300</v>
      </c>
      <c r="P35" s="14">
        <f t="shared" si="26"/>
        <v>6775</v>
      </c>
      <c r="Q35" s="14">
        <f t="shared" si="26"/>
        <v>7450</v>
      </c>
      <c r="R35" s="14">
        <f t="shared" si="26"/>
        <v>1933</v>
      </c>
      <c r="S35" s="14">
        <f t="shared" si="26"/>
        <v>3325</v>
      </c>
      <c r="T35" s="14">
        <f t="shared" si="26"/>
        <v>3260</v>
      </c>
      <c r="U35" s="14">
        <f t="shared" si="26"/>
        <v>2875</v>
      </c>
      <c r="V35" s="14">
        <f t="shared" si="26"/>
        <v>0</v>
      </c>
      <c r="W35" s="14">
        <f t="shared" si="26"/>
        <v>78</v>
      </c>
      <c r="X35" s="14">
        <f t="shared" si="26"/>
        <v>88</v>
      </c>
      <c r="Y35" s="13">
        <f t="shared" si="26"/>
        <v>173.82</v>
      </c>
      <c r="Z35" s="13">
        <f t="shared" si="26"/>
        <v>0</v>
      </c>
      <c r="AA35" s="13">
        <f t="shared" si="26"/>
        <v>0</v>
      </c>
      <c r="AB35" s="13">
        <f t="shared" si="26"/>
        <v>0</v>
      </c>
      <c r="AC35" s="13">
        <f t="shared" si="26"/>
        <v>0</v>
      </c>
      <c r="AD35" s="13">
        <f t="shared" si="26"/>
        <v>0</v>
      </c>
      <c r="AE35" s="13">
        <f t="shared" si="26"/>
        <v>0</v>
      </c>
      <c r="AF35" s="14">
        <f t="shared" si="26"/>
        <v>220</v>
      </c>
      <c r="AG35" s="13">
        <f t="shared" si="26"/>
        <v>103898.7625</v>
      </c>
      <c r="AH35" s="13">
        <f t="shared" si="26"/>
        <v>0</v>
      </c>
      <c r="AI35" s="13">
        <f t="shared" si="26"/>
        <v>9331.0886249999985</v>
      </c>
      <c r="AJ35" s="13">
        <f t="shared" si="26"/>
        <v>2.82</v>
      </c>
      <c r="AK35" s="13">
        <f t="shared" si="26"/>
        <v>1036.7876249999999</v>
      </c>
      <c r="AL35" s="13">
        <f t="shared" ref="AL35:BJ35" si="27">SUM(AL10:AL34)</f>
        <v>1036.7876249999999</v>
      </c>
      <c r="AM35" s="13">
        <f>SUM(AM10:AM34)</f>
        <v>189.20000000000002</v>
      </c>
      <c r="AN35" s="13">
        <f t="shared" si="27"/>
        <v>57.5</v>
      </c>
      <c r="AO35" s="13">
        <f t="shared" si="27"/>
        <v>90</v>
      </c>
      <c r="AP35" s="13">
        <f t="shared" si="27"/>
        <v>2427.8000000000002</v>
      </c>
      <c r="AQ35" s="13">
        <f t="shared" si="27"/>
        <v>636.29999999999995</v>
      </c>
      <c r="AR35" s="13">
        <f t="shared" si="27"/>
        <v>0</v>
      </c>
      <c r="AS35" s="13">
        <f t="shared" si="27"/>
        <v>42.5</v>
      </c>
      <c r="AT35" s="13">
        <f t="shared" si="27"/>
        <v>99</v>
      </c>
      <c r="AU35" s="13">
        <f t="shared" si="27"/>
        <v>44</v>
      </c>
      <c r="AV35" s="13">
        <f t="shared" si="27"/>
        <v>5.5</v>
      </c>
      <c r="AW35" s="13">
        <f t="shared" si="27"/>
        <v>66</v>
      </c>
      <c r="AX35" s="13">
        <f t="shared" si="27"/>
        <v>11</v>
      </c>
      <c r="AY35" s="13">
        <f t="shared" si="27"/>
        <v>2495.2431000000006</v>
      </c>
      <c r="AZ35" s="13">
        <f t="shared" si="27"/>
        <v>9</v>
      </c>
      <c r="BA35" s="13">
        <f t="shared" si="27"/>
        <v>250</v>
      </c>
      <c r="BB35" s="13">
        <f t="shared" si="27"/>
        <v>0</v>
      </c>
      <c r="BC35" s="13">
        <f t="shared" si="27"/>
        <v>0</v>
      </c>
      <c r="BD35" s="13">
        <f t="shared" si="27"/>
        <v>0</v>
      </c>
      <c r="BE35" s="13">
        <f t="shared" si="27"/>
        <v>0</v>
      </c>
      <c r="BF35" s="13">
        <f t="shared" si="27"/>
        <v>0</v>
      </c>
      <c r="BG35" s="13"/>
      <c r="BH35" s="13">
        <f t="shared" si="27"/>
        <v>0.44000000000000011</v>
      </c>
      <c r="BI35" s="13">
        <f t="shared" si="27"/>
        <v>17830.966974999996</v>
      </c>
      <c r="BJ35" s="13">
        <f t="shared" si="27"/>
        <v>86067.79552499998</v>
      </c>
      <c r="BK35" s="15"/>
      <c r="BL35" s="15"/>
      <c r="BM35" s="15"/>
      <c r="BN35" s="157"/>
      <c r="BO35" s="161"/>
      <c r="BP35" s="161"/>
      <c r="BQ35" s="160">
        <f t="shared" si="13"/>
        <v>17525</v>
      </c>
      <c r="BR35" s="161"/>
      <c r="BS35" s="161"/>
      <c r="BT35" s="161"/>
      <c r="BU35" s="161"/>
      <c r="BV35" s="161"/>
    </row>
    <row r="36" spans="2:74" ht="15.75" thickTop="1">
      <c r="BQ36" s="160">
        <f t="shared" si="13"/>
        <v>0</v>
      </c>
    </row>
    <row r="37" spans="2:74">
      <c r="BQ37" s="160">
        <f t="shared" si="13"/>
        <v>0</v>
      </c>
    </row>
    <row r="38" spans="2:74">
      <c r="BQ38" s="160">
        <f t="shared" si="13"/>
        <v>0</v>
      </c>
    </row>
    <row r="39" spans="2:74">
      <c r="BQ39" s="160">
        <f t="shared" si="13"/>
        <v>0</v>
      </c>
    </row>
    <row r="40" spans="2:74">
      <c r="BQ40" s="160">
        <f t="shared" si="13"/>
        <v>0</v>
      </c>
    </row>
    <row r="41" spans="2:74">
      <c r="BQ41" s="160">
        <f t="shared" si="13"/>
        <v>0</v>
      </c>
    </row>
    <row r="42" spans="2:74" ht="24" customHeight="1">
      <c r="B42" t="str">
        <f>BK42</f>
        <v>ابراهيم كمال ايوب</v>
      </c>
      <c r="C42" s="1">
        <f>'اعدادى 1'!C10</f>
        <v>458.32</v>
      </c>
      <c r="D42" s="3">
        <v>23</v>
      </c>
      <c r="E42" s="4"/>
      <c r="F42" s="5">
        <f>'اعدادى 1'!F10</f>
        <v>1550.31</v>
      </c>
      <c r="G42" s="5">
        <f>'اعدادى 1'!G10</f>
        <v>42.54</v>
      </c>
      <c r="H42" s="5">
        <f>'اعدادى 1'!H10</f>
        <v>45.832000000000001</v>
      </c>
      <c r="I42" s="5">
        <f>'اعدادى 1'!I10</f>
        <v>114.58</v>
      </c>
      <c r="J42" s="5">
        <f>'اعدادى 1'!J10</f>
        <v>114.58</v>
      </c>
      <c r="K42" s="5">
        <f>'اعدادى 1'!K10</f>
        <v>229.16</v>
      </c>
      <c r="L42" s="5">
        <f>'اعدادى 1'!L10</f>
        <v>802.06</v>
      </c>
      <c r="M42" s="5">
        <f>'اعدادى 1'!M10</f>
        <v>0</v>
      </c>
      <c r="N42" s="28">
        <f>'اعدادى 1'!N10</f>
        <v>325</v>
      </c>
      <c r="O42" s="28">
        <f>'اعدادى 1'!O10</f>
        <v>150</v>
      </c>
      <c r="P42" s="28">
        <f>'اعدادى 1'!P10</f>
        <v>300</v>
      </c>
      <c r="Q42" s="28">
        <f>'اعدادى 1'!Q10</f>
        <v>325</v>
      </c>
      <c r="R42" s="28">
        <f>'اعدادى 1'!R10</f>
        <v>0</v>
      </c>
      <c r="S42" s="28">
        <f>'اعدادى 1'!S10</f>
        <v>165</v>
      </c>
      <c r="T42" s="28">
        <f>'اعدادى 1'!T10</f>
        <v>145</v>
      </c>
      <c r="U42" s="28">
        <f>'اعدادى 1'!U10</f>
        <v>140</v>
      </c>
      <c r="V42" s="28" t="str">
        <f>'اعدادى 1'!V10</f>
        <v/>
      </c>
      <c r="W42" s="28">
        <f>'اعدادى 1'!W10</f>
        <v>6</v>
      </c>
      <c r="X42" s="28">
        <f>'اعدادى 1'!X10</f>
        <v>4</v>
      </c>
      <c r="Y42" s="5">
        <f>'اعدادى 1'!Y10</f>
        <v>114.58</v>
      </c>
      <c r="Z42" s="5">
        <f>'اعدادى 1'!Z10</f>
        <v>0</v>
      </c>
      <c r="AA42" s="5">
        <f>'اعدادى 1'!AA10</f>
        <v>0</v>
      </c>
      <c r="AB42" s="5">
        <f>'اعدادى 1'!AB10</f>
        <v>0</v>
      </c>
      <c r="AC42" s="5">
        <f>'اعدادى 1'!AC10</f>
        <v>0</v>
      </c>
      <c r="AD42" s="5">
        <f>'اعدادى 1'!AD10</f>
        <v>0</v>
      </c>
      <c r="AE42" s="5">
        <f>'اعدادى 1'!AE10</f>
        <v>0</v>
      </c>
      <c r="AF42" s="5">
        <f>'اعدادى 1'!AF10</f>
        <v>10</v>
      </c>
      <c r="AG42" s="5">
        <f>'اعدادى 1'!AG10</f>
        <v>4583.6419999999998</v>
      </c>
      <c r="AH42" s="5">
        <f>'اعدادى 1'!AH10</f>
        <v>0</v>
      </c>
      <c r="AI42" s="5">
        <f>'اعدادى 1'!AI10</f>
        <v>411.62777999999997</v>
      </c>
      <c r="AJ42" s="5">
        <f>'اعدادى 1'!AJ10</f>
        <v>0</v>
      </c>
      <c r="AK42" s="5">
        <f>'اعدادى 1'!AK10</f>
        <v>45.736420000000003</v>
      </c>
      <c r="AL42" s="5">
        <f>'اعدادى 1'!AL10</f>
        <v>45.736420000000003</v>
      </c>
      <c r="AM42" s="5">
        <f>'اعدادى 1'!AM10</f>
        <v>9</v>
      </c>
      <c r="AN42" s="5">
        <f>'اعدادى 1'!AN10</f>
        <v>2.8</v>
      </c>
      <c r="AO42" s="5">
        <f>'اعدادى 1'!AO10</f>
        <v>0</v>
      </c>
      <c r="AP42" s="5">
        <f>'اعدادى 1'!AP10</f>
        <v>93.1</v>
      </c>
      <c r="AQ42" s="5">
        <f>'اعدادى 1'!AQ10</f>
        <v>28</v>
      </c>
      <c r="AR42" s="5">
        <f>'اعدادى 1'!AR10</f>
        <v>0</v>
      </c>
      <c r="AS42" s="5">
        <f>'اعدادى 1'!AS10</f>
        <v>2</v>
      </c>
      <c r="AT42" s="5">
        <f>'اعدادى 1'!AT10</f>
        <v>4.5</v>
      </c>
      <c r="AU42" s="5">
        <f>'اعدادى 1'!AU10</f>
        <v>2</v>
      </c>
      <c r="AV42" s="5">
        <f>'اعدادى 1'!AV10</f>
        <v>0.25</v>
      </c>
      <c r="AW42" s="5">
        <f>'اعدادى 1'!AW10</f>
        <v>3</v>
      </c>
      <c r="AX42" s="5">
        <f>'اعدادى 1'!AX10</f>
        <v>0.5</v>
      </c>
      <c r="AY42" s="5">
        <f>'اعدادى 1'!AY10</f>
        <v>108.52170000000001</v>
      </c>
      <c r="AZ42" s="5">
        <f>'اعدادى 1'!AZ10</f>
        <v>0</v>
      </c>
      <c r="BA42" s="5">
        <f>'اعدادى 1'!BA10</f>
        <v>0</v>
      </c>
      <c r="BB42" s="5">
        <f>'اعدادى 1'!BB10</f>
        <v>0</v>
      </c>
      <c r="BC42" s="5">
        <f>'اعدادى 1'!BC10</f>
        <v>0</v>
      </c>
      <c r="BD42" s="5">
        <f>'اعدادى 1'!BD10</f>
        <v>0</v>
      </c>
      <c r="BE42" s="5">
        <f>'اعدادى 1'!BE10</f>
        <v>0</v>
      </c>
      <c r="BF42" s="5">
        <f>'اعدادى 1'!BF10</f>
        <v>0</v>
      </c>
      <c r="BG42" s="5">
        <f>'اعدادى 1'!BG10</f>
        <v>0</v>
      </c>
      <c r="BH42" s="5">
        <f>'اعدادى 1'!BH10</f>
        <v>0.02</v>
      </c>
      <c r="BI42" s="5">
        <f>'اعدادى 1'!BI10</f>
        <v>756.7923199999999</v>
      </c>
      <c r="BJ42" s="5">
        <f>'اعدادى 1'!BJ10</f>
        <v>3826.8496799999998</v>
      </c>
      <c r="BK42" s="5" t="str">
        <f>'اعدادى 1'!BK10</f>
        <v>ابراهيم كمال ايوب</v>
      </c>
      <c r="BL42" s="5" t="str">
        <f>'اعدادى 1'!BL10</f>
        <v>كبير</v>
      </c>
      <c r="BM42" s="5" t="str">
        <f>'اعدادى 1'!BO10</f>
        <v>مدرس</v>
      </c>
      <c r="BN42" s="53">
        <f>'اعدادى 1'!BP10</f>
        <v>0</v>
      </c>
      <c r="BO42" s="101" t="s">
        <v>119</v>
      </c>
      <c r="BP42" s="162">
        <f>'اعدادى 1'!BR10</f>
        <v>0</v>
      </c>
      <c r="BQ42" s="160">
        <f t="shared" si="13"/>
        <v>775</v>
      </c>
      <c r="BR42" s="162"/>
    </row>
    <row r="43" spans="2:74" ht="24" customHeight="1">
      <c r="B43" t="str">
        <f t="shared" ref="B43:B62" si="28">BK43</f>
        <v>نجلاء حسنى ابراهيم</v>
      </c>
      <c r="C43" s="1">
        <f>'اعدادى 1'!C11</f>
        <v>417.66</v>
      </c>
      <c r="D43" s="3">
        <v>24</v>
      </c>
      <c r="E43" s="4"/>
      <c r="F43" s="5">
        <f>'اعدادى 1'!F11</f>
        <v>1463.54</v>
      </c>
      <c r="G43" s="5">
        <f>'اعدادى 1'!G11</f>
        <v>38.75</v>
      </c>
      <c r="H43" s="5">
        <f>'اعدادى 1'!H11</f>
        <v>41.766000000000005</v>
      </c>
      <c r="I43" s="5">
        <f>'اعدادى 1'!I11</f>
        <v>104.41500000000001</v>
      </c>
      <c r="J43" s="5">
        <f>'اعدادى 1'!J11</f>
        <v>104.42</v>
      </c>
      <c r="K43" s="5">
        <f>'اعدادى 1'!K11</f>
        <v>208.83</v>
      </c>
      <c r="L43" s="5">
        <f>'اعدادى 1'!L11</f>
        <v>626.49</v>
      </c>
      <c r="M43" s="5">
        <f>'اعدادى 1'!M11</f>
        <v>0</v>
      </c>
      <c r="N43" s="28">
        <f>'اعدادى 1'!N11</f>
        <v>350</v>
      </c>
      <c r="O43" s="28">
        <f>'اعدادى 1'!O11</f>
        <v>150</v>
      </c>
      <c r="P43" s="28">
        <f>'اعدادى 1'!P11</f>
        <v>300</v>
      </c>
      <c r="Q43" s="28">
        <f>'اعدادى 1'!Q11</f>
        <v>325</v>
      </c>
      <c r="R43" s="28">
        <f>'اعدادى 1'!R11</f>
        <v>0</v>
      </c>
      <c r="S43" s="28">
        <f>'اعدادى 1'!S11</f>
        <v>125</v>
      </c>
      <c r="T43" s="28">
        <f>'اعدادى 1'!T11</f>
        <v>150</v>
      </c>
      <c r="U43" s="28">
        <f>'اعدادى 1'!U11</f>
        <v>120</v>
      </c>
      <c r="V43" s="28" t="str">
        <f>'اعدادى 1'!V11</f>
        <v/>
      </c>
      <c r="W43" s="28">
        <f>'اعدادى 1'!W11</f>
        <v>2</v>
      </c>
      <c r="X43" s="28">
        <f>'اعدادى 1'!X11</f>
        <v>4</v>
      </c>
      <c r="Y43" s="5">
        <f>'اعدادى 1'!Y11</f>
        <v>0</v>
      </c>
      <c r="Z43" s="5">
        <f>'اعدادى 1'!Z11</f>
        <v>0</v>
      </c>
      <c r="AA43" s="5">
        <f>'اعدادى 1'!AA11</f>
        <v>0</v>
      </c>
      <c r="AB43" s="5">
        <f>'اعدادى 1'!AB11</f>
        <v>0</v>
      </c>
      <c r="AC43" s="5">
        <f>'اعدادى 1'!AC11</f>
        <v>0</v>
      </c>
      <c r="AD43" s="5">
        <f>'اعدادى 1'!AD11</f>
        <v>0</v>
      </c>
      <c r="AE43" s="5">
        <f>'اعدادى 1'!AE11</f>
        <v>0</v>
      </c>
      <c r="AF43" s="5">
        <f>'اعدادى 1'!AF11</f>
        <v>10</v>
      </c>
      <c r="AG43" s="5">
        <f>'اعدادى 1'!AG11</f>
        <v>4124.2110000000002</v>
      </c>
      <c r="AH43" s="5">
        <f>'اعدادى 1'!AH11</f>
        <v>0</v>
      </c>
      <c r="AI43" s="5">
        <f>'اعدادى 1'!AI11</f>
        <v>370.27899000000002</v>
      </c>
      <c r="AJ43" s="5">
        <f>'اعدادى 1'!AJ11</f>
        <v>0</v>
      </c>
      <c r="AK43" s="5">
        <f>'اعدادى 1'!AK11</f>
        <v>41.142110000000002</v>
      </c>
      <c r="AL43" s="5">
        <f>'اعدادى 1'!AL11</f>
        <v>41.142110000000002</v>
      </c>
      <c r="AM43" s="5">
        <f>'اعدادى 1'!AM11</f>
        <v>7.9</v>
      </c>
      <c r="AN43" s="5">
        <f>'اعدادى 1'!AN11</f>
        <v>2.4</v>
      </c>
      <c r="AO43" s="5">
        <f>'اعدادى 1'!AO11</f>
        <v>0</v>
      </c>
      <c r="AP43" s="5">
        <f>'اعدادى 1'!AP11</f>
        <v>73.7</v>
      </c>
      <c r="AQ43" s="5">
        <f>'اعدادى 1'!AQ11</f>
        <v>24.9</v>
      </c>
      <c r="AR43" s="5">
        <f>'اعدادى 1'!AR11</f>
        <v>0</v>
      </c>
      <c r="AS43" s="5">
        <f>'اعدادى 1'!AS11</f>
        <v>1.5</v>
      </c>
      <c r="AT43" s="5">
        <f>'اعدادى 1'!AT11</f>
        <v>4.5</v>
      </c>
      <c r="AU43" s="5">
        <f>'اعدادى 1'!AU11</f>
        <v>2</v>
      </c>
      <c r="AV43" s="5">
        <f>'اعدادى 1'!AV11</f>
        <v>0.25</v>
      </c>
      <c r="AW43" s="5">
        <f>'اعدادى 1'!AW11</f>
        <v>3</v>
      </c>
      <c r="AX43" s="5">
        <f>'اعدادى 1'!AX11</f>
        <v>0.5</v>
      </c>
      <c r="AY43" s="5">
        <f>'اعدادى 1'!AY11</f>
        <v>102.4478</v>
      </c>
      <c r="AZ43" s="5">
        <f>'اعدادى 1'!AZ11</f>
        <v>0</v>
      </c>
      <c r="BA43" s="5">
        <f>'اعدادى 1'!BA11</f>
        <v>0</v>
      </c>
      <c r="BB43" s="5">
        <f>'اعدادى 1'!BB11</f>
        <v>0</v>
      </c>
      <c r="BC43" s="5">
        <f>'اعدادى 1'!BC11</f>
        <v>0</v>
      </c>
      <c r="BD43" s="5">
        <f>'اعدادى 1'!BD11</f>
        <v>0</v>
      </c>
      <c r="BE43" s="5">
        <f>'اعدادى 1'!BE11</f>
        <v>0</v>
      </c>
      <c r="BF43" s="5">
        <f>'اعدادى 1'!BF11</f>
        <v>0</v>
      </c>
      <c r="BG43" s="5">
        <f>'اعدادى 1'!BG11</f>
        <v>0</v>
      </c>
      <c r="BH43" s="5">
        <f>'اعدادى 1'!BH11</f>
        <v>0</v>
      </c>
      <c r="BI43" s="5">
        <f>'اعدادى 1'!BI11</f>
        <v>675.66101000000003</v>
      </c>
      <c r="BJ43" s="5">
        <f>'اعدادى 1'!BJ11</f>
        <v>3448.5499900000004</v>
      </c>
      <c r="BK43" s="5" t="str">
        <f>'اعدادى 1'!BK11</f>
        <v>نجلاء حسنى ابراهيم</v>
      </c>
      <c r="BL43" s="5" t="str">
        <f>'اعدادى 1'!BL11</f>
        <v>اولى</v>
      </c>
      <c r="BM43" s="5" t="str">
        <f>'اعدادى 1'!BO11</f>
        <v>مدرس</v>
      </c>
      <c r="BN43" s="53">
        <f>'اعدادى 1'!BP11</f>
        <v>0</v>
      </c>
      <c r="BO43" s="101" t="s">
        <v>119</v>
      </c>
      <c r="BP43" s="162">
        <f>'اعدادى 1'!BR11</f>
        <v>0</v>
      </c>
      <c r="BQ43" s="160">
        <f t="shared" ref="BQ43:BQ93" si="29">SUM(O43:Q43)</f>
        <v>775</v>
      </c>
      <c r="BR43" s="162"/>
    </row>
    <row r="44" spans="2:74" ht="24" customHeight="1">
      <c r="B44" t="str">
        <f t="shared" si="28"/>
        <v>محمد محمد الجمل</v>
      </c>
      <c r="C44" s="1">
        <f>'اعدادى 1'!C12</f>
        <v>264</v>
      </c>
      <c r="D44" s="3">
        <v>25</v>
      </c>
      <c r="E44" s="4"/>
      <c r="F44" s="5">
        <f>'اعدادى 1'!F12</f>
        <v>1171.92</v>
      </c>
      <c r="G44" s="5">
        <f>'اعدادى 1'!G12</f>
        <v>25.52</v>
      </c>
      <c r="H44" s="5">
        <f>'اعدادى 1'!H12</f>
        <v>26.400000000000002</v>
      </c>
      <c r="I44" s="5">
        <f>'اعدادى 1'!I12</f>
        <v>66</v>
      </c>
      <c r="J44" s="5">
        <f>'اعدادى 1'!J12</f>
        <v>198</v>
      </c>
      <c r="K44" s="5">
        <f>'اعدادى 1'!K12</f>
        <v>132</v>
      </c>
      <c r="L44" s="5">
        <f>'اعدادى 1'!L12</f>
        <v>330</v>
      </c>
      <c r="M44" s="5">
        <f>'اعدادى 1'!M12</f>
        <v>0</v>
      </c>
      <c r="N44" s="28">
        <f>'اعدادى 1'!N12</f>
        <v>375</v>
      </c>
      <c r="O44" s="28">
        <f>'اعدادى 1'!O12</f>
        <v>150</v>
      </c>
      <c r="P44" s="28">
        <f>'اعدادى 1'!P12</f>
        <v>250</v>
      </c>
      <c r="Q44" s="28">
        <f>'اعدادى 1'!Q12</f>
        <v>275</v>
      </c>
      <c r="R44" s="28">
        <f>'اعدادى 1'!R12</f>
        <v>234</v>
      </c>
      <c r="S44" s="28">
        <f>'اعدادى 1'!S12</f>
        <v>100</v>
      </c>
      <c r="T44" s="28">
        <f>'اعدادى 1'!T12</f>
        <v>165</v>
      </c>
      <c r="U44" s="28">
        <f>'اعدادى 1'!U12</f>
        <v>85</v>
      </c>
      <c r="V44" s="28" t="str">
        <f>'اعدادى 1'!V12</f>
        <v/>
      </c>
      <c r="W44" s="28">
        <f>'اعدادى 1'!W12</f>
        <v>6</v>
      </c>
      <c r="X44" s="28">
        <f>'اعدادى 1'!X12</f>
        <v>4</v>
      </c>
      <c r="Y44" s="5">
        <f>'اعدادى 1'!Y12</f>
        <v>0</v>
      </c>
      <c r="Z44" s="5">
        <f>'اعدادى 1'!Z12</f>
        <v>0</v>
      </c>
      <c r="AA44" s="5">
        <f>'اعدادى 1'!AA12</f>
        <v>0</v>
      </c>
      <c r="AB44" s="5">
        <f>'اعدادى 1'!AB12</f>
        <v>0</v>
      </c>
      <c r="AC44" s="5">
        <f>'اعدادى 1'!AC12</f>
        <v>0</v>
      </c>
      <c r="AD44" s="5">
        <f>'اعدادى 1'!AD12</f>
        <v>0</v>
      </c>
      <c r="AE44" s="5">
        <f>'اعدادى 1'!AE12</f>
        <v>0</v>
      </c>
      <c r="AF44" s="5">
        <f>'اعدادى 1'!AF12</f>
        <v>10</v>
      </c>
      <c r="AG44" s="5">
        <f>'اعدادى 1'!AG12</f>
        <v>3603.84</v>
      </c>
      <c r="AH44" s="5">
        <f>'اعدادى 1'!AH12</f>
        <v>0</v>
      </c>
      <c r="AI44" s="5">
        <f>'اعدادى 1'!AI12</f>
        <v>323.44560000000001</v>
      </c>
      <c r="AJ44" s="5">
        <f>'اعدادى 1'!AJ12</f>
        <v>0</v>
      </c>
      <c r="AK44" s="5">
        <f>'اعدادى 1'!AK12</f>
        <v>35.938400000000001</v>
      </c>
      <c r="AL44" s="5">
        <f>'اعدادى 1'!AL12</f>
        <v>35.938400000000001</v>
      </c>
      <c r="AM44" s="5">
        <f>'اعدادى 1'!AM12</f>
        <v>7</v>
      </c>
      <c r="AN44" s="5">
        <f>'اعدادى 1'!AN12</f>
        <v>1.7</v>
      </c>
      <c r="AO44" s="5">
        <f>'اعدادى 1'!AO12</f>
        <v>0</v>
      </c>
      <c r="AP44" s="5">
        <f>'اعدادى 1'!AP12</f>
        <v>35.1</v>
      </c>
      <c r="AQ44" s="5">
        <f>'اعدادى 1'!AQ12</f>
        <v>22.2</v>
      </c>
      <c r="AR44" s="5">
        <f>'اعدادى 1'!AR12</f>
        <v>0</v>
      </c>
      <c r="AS44" s="5">
        <f>'اعدادى 1'!AS12</f>
        <v>1.5</v>
      </c>
      <c r="AT44" s="5">
        <f>'اعدادى 1'!AT12</f>
        <v>4.5</v>
      </c>
      <c r="AU44" s="5">
        <f>'اعدادى 1'!AU12</f>
        <v>2</v>
      </c>
      <c r="AV44" s="5">
        <f>'اعدادى 1'!AV12</f>
        <v>0.25</v>
      </c>
      <c r="AW44" s="5">
        <f>'اعدادى 1'!AW12</f>
        <v>3</v>
      </c>
      <c r="AX44" s="5">
        <f>'اعدادى 1'!AX12</f>
        <v>0.5</v>
      </c>
      <c r="AY44" s="5">
        <f>'اعدادى 1'!AY12</f>
        <v>82.034400000000019</v>
      </c>
      <c r="AZ44" s="5">
        <f>'اعدادى 1'!AZ12</f>
        <v>0</v>
      </c>
      <c r="BA44" s="5">
        <f>'اعدادى 1'!BA12</f>
        <v>0</v>
      </c>
      <c r="BB44" s="5">
        <f>'اعدادى 1'!BB12</f>
        <v>0</v>
      </c>
      <c r="BC44" s="5">
        <f>'اعدادى 1'!BC12</f>
        <v>0</v>
      </c>
      <c r="BD44" s="5">
        <f>'اعدادى 1'!BD12</f>
        <v>0</v>
      </c>
      <c r="BE44" s="5">
        <f>'اعدادى 1'!BE12</f>
        <v>0</v>
      </c>
      <c r="BF44" s="5">
        <f>'اعدادى 1'!BF12</f>
        <v>265.43</v>
      </c>
      <c r="BG44" s="5">
        <f>'اعدادى 1'!BG12</f>
        <v>0</v>
      </c>
      <c r="BH44" s="5">
        <f>'اعدادى 1'!BH12</f>
        <v>0</v>
      </c>
      <c r="BI44" s="5">
        <f>'اعدادى 1'!BI12</f>
        <v>820.53680000000008</v>
      </c>
      <c r="BJ44" s="5">
        <f>'اعدادى 1'!BJ12</f>
        <v>2783.3032000000003</v>
      </c>
      <c r="BK44" s="5" t="str">
        <f>'اعدادى 1'!BK12</f>
        <v>محمد محمد الجمل</v>
      </c>
      <c r="BL44" s="5" t="str">
        <f>'اعدادى 1'!BL12</f>
        <v>ثانيه</v>
      </c>
      <c r="BM44" s="5" t="str">
        <f>'اعدادى 1'!BO12</f>
        <v>مدرس</v>
      </c>
      <c r="BN44" s="53">
        <f>'اعدادى 1'!BP12</f>
        <v>0</v>
      </c>
      <c r="BO44" s="101" t="s">
        <v>119</v>
      </c>
      <c r="BP44" s="162">
        <f>'اعدادى 1'!BR12</f>
        <v>0</v>
      </c>
      <c r="BQ44" s="160">
        <f t="shared" si="29"/>
        <v>675</v>
      </c>
      <c r="BR44" s="162"/>
    </row>
    <row r="45" spans="2:74" ht="24" customHeight="1">
      <c r="B45" t="str">
        <f t="shared" si="28"/>
        <v>سعدية السعيد عبدالغنى</v>
      </c>
      <c r="C45" s="1">
        <f>'اعدادى 1'!C13</f>
        <v>258</v>
      </c>
      <c r="D45" s="3">
        <v>26</v>
      </c>
      <c r="E45" s="4"/>
      <c r="F45" s="5">
        <f>'اعدادى 1'!F13</f>
        <v>1132.67</v>
      </c>
      <c r="G45" s="5">
        <f>'اعدادى 1'!G13</f>
        <v>24.92</v>
      </c>
      <c r="H45" s="5">
        <f>'اعدادى 1'!H13</f>
        <v>25.8</v>
      </c>
      <c r="I45" s="5">
        <f>'اعدادى 1'!I13</f>
        <v>64.5</v>
      </c>
      <c r="J45" s="5">
        <f>'اعدادى 1'!J13</f>
        <v>129</v>
      </c>
      <c r="K45" s="5">
        <f>'اعدادى 1'!K13</f>
        <v>129</v>
      </c>
      <c r="L45" s="5">
        <f>'اعدادى 1'!L13</f>
        <v>322.5</v>
      </c>
      <c r="M45" s="5">
        <f>'اعدادى 1'!M13</f>
        <v>0</v>
      </c>
      <c r="N45" s="28">
        <f>'اعدادى 1'!N13</f>
        <v>375</v>
      </c>
      <c r="O45" s="28">
        <f>'اعدادى 1'!O13</f>
        <v>150</v>
      </c>
      <c r="P45" s="28">
        <f>'اعدادى 1'!P13</f>
        <v>250</v>
      </c>
      <c r="Q45" s="28">
        <f>'اعدادى 1'!Q13</f>
        <v>275</v>
      </c>
      <c r="R45" s="28">
        <f>'اعدادى 1'!R13</f>
        <v>387</v>
      </c>
      <c r="S45" s="28">
        <f>'اعدادى 1'!S13</f>
        <v>100</v>
      </c>
      <c r="T45" s="28">
        <f>'اعدادى 1'!T13</f>
        <v>165</v>
      </c>
      <c r="U45" s="28">
        <f>'اعدادى 1'!U13</f>
        <v>85</v>
      </c>
      <c r="V45" s="28" t="str">
        <f>'اعدادى 1'!V13</f>
        <v/>
      </c>
      <c r="W45" s="28">
        <f>'اعدادى 1'!W13</f>
        <v>2</v>
      </c>
      <c r="X45" s="28">
        <f>'اعدادى 1'!X13</f>
        <v>4</v>
      </c>
      <c r="Y45" s="5">
        <f>'اعدادى 1'!Y13</f>
        <v>0</v>
      </c>
      <c r="Z45" s="5">
        <f>'اعدادى 1'!Z13</f>
        <v>0</v>
      </c>
      <c r="AA45" s="5">
        <f>'اعدادى 1'!AA13</f>
        <v>0</v>
      </c>
      <c r="AB45" s="5">
        <f>'اعدادى 1'!AB13</f>
        <v>0</v>
      </c>
      <c r="AC45" s="5">
        <f>'اعدادى 1'!AC13</f>
        <v>0</v>
      </c>
      <c r="AD45" s="5">
        <f>'اعدادى 1'!AD13</f>
        <v>0</v>
      </c>
      <c r="AE45" s="5">
        <f>'اعدادى 1'!AE13</f>
        <v>0</v>
      </c>
      <c r="AF45" s="5">
        <f>'اعدادى 1'!AF13</f>
        <v>10</v>
      </c>
      <c r="AG45" s="5">
        <f>'اعدادى 1'!AG13</f>
        <v>3631.3900000000003</v>
      </c>
      <c r="AH45" s="5">
        <f>'اعدادى 1'!AH13</f>
        <v>0</v>
      </c>
      <c r="AI45" s="5">
        <f>'اعدادى 1'!AI13</f>
        <v>325.92510000000004</v>
      </c>
      <c r="AJ45" s="5">
        <f>'اعدادى 1'!AJ13</f>
        <v>0</v>
      </c>
      <c r="AK45" s="5">
        <f>'اعدادى 1'!AK13</f>
        <v>36.213900000000002</v>
      </c>
      <c r="AL45" s="5">
        <f>'اعدادى 1'!AL13</f>
        <v>36.213900000000002</v>
      </c>
      <c r="AM45" s="5">
        <f>'اعدادى 1'!AM13</f>
        <v>7</v>
      </c>
      <c r="AN45" s="5">
        <f>'اعدادى 1'!AN13</f>
        <v>1.7</v>
      </c>
      <c r="AO45" s="5">
        <f>'اعدادى 1'!AO13</f>
        <v>0</v>
      </c>
      <c r="AP45" s="5">
        <f>'اعدادى 1'!AP13</f>
        <v>36.1</v>
      </c>
      <c r="AQ45" s="5">
        <f>'اعدادى 1'!AQ13</f>
        <v>22.5</v>
      </c>
      <c r="AR45" s="5">
        <f>'اعدادى 1'!AR13</f>
        <v>0</v>
      </c>
      <c r="AS45" s="5">
        <f>'اعدادى 1'!AS13</f>
        <v>1.5</v>
      </c>
      <c r="AT45" s="5">
        <f>'اعدادى 1'!AT13</f>
        <v>4.5</v>
      </c>
      <c r="AU45" s="5">
        <f>'اعدادى 1'!AU13</f>
        <v>2</v>
      </c>
      <c r="AV45" s="5">
        <f>'اعدادى 1'!AV13</f>
        <v>0.25</v>
      </c>
      <c r="AW45" s="5">
        <f>'اعدادى 1'!AW13</f>
        <v>3</v>
      </c>
      <c r="AX45" s="5">
        <f>'اعدادى 1'!AX13</f>
        <v>0.5</v>
      </c>
      <c r="AY45" s="5">
        <f>'اعدادى 1'!AY13</f>
        <v>79.286900000000017</v>
      </c>
      <c r="AZ45" s="5">
        <f>'اعدادى 1'!AZ13</f>
        <v>0</v>
      </c>
      <c r="BA45" s="5">
        <f>'اعدادى 1'!BA13</f>
        <v>0</v>
      </c>
      <c r="BB45" s="5">
        <f>'اعدادى 1'!BB13</f>
        <v>0</v>
      </c>
      <c r="BC45" s="5">
        <f>'اعدادى 1'!BC13</f>
        <v>0</v>
      </c>
      <c r="BD45" s="5">
        <f>'اعدادى 1'!BD13</f>
        <v>0</v>
      </c>
      <c r="BE45" s="5">
        <f>'اعدادى 1'!BE13</f>
        <v>0</v>
      </c>
      <c r="BF45" s="5">
        <f>'اعدادى 1'!BF13</f>
        <v>0</v>
      </c>
      <c r="BG45" s="5">
        <f>'اعدادى 1'!BG13</f>
        <v>0</v>
      </c>
      <c r="BH45" s="5">
        <f>'اعدادى 1'!BH13</f>
        <v>0</v>
      </c>
      <c r="BI45" s="5">
        <f>'اعدادى 1'!BI13</f>
        <v>556.6898000000001</v>
      </c>
      <c r="BJ45" s="5">
        <f>'اعدادى 1'!BJ13</f>
        <v>3074.7002000000002</v>
      </c>
      <c r="BK45" s="5" t="str">
        <f>'اعدادى 1'!BK13</f>
        <v>سعدية السعيد عبدالغنى</v>
      </c>
      <c r="BL45" s="5" t="str">
        <f>'اعدادى 1'!BL13</f>
        <v>ثانيه</v>
      </c>
      <c r="BM45" s="5" t="str">
        <f>'اعدادى 1'!BO13</f>
        <v>مدرس</v>
      </c>
      <c r="BN45" s="53">
        <f>'اعدادى 1'!BP13</f>
        <v>0</v>
      </c>
      <c r="BO45" s="101" t="s">
        <v>119</v>
      </c>
      <c r="BP45" s="162">
        <f>'اعدادى 1'!BR13</f>
        <v>0</v>
      </c>
      <c r="BQ45" s="160">
        <f t="shared" si="29"/>
        <v>675</v>
      </c>
      <c r="BR45" s="162"/>
    </row>
    <row r="46" spans="2:74" ht="24" customHeight="1">
      <c r="B46" t="str">
        <f t="shared" si="28"/>
        <v>مروه عبدالعزيز بدير</v>
      </c>
      <c r="C46" s="1">
        <f>'اعدادى 1'!C14</f>
        <v>258</v>
      </c>
      <c r="D46" s="3">
        <v>27</v>
      </c>
      <c r="E46" s="4"/>
      <c r="F46" s="5">
        <f>'اعدادى 1'!F14</f>
        <v>1126.3399999999999</v>
      </c>
      <c r="G46" s="5">
        <f>'اعدادى 1'!G14</f>
        <v>24.92</v>
      </c>
      <c r="H46" s="5">
        <f>'اعدادى 1'!H14</f>
        <v>25.8</v>
      </c>
      <c r="I46" s="5">
        <f>'اعدادى 1'!I14</f>
        <v>64.5</v>
      </c>
      <c r="J46" s="5">
        <f>'اعدادى 1'!J14</f>
        <v>129</v>
      </c>
      <c r="K46" s="5">
        <f>'اعدادى 1'!K14</f>
        <v>129</v>
      </c>
      <c r="L46" s="5">
        <f>'اعدادى 1'!L14</f>
        <v>322.5</v>
      </c>
      <c r="M46" s="5">
        <f>'اعدادى 1'!M14</f>
        <v>0</v>
      </c>
      <c r="N46" s="28">
        <f>'اعدادى 1'!N14</f>
        <v>375</v>
      </c>
      <c r="O46" s="28">
        <f>'اعدادى 1'!O14</f>
        <v>150</v>
      </c>
      <c r="P46" s="28">
        <f>'اعدادى 1'!P14</f>
        <v>250</v>
      </c>
      <c r="Q46" s="28">
        <f>'اعدادى 1'!Q14</f>
        <v>275</v>
      </c>
      <c r="R46" s="28">
        <f>'اعدادى 1'!R14</f>
        <v>387</v>
      </c>
      <c r="S46" s="28">
        <f>'اعدادى 1'!S14</f>
        <v>100</v>
      </c>
      <c r="T46" s="28">
        <f>'اعدادى 1'!T14</f>
        <v>165</v>
      </c>
      <c r="U46" s="28">
        <f>'اعدادى 1'!U14</f>
        <v>85</v>
      </c>
      <c r="V46" s="28" t="str">
        <f>'اعدادى 1'!V14</f>
        <v/>
      </c>
      <c r="W46" s="28">
        <f>'اعدادى 1'!W14</f>
        <v>2</v>
      </c>
      <c r="X46" s="28">
        <f>'اعدادى 1'!X14</f>
        <v>4</v>
      </c>
      <c r="Y46" s="5">
        <f>'اعدادى 1'!Y14</f>
        <v>0</v>
      </c>
      <c r="Z46" s="5">
        <f>'اعدادى 1'!Z14</f>
        <v>0</v>
      </c>
      <c r="AA46" s="5">
        <f>'اعدادى 1'!AA14</f>
        <v>0</v>
      </c>
      <c r="AB46" s="5">
        <f>'اعدادى 1'!AB14</f>
        <v>0</v>
      </c>
      <c r="AC46" s="5">
        <f>'اعدادى 1'!AC14</f>
        <v>0</v>
      </c>
      <c r="AD46" s="5">
        <f>'اعدادى 1'!AD14</f>
        <v>0</v>
      </c>
      <c r="AE46" s="5">
        <f>'اعدادى 1'!AE14</f>
        <v>0</v>
      </c>
      <c r="AF46" s="5">
        <f>'اعدادى 1'!AF14</f>
        <v>10</v>
      </c>
      <c r="AG46" s="5">
        <f>'اعدادى 1'!AG14</f>
        <v>3625.06</v>
      </c>
      <c r="AH46" s="5">
        <f>'اعدادى 1'!AH14</f>
        <v>0</v>
      </c>
      <c r="AI46" s="5">
        <f>'اعدادى 1'!AI14</f>
        <v>325.35539999999997</v>
      </c>
      <c r="AJ46" s="5">
        <f>'اعدادى 1'!AJ14</f>
        <v>0</v>
      </c>
      <c r="AK46" s="5">
        <f>'اعدادى 1'!AK14</f>
        <v>36.150599999999997</v>
      </c>
      <c r="AL46" s="5">
        <f>'اعدادى 1'!AL14</f>
        <v>36.150599999999997</v>
      </c>
      <c r="AM46" s="5">
        <f>'اعدادى 1'!AM14</f>
        <v>7</v>
      </c>
      <c r="AN46" s="5">
        <f>'اعدادى 1'!AN14</f>
        <v>1.7</v>
      </c>
      <c r="AO46" s="5">
        <f>'اعدادى 1'!AO14</f>
        <v>0</v>
      </c>
      <c r="AP46" s="5">
        <f>'اعدادى 1'!AP14</f>
        <v>35.799999999999997</v>
      </c>
      <c r="AQ46" s="5">
        <f>'اعدادى 1'!AQ14</f>
        <v>22.5</v>
      </c>
      <c r="AR46" s="5">
        <f>'اعدادى 1'!AR14</f>
        <v>0</v>
      </c>
      <c r="AS46" s="5">
        <f>'اعدادى 1'!AS14</f>
        <v>1.5</v>
      </c>
      <c r="AT46" s="5">
        <f>'اعدادى 1'!AT14</f>
        <v>4.5</v>
      </c>
      <c r="AU46" s="5">
        <f>'اعدادى 1'!AU14</f>
        <v>2</v>
      </c>
      <c r="AV46" s="5">
        <f>'اعدادى 1'!AV14</f>
        <v>0.25</v>
      </c>
      <c r="AW46" s="5">
        <f>'اعدادى 1'!AW14</f>
        <v>3</v>
      </c>
      <c r="AX46" s="5">
        <f>'اعدادى 1'!AX14</f>
        <v>0.5</v>
      </c>
      <c r="AY46" s="5">
        <f>'اعدادى 1'!AY14</f>
        <v>78.843800000000002</v>
      </c>
      <c r="AZ46" s="5">
        <f>'اعدادى 1'!AZ14</f>
        <v>0</v>
      </c>
      <c r="BA46" s="5">
        <f>'اعدادى 1'!BA14</f>
        <v>0</v>
      </c>
      <c r="BB46" s="5">
        <f>'اعدادى 1'!BB14</f>
        <v>0</v>
      </c>
      <c r="BC46" s="5">
        <f>'اعدادى 1'!BC14</f>
        <v>0</v>
      </c>
      <c r="BD46" s="5">
        <f>'اعدادى 1'!BD14</f>
        <v>0</v>
      </c>
      <c r="BE46" s="5">
        <f>'اعدادى 1'!BE14</f>
        <v>0</v>
      </c>
      <c r="BF46" s="5">
        <f>'اعدادى 1'!BF14</f>
        <v>0</v>
      </c>
      <c r="BG46" s="5">
        <f>'اعدادى 1'!BG14</f>
        <v>0</v>
      </c>
      <c r="BH46" s="5">
        <f>'اعدادى 1'!BH14</f>
        <v>0.01</v>
      </c>
      <c r="BI46" s="5">
        <f>'اعدادى 1'!BI14</f>
        <v>555.2604</v>
      </c>
      <c r="BJ46" s="5">
        <f>'اعدادى 1'!BJ14</f>
        <v>3069.7995999999998</v>
      </c>
      <c r="BK46" s="5" t="str">
        <f>'اعدادى 1'!BK14</f>
        <v>مروه عبدالعزيز بدير</v>
      </c>
      <c r="BL46" s="5" t="str">
        <f>'اعدادى 1'!BL14</f>
        <v>ثانيه</v>
      </c>
      <c r="BM46" s="5" t="str">
        <f>'اعدادى 1'!BO14</f>
        <v>مدرس</v>
      </c>
      <c r="BN46" s="53">
        <f>'اعدادى 1'!BP14</f>
        <v>0</v>
      </c>
      <c r="BO46" s="101" t="s">
        <v>119</v>
      </c>
      <c r="BP46" s="162">
        <f>'اعدادى 1'!BR14</f>
        <v>0</v>
      </c>
      <c r="BQ46" s="160">
        <f t="shared" si="29"/>
        <v>675</v>
      </c>
      <c r="BR46" s="162"/>
    </row>
    <row r="47" spans="2:74" ht="24" customHeight="1">
      <c r="B47" t="str">
        <f t="shared" si="28"/>
        <v>نعمه محمد يونس</v>
      </c>
      <c r="C47" s="1">
        <f>'اعدادى 1'!C15</f>
        <v>258</v>
      </c>
      <c r="D47" s="3">
        <v>28</v>
      </c>
      <c r="E47" s="4"/>
      <c r="F47" s="5">
        <f>'اعدادى 1'!F15</f>
        <v>1126.3399999999999</v>
      </c>
      <c r="G47" s="5">
        <f>'اعدادى 1'!G15</f>
        <v>24.92</v>
      </c>
      <c r="H47" s="5">
        <f>'اعدادى 1'!H15</f>
        <v>25.8</v>
      </c>
      <c r="I47" s="5">
        <f>'اعدادى 1'!I15</f>
        <v>64.5</v>
      </c>
      <c r="J47" s="5">
        <f>'اعدادى 1'!J15</f>
        <v>129</v>
      </c>
      <c r="K47" s="5">
        <f>'اعدادى 1'!K15</f>
        <v>129</v>
      </c>
      <c r="L47" s="5">
        <f>'اعدادى 1'!L15</f>
        <v>322.5</v>
      </c>
      <c r="M47" s="5">
        <f>'اعدادى 1'!M15</f>
        <v>0</v>
      </c>
      <c r="N47" s="28">
        <f>'اعدادى 1'!N15</f>
        <v>375</v>
      </c>
      <c r="O47" s="28">
        <f>'اعدادى 1'!O15</f>
        <v>150</v>
      </c>
      <c r="P47" s="28">
        <f>'اعدادى 1'!P15</f>
        <v>250</v>
      </c>
      <c r="Q47" s="28">
        <f>'اعدادى 1'!Q15</f>
        <v>275</v>
      </c>
      <c r="R47" s="28">
        <f>'اعدادى 1'!R15</f>
        <v>387</v>
      </c>
      <c r="S47" s="28">
        <f>'اعدادى 1'!S15</f>
        <v>100</v>
      </c>
      <c r="T47" s="28">
        <f>'اعدادى 1'!T15</f>
        <v>165</v>
      </c>
      <c r="U47" s="28">
        <f>'اعدادى 1'!U15</f>
        <v>85</v>
      </c>
      <c r="V47" s="28" t="str">
        <f>'اعدادى 1'!V15</f>
        <v/>
      </c>
      <c r="W47" s="28">
        <f>'اعدادى 1'!W15</f>
        <v>2</v>
      </c>
      <c r="X47" s="28">
        <f>'اعدادى 1'!X15</f>
        <v>4</v>
      </c>
      <c r="Y47" s="5">
        <f>'اعدادى 1'!Y15</f>
        <v>0</v>
      </c>
      <c r="Z47" s="5">
        <f>'اعدادى 1'!Z15</f>
        <v>0</v>
      </c>
      <c r="AA47" s="5">
        <f>'اعدادى 1'!AA15</f>
        <v>0</v>
      </c>
      <c r="AB47" s="5">
        <f>'اعدادى 1'!AB15</f>
        <v>0</v>
      </c>
      <c r="AC47" s="5">
        <f>'اعدادى 1'!AC15</f>
        <v>0</v>
      </c>
      <c r="AD47" s="5">
        <f>'اعدادى 1'!AD15</f>
        <v>0</v>
      </c>
      <c r="AE47" s="5">
        <f>'اعدادى 1'!AE15</f>
        <v>0</v>
      </c>
      <c r="AF47" s="5">
        <f>'اعدادى 1'!AF15</f>
        <v>10</v>
      </c>
      <c r="AG47" s="5">
        <f>'اعدادى 1'!AG15</f>
        <v>3625.06</v>
      </c>
      <c r="AH47" s="5">
        <f>'اعدادى 1'!AH15</f>
        <v>0</v>
      </c>
      <c r="AI47" s="5">
        <f>'اعدادى 1'!AI15</f>
        <v>325.35539999999997</v>
      </c>
      <c r="AJ47" s="5">
        <f>'اعدادى 1'!AJ15</f>
        <v>0</v>
      </c>
      <c r="AK47" s="5">
        <f>'اعدادى 1'!AK15</f>
        <v>36.150599999999997</v>
      </c>
      <c r="AL47" s="5">
        <f>'اعدادى 1'!AL15</f>
        <v>36.150599999999997</v>
      </c>
      <c r="AM47" s="5">
        <f>'اعدادى 1'!AM15</f>
        <v>7</v>
      </c>
      <c r="AN47" s="5">
        <f>'اعدادى 1'!AN15</f>
        <v>1.7</v>
      </c>
      <c r="AO47" s="5">
        <f>'اعدادى 1'!AO15</f>
        <v>0</v>
      </c>
      <c r="AP47" s="5">
        <f>'اعدادى 1'!AP15</f>
        <v>35.799999999999997</v>
      </c>
      <c r="AQ47" s="5">
        <f>'اعدادى 1'!AQ15</f>
        <v>22.5</v>
      </c>
      <c r="AR47" s="5">
        <f>'اعدادى 1'!AR15</f>
        <v>0</v>
      </c>
      <c r="AS47" s="5">
        <f>'اعدادى 1'!AS15</f>
        <v>1.5</v>
      </c>
      <c r="AT47" s="5">
        <f>'اعدادى 1'!AT15</f>
        <v>4.5</v>
      </c>
      <c r="AU47" s="5">
        <f>'اعدادى 1'!AU15</f>
        <v>2</v>
      </c>
      <c r="AV47" s="5">
        <f>'اعدادى 1'!AV15</f>
        <v>0.25</v>
      </c>
      <c r="AW47" s="5">
        <f>'اعدادى 1'!AW15</f>
        <v>3</v>
      </c>
      <c r="AX47" s="5">
        <f>'اعدادى 1'!AX15</f>
        <v>0.5</v>
      </c>
      <c r="AY47" s="5">
        <f>'اعدادى 1'!AY15</f>
        <v>78.843800000000002</v>
      </c>
      <c r="AZ47" s="5">
        <f>'اعدادى 1'!AZ15</f>
        <v>0</v>
      </c>
      <c r="BA47" s="5">
        <f>'اعدادى 1'!BA15</f>
        <v>0</v>
      </c>
      <c r="BB47" s="5">
        <f>'اعدادى 1'!BB15</f>
        <v>0</v>
      </c>
      <c r="BC47" s="5">
        <f>'اعدادى 1'!BC15</f>
        <v>0</v>
      </c>
      <c r="BD47" s="5">
        <f>'اعدادى 1'!BD15</f>
        <v>0</v>
      </c>
      <c r="BE47" s="5">
        <f>'اعدادى 1'!BE15</f>
        <v>0</v>
      </c>
      <c r="BF47" s="5">
        <f>'اعدادى 1'!BF15</f>
        <v>0</v>
      </c>
      <c r="BG47" s="5">
        <f>'اعدادى 1'!BG15</f>
        <v>0</v>
      </c>
      <c r="BH47" s="5">
        <f>'اعدادى 1'!BH15</f>
        <v>0.01</v>
      </c>
      <c r="BI47" s="5">
        <f>'اعدادى 1'!BI15</f>
        <v>555.2604</v>
      </c>
      <c r="BJ47" s="5">
        <f>'اعدادى 1'!BJ15</f>
        <v>3069.7995999999998</v>
      </c>
      <c r="BK47" s="5" t="str">
        <f>'اعدادى 1'!BK15</f>
        <v>نعمه محمد يونس</v>
      </c>
      <c r="BL47" s="5" t="str">
        <f>'اعدادى 1'!BL15</f>
        <v>ثانيه</v>
      </c>
      <c r="BM47" s="5" t="str">
        <f>'اعدادى 1'!BO15</f>
        <v>مدرس</v>
      </c>
      <c r="BN47" s="53">
        <f>'اعدادى 1'!BP15</f>
        <v>0</v>
      </c>
      <c r="BO47" s="101" t="s">
        <v>119</v>
      </c>
      <c r="BP47" s="162">
        <f>'اعدادى 1'!BR15</f>
        <v>0</v>
      </c>
      <c r="BQ47" s="160">
        <f t="shared" si="29"/>
        <v>675</v>
      </c>
      <c r="BR47" s="162"/>
    </row>
    <row r="48" spans="2:74" ht="24" customHeight="1">
      <c r="B48" t="str">
        <f t="shared" si="28"/>
        <v>امل عبد النبى النجار</v>
      </c>
      <c r="C48" s="1">
        <f>'اعدادى 1'!C16</f>
        <v>246</v>
      </c>
      <c r="D48" s="3">
        <v>29</v>
      </c>
      <c r="E48" s="4"/>
      <c r="F48" s="5">
        <f>'اعدادى 1'!F16</f>
        <v>1041.6300000000001</v>
      </c>
      <c r="G48" s="5">
        <f>'اعدادى 1'!G16</f>
        <v>24.12</v>
      </c>
      <c r="H48" s="5">
        <f>'اعدادى 1'!H16</f>
        <v>24.6</v>
      </c>
      <c r="I48" s="5">
        <f>'اعدادى 1'!I16</f>
        <v>61.5</v>
      </c>
      <c r="J48" s="5">
        <f>'اعدادى 1'!J16</f>
        <v>123</v>
      </c>
      <c r="K48" s="5">
        <f>'اعدادى 1'!K16</f>
        <v>123</v>
      </c>
      <c r="L48" s="5">
        <f>'اعدادى 1'!L16</f>
        <v>307.5</v>
      </c>
      <c r="M48" s="5">
        <f>'اعدادى 1'!M16</f>
        <v>40</v>
      </c>
      <c r="N48" s="28">
        <f>'اعدادى 1'!N16</f>
        <v>375</v>
      </c>
      <c r="O48" s="28">
        <f>'اعدادى 1'!O16</f>
        <v>150</v>
      </c>
      <c r="P48" s="28">
        <f>'اعدادى 1'!P16</f>
        <v>200</v>
      </c>
      <c r="Q48" s="28">
        <f>'اعدادى 1'!Q16</f>
        <v>275</v>
      </c>
      <c r="R48" s="28">
        <f>'اعدادى 1'!R16</f>
        <v>191</v>
      </c>
      <c r="S48" s="28">
        <f>'اعدادى 1'!S16</f>
        <v>100</v>
      </c>
      <c r="T48" s="28">
        <f>'اعدادى 1'!T16</f>
        <v>165</v>
      </c>
      <c r="U48" s="28">
        <f>'اعدادى 1'!U16</f>
        <v>85</v>
      </c>
      <c r="V48" s="28" t="str">
        <f>'اعدادى 1'!V16</f>
        <v/>
      </c>
      <c r="W48" s="28">
        <f>'اعدادى 1'!W16</f>
        <v>2</v>
      </c>
      <c r="X48" s="28">
        <f>'اعدادى 1'!X16</f>
        <v>4</v>
      </c>
      <c r="Y48" s="5">
        <f>'اعدادى 1'!Y16</f>
        <v>0</v>
      </c>
      <c r="Z48" s="5">
        <f>'اعدادى 1'!Z16</f>
        <v>0</v>
      </c>
      <c r="AA48" s="5">
        <f>'اعدادى 1'!AA16</f>
        <v>0</v>
      </c>
      <c r="AB48" s="5">
        <f>'اعدادى 1'!AB16</f>
        <v>0</v>
      </c>
      <c r="AC48" s="5">
        <f>'اعدادى 1'!AC16</f>
        <v>0</v>
      </c>
      <c r="AD48" s="5">
        <f>'اعدادى 1'!AD16</f>
        <v>0</v>
      </c>
      <c r="AE48" s="5">
        <f>'اعدادى 1'!AE16</f>
        <v>0</v>
      </c>
      <c r="AF48" s="5">
        <f>'اعدادى 1'!AF16</f>
        <v>10</v>
      </c>
      <c r="AG48" s="5">
        <f>'اعدادى 1'!AG16</f>
        <v>3302.35</v>
      </c>
      <c r="AH48" s="5">
        <f>'اعدادى 1'!AH16</f>
        <v>0</v>
      </c>
      <c r="AI48" s="5">
        <f>'اعدادى 1'!AI16</f>
        <v>296.31149999999997</v>
      </c>
      <c r="AJ48" s="5">
        <f>'اعدادى 1'!AJ16</f>
        <v>0</v>
      </c>
      <c r="AK48" s="5">
        <f>'اعدادى 1'!AK16</f>
        <v>32.923499999999997</v>
      </c>
      <c r="AL48" s="5">
        <f>'اعدادى 1'!AL16</f>
        <v>32.923499999999997</v>
      </c>
      <c r="AM48" s="5">
        <f>'اعدادى 1'!AM16</f>
        <v>7</v>
      </c>
      <c r="AN48" s="5">
        <f>'اعدادى 1'!AN16</f>
        <v>1.7</v>
      </c>
      <c r="AO48" s="5">
        <f>'اعدادى 1'!AO16</f>
        <v>0</v>
      </c>
      <c r="AP48" s="5">
        <f>'اعدادى 1'!AP16</f>
        <v>26.7</v>
      </c>
      <c r="AQ48" s="5">
        <f>'اعدادى 1'!AQ16</f>
        <v>20.399999999999999</v>
      </c>
      <c r="AR48" s="5">
        <f>'اعدادى 1'!AR16</f>
        <v>0</v>
      </c>
      <c r="AS48" s="5">
        <f>'اعدادى 1'!AS16</f>
        <v>1.5</v>
      </c>
      <c r="AT48" s="5">
        <f>'اعدادى 1'!AT16</f>
        <v>4.5</v>
      </c>
      <c r="AU48" s="5">
        <f>'اعدادى 1'!AU16</f>
        <v>2</v>
      </c>
      <c r="AV48" s="5">
        <f>'اعدادى 1'!AV16</f>
        <v>0.25</v>
      </c>
      <c r="AW48" s="5">
        <f>'اعدادى 1'!AW16</f>
        <v>3</v>
      </c>
      <c r="AX48" s="5">
        <f>'اعدادى 1'!AX16</f>
        <v>0.5</v>
      </c>
      <c r="AY48" s="5">
        <f>'اعدادى 1'!AY16</f>
        <v>72.914100000000019</v>
      </c>
      <c r="AZ48" s="5">
        <f>'اعدادى 1'!AZ16</f>
        <v>0</v>
      </c>
      <c r="BA48" s="5">
        <f>'اعدادى 1'!BA16</f>
        <v>0</v>
      </c>
      <c r="BB48" s="5">
        <f>'اعدادى 1'!BB16</f>
        <v>0</v>
      </c>
      <c r="BC48" s="5">
        <f>'اعدادى 1'!BC16</f>
        <v>0</v>
      </c>
      <c r="BD48" s="5">
        <f>'اعدادى 1'!BD16</f>
        <v>0</v>
      </c>
      <c r="BE48" s="5">
        <f>'اعدادى 1'!BE16</f>
        <v>0</v>
      </c>
      <c r="BF48" s="5">
        <f>'اعدادى 1'!BF16</f>
        <v>0</v>
      </c>
      <c r="BG48" s="5">
        <f>'اعدادى 1'!BG16</f>
        <v>0</v>
      </c>
      <c r="BH48" s="5">
        <f>'اعدادى 1'!BH16</f>
        <v>0.03</v>
      </c>
      <c r="BI48" s="5">
        <f>'اعدادى 1'!BI16</f>
        <v>502.65259999999989</v>
      </c>
      <c r="BJ48" s="5">
        <f>'اعدادى 1'!BJ16</f>
        <v>2799.6974</v>
      </c>
      <c r="BK48" s="5" t="str">
        <f>'اعدادى 1'!BK16</f>
        <v>امل عبد النبى النجار</v>
      </c>
      <c r="BL48" s="5" t="str">
        <f>'اعدادى 1'!BL16</f>
        <v>ثانيه</v>
      </c>
      <c r="BM48" s="5" t="str">
        <f>'اعدادى 1'!BO16</f>
        <v>مدرس</v>
      </c>
      <c r="BN48" s="53">
        <f>'اعدادى 1'!BP16</f>
        <v>0</v>
      </c>
      <c r="BO48" s="101" t="s">
        <v>119</v>
      </c>
      <c r="BP48" s="162">
        <f>'اعدادى 1'!BR16</f>
        <v>0</v>
      </c>
      <c r="BQ48" s="160">
        <f t="shared" si="29"/>
        <v>625</v>
      </c>
      <c r="BR48" s="162"/>
    </row>
    <row r="49" spans="2:70" ht="24" customHeight="1">
      <c r="B49" t="str">
        <f t="shared" si="28"/>
        <v>اميره مصطفى السيد</v>
      </c>
      <c r="C49" s="1">
        <f>'اعدادى 1'!C17</f>
        <v>250</v>
      </c>
      <c r="D49" s="3">
        <v>30</v>
      </c>
      <c r="E49" s="4"/>
      <c r="F49" s="5">
        <f>'اعدادى 1'!F17</f>
        <v>1072.32</v>
      </c>
      <c r="G49" s="5">
        <f>'اعدادى 1'!G17</f>
        <v>24.12</v>
      </c>
      <c r="H49" s="5">
        <f>'اعدادى 1'!H17</f>
        <v>25</v>
      </c>
      <c r="I49" s="5">
        <f>'اعدادى 1'!I17</f>
        <v>62.5</v>
      </c>
      <c r="J49" s="5">
        <f>'اعدادى 1'!J17</f>
        <v>125</v>
      </c>
      <c r="K49" s="5">
        <f>'اعدادى 1'!K17</f>
        <v>125</v>
      </c>
      <c r="L49" s="5">
        <f>'اعدادى 1'!L17</f>
        <v>312.5</v>
      </c>
      <c r="M49" s="5">
        <f>'اعدادى 1'!M17</f>
        <v>0</v>
      </c>
      <c r="N49" s="28">
        <f>'اعدادى 1'!N17</f>
        <v>375</v>
      </c>
      <c r="O49" s="28">
        <f>'اعدادى 1'!O17</f>
        <v>150</v>
      </c>
      <c r="P49" s="28">
        <f>'اعدادى 1'!P17</f>
        <v>200</v>
      </c>
      <c r="Q49" s="28">
        <f>'اعدادى 1'!Q17</f>
        <v>275</v>
      </c>
      <c r="R49" s="28">
        <f>'اعدادى 1'!R17</f>
        <v>150</v>
      </c>
      <c r="S49" s="28">
        <f>'اعدادى 1'!S17</f>
        <v>100</v>
      </c>
      <c r="T49" s="28">
        <f>'اعدادى 1'!T17</f>
        <v>165</v>
      </c>
      <c r="U49" s="28">
        <f>'اعدادى 1'!U17</f>
        <v>85</v>
      </c>
      <c r="V49" s="28" t="str">
        <f>'اعدادى 1'!V17</f>
        <v/>
      </c>
      <c r="W49" s="28">
        <f>'اعدادى 1'!W17</f>
        <v>2</v>
      </c>
      <c r="X49" s="28">
        <f>'اعدادى 1'!X17</f>
        <v>4</v>
      </c>
      <c r="Y49" s="5">
        <f>'اعدادى 1'!Y17</f>
        <v>62.5</v>
      </c>
      <c r="Z49" s="5">
        <f>'اعدادى 1'!Z17</f>
        <v>0</v>
      </c>
      <c r="AA49" s="5">
        <f>'اعدادى 1'!AA17</f>
        <v>0</v>
      </c>
      <c r="AB49" s="5">
        <f>'اعدادى 1'!AB17</f>
        <v>0</v>
      </c>
      <c r="AC49" s="5">
        <f>'اعدادى 1'!AC17</f>
        <v>0</v>
      </c>
      <c r="AD49" s="5">
        <f>'اعدادى 1'!AD17</f>
        <v>0</v>
      </c>
      <c r="AE49" s="5">
        <f>'اعدادى 1'!AE17</f>
        <v>0</v>
      </c>
      <c r="AF49" s="5">
        <f>'اعدادى 1'!AF17</f>
        <v>10</v>
      </c>
      <c r="AG49" s="5">
        <f>'اعدادى 1'!AG17</f>
        <v>3324.9399999999996</v>
      </c>
      <c r="AH49" s="5">
        <f>'اعدادى 1'!AH17</f>
        <v>0</v>
      </c>
      <c r="AI49" s="5">
        <f>'اعدادى 1'!AI17</f>
        <v>298.34459999999996</v>
      </c>
      <c r="AJ49" s="5">
        <f>'اعدادى 1'!AJ17</f>
        <v>0</v>
      </c>
      <c r="AK49" s="5">
        <f>'اعدادى 1'!AK17</f>
        <v>33.1494</v>
      </c>
      <c r="AL49" s="5">
        <f>'اعدادى 1'!AL17</f>
        <v>33.1494</v>
      </c>
      <c r="AM49" s="5">
        <f>'اعدادى 1'!AM17</f>
        <v>7</v>
      </c>
      <c r="AN49" s="5">
        <f>'اعدادى 1'!AN17</f>
        <v>1.7</v>
      </c>
      <c r="AO49" s="5">
        <f>'اعدادى 1'!AO17</f>
        <v>0</v>
      </c>
      <c r="AP49" s="5">
        <f>'اعدادى 1'!AP17</f>
        <v>27.3</v>
      </c>
      <c r="AQ49" s="5">
        <f>'اعدادى 1'!AQ17</f>
        <v>20.45</v>
      </c>
      <c r="AR49" s="5">
        <f>'اعدادى 1'!AR17</f>
        <v>0</v>
      </c>
      <c r="AS49" s="5">
        <f>'اعدادى 1'!AS17</f>
        <v>1.5</v>
      </c>
      <c r="AT49" s="5">
        <f>'اعدادى 1'!AT17</f>
        <v>4.5</v>
      </c>
      <c r="AU49" s="5">
        <f>'اعدادى 1'!AU17</f>
        <v>2</v>
      </c>
      <c r="AV49" s="5">
        <f>'اعدادى 1'!AV17</f>
        <v>0.25</v>
      </c>
      <c r="AW49" s="5">
        <f>'اعدادى 1'!AW17</f>
        <v>3</v>
      </c>
      <c r="AX49" s="5">
        <f>'اعدادى 1'!AX17</f>
        <v>0.5</v>
      </c>
      <c r="AY49" s="5">
        <f>'اعدادى 1'!AY17</f>
        <v>75.062399999999997</v>
      </c>
      <c r="AZ49" s="5">
        <f>'اعدادى 1'!AZ17</f>
        <v>0</v>
      </c>
      <c r="BA49" s="5">
        <f>'اعدادى 1'!BA17</f>
        <v>0</v>
      </c>
      <c r="BB49" s="5">
        <f>'اعدادى 1'!BB17</f>
        <v>0</v>
      </c>
      <c r="BC49" s="5">
        <f>'اعدادى 1'!BC17</f>
        <v>0</v>
      </c>
      <c r="BD49" s="5">
        <f>'اعدادى 1'!BD17</f>
        <v>0</v>
      </c>
      <c r="BE49" s="5">
        <f>'اعدادى 1'!BE17</f>
        <v>0</v>
      </c>
      <c r="BF49" s="5">
        <f>'اعدادى 1'!BF17</f>
        <v>0</v>
      </c>
      <c r="BG49" s="5">
        <f>'اعدادى 1'!BG17</f>
        <v>0</v>
      </c>
      <c r="BH49" s="5">
        <f>'اعدادى 1'!BH17</f>
        <v>0.03</v>
      </c>
      <c r="BI49" s="5">
        <f>'اعدادى 1'!BI17</f>
        <v>507.93579999999997</v>
      </c>
      <c r="BJ49" s="5">
        <f>'اعدادى 1'!BJ17</f>
        <v>2817.0041999999994</v>
      </c>
      <c r="BK49" s="5" t="str">
        <f>'اعدادى 1'!BK17</f>
        <v>اميره مصطفى السيد</v>
      </c>
      <c r="BL49" s="5" t="str">
        <f>'اعدادى 1'!BL17</f>
        <v>ثانيه</v>
      </c>
      <c r="BM49" s="5" t="str">
        <f>'اعدادى 1'!BO17</f>
        <v>مدرس</v>
      </c>
      <c r="BN49" s="53">
        <f>'اعدادى 1'!BP17</f>
        <v>0</v>
      </c>
      <c r="BO49" s="101" t="s">
        <v>119</v>
      </c>
      <c r="BP49" s="162">
        <f>'اعدادى 1'!BR17</f>
        <v>0</v>
      </c>
      <c r="BQ49" s="160">
        <f t="shared" si="29"/>
        <v>625</v>
      </c>
      <c r="BR49" s="162"/>
    </row>
    <row r="50" spans="2:70" ht="24" customHeight="1">
      <c r="B50" t="str">
        <f t="shared" si="28"/>
        <v>رباب محمود النجار</v>
      </c>
      <c r="C50" s="1">
        <f>'اعدادى 1'!C18</f>
        <v>246</v>
      </c>
      <c r="D50" s="3">
        <v>31</v>
      </c>
      <c r="E50" s="4"/>
      <c r="F50" s="5">
        <f>'اعدادى 1'!F18</f>
        <v>1041.6300000000001</v>
      </c>
      <c r="G50" s="5">
        <f>'اعدادى 1'!G18</f>
        <v>24.12</v>
      </c>
      <c r="H50" s="5">
        <f>'اعدادى 1'!H18</f>
        <v>24.6</v>
      </c>
      <c r="I50" s="5">
        <f>'اعدادى 1'!I18</f>
        <v>61.5</v>
      </c>
      <c r="J50" s="5">
        <f>'اعدادى 1'!J18</f>
        <v>123</v>
      </c>
      <c r="K50" s="5">
        <f>'اعدادى 1'!K18</f>
        <v>123</v>
      </c>
      <c r="L50" s="5">
        <f>'اعدادى 1'!L18</f>
        <v>307.5</v>
      </c>
      <c r="M50" s="5">
        <f>'اعدادى 1'!M18</f>
        <v>0</v>
      </c>
      <c r="N50" s="28">
        <f>'اعدادى 1'!N18</f>
        <v>375</v>
      </c>
      <c r="O50" s="28">
        <f>'اعدادى 1'!O18</f>
        <v>150</v>
      </c>
      <c r="P50" s="28">
        <f>'اعدادى 1'!P18</f>
        <v>200</v>
      </c>
      <c r="Q50" s="28">
        <f>'اعدادى 1'!Q18</f>
        <v>275</v>
      </c>
      <c r="R50" s="28">
        <f>'اعدادى 1'!R18</f>
        <v>191</v>
      </c>
      <c r="S50" s="28">
        <f>'اعدادى 1'!S18</f>
        <v>100</v>
      </c>
      <c r="T50" s="28">
        <f>'اعدادى 1'!T18</f>
        <v>165</v>
      </c>
      <c r="U50" s="28">
        <f>'اعدادى 1'!U18</f>
        <v>85</v>
      </c>
      <c r="V50" s="28" t="str">
        <f>'اعدادى 1'!V18</f>
        <v/>
      </c>
      <c r="W50" s="28">
        <f>'اعدادى 1'!W18</f>
        <v>2</v>
      </c>
      <c r="X50" s="28">
        <f>'اعدادى 1'!X18</f>
        <v>4</v>
      </c>
      <c r="Y50" s="5">
        <f>'اعدادى 1'!Y18</f>
        <v>0</v>
      </c>
      <c r="Z50" s="5">
        <f>'اعدادى 1'!Z18</f>
        <v>0</v>
      </c>
      <c r="AA50" s="5">
        <f>'اعدادى 1'!AA18</f>
        <v>0</v>
      </c>
      <c r="AB50" s="5">
        <f>'اعدادى 1'!AB18</f>
        <v>0</v>
      </c>
      <c r="AC50" s="5">
        <f>'اعدادى 1'!AC18</f>
        <v>0</v>
      </c>
      <c r="AD50" s="5">
        <f>'اعدادى 1'!AD18</f>
        <v>0</v>
      </c>
      <c r="AE50" s="5">
        <f>'اعدادى 1'!AE18</f>
        <v>0</v>
      </c>
      <c r="AF50" s="5">
        <f>'اعدادى 1'!AF18</f>
        <v>10</v>
      </c>
      <c r="AG50" s="5">
        <f>'اعدادى 1'!AG18</f>
        <v>3262.35</v>
      </c>
      <c r="AH50" s="5">
        <f>'اعدادى 1'!AH18</f>
        <v>0</v>
      </c>
      <c r="AI50" s="5">
        <f>'اعدادى 1'!AI18</f>
        <v>292.7115</v>
      </c>
      <c r="AJ50" s="5">
        <f>'اعدادى 1'!AJ18</f>
        <v>0</v>
      </c>
      <c r="AK50" s="5">
        <f>'اعدادى 1'!AK18</f>
        <v>32.523499999999999</v>
      </c>
      <c r="AL50" s="5">
        <f>'اعدادى 1'!AL18</f>
        <v>32.523499999999999</v>
      </c>
      <c r="AM50" s="5">
        <f>'اعدادى 1'!AM18</f>
        <v>7</v>
      </c>
      <c r="AN50" s="5">
        <f>'اعدادى 1'!AN18</f>
        <v>1.7</v>
      </c>
      <c r="AO50" s="5">
        <f>'اعدادى 1'!AO18</f>
        <v>0</v>
      </c>
      <c r="AP50" s="5">
        <f>'اعدادى 1'!AP18</f>
        <v>25.7</v>
      </c>
      <c r="AQ50" s="5">
        <f>'اعدادى 1'!AQ18</f>
        <v>20.100000000000001</v>
      </c>
      <c r="AR50" s="5">
        <f>'اعدادى 1'!AR18</f>
        <v>0</v>
      </c>
      <c r="AS50" s="5">
        <f>'اعدادى 1'!AS18</f>
        <v>1.5</v>
      </c>
      <c r="AT50" s="5">
        <f>'اعدادى 1'!AT18</f>
        <v>4.5</v>
      </c>
      <c r="AU50" s="5">
        <f>'اعدادى 1'!AU18</f>
        <v>2</v>
      </c>
      <c r="AV50" s="5">
        <f>'اعدادى 1'!AV18</f>
        <v>0.25</v>
      </c>
      <c r="AW50" s="5">
        <f>'اعدادى 1'!AW18</f>
        <v>3</v>
      </c>
      <c r="AX50" s="5">
        <f>'اعدادى 1'!AX18</f>
        <v>0.5</v>
      </c>
      <c r="AY50" s="5">
        <f>'اعدادى 1'!AY18</f>
        <v>72.914100000000019</v>
      </c>
      <c r="AZ50" s="5">
        <f>'اعدادى 1'!AZ18</f>
        <v>0</v>
      </c>
      <c r="BA50" s="5">
        <f>'اعدادى 1'!BA18</f>
        <v>0</v>
      </c>
      <c r="BB50" s="5">
        <f>'اعدادى 1'!BB18</f>
        <v>0</v>
      </c>
      <c r="BC50" s="5">
        <f>'اعدادى 1'!BC18</f>
        <v>0</v>
      </c>
      <c r="BD50" s="5">
        <f>'اعدادى 1'!BD18</f>
        <v>0</v>
      </c>
      <c r="BE50" s="5">
        <f>'اعدادى 1'!BE18</f>
        <v>0</v>
      </c>
      <c r="BF50" s="5">
        <f>'اعدادى 1'!BF18</f>
        <v>0</v>
      </c>
      <c r="BG50" s="5">
        <f>'اعدادى 1'!BG18</f>
        <v>0</v>
      </c>
      <c r="BH50" s="5">
        <f>'اعدادى 1'!BH18</f>
        <v>0.03</v>
      </c>
      <c r="BI50" s="5">
        <f>'اعدادى 1'!BI18</f>
        <v>496.95260000000002</v>
      </c>
      <c r="BJ50" s="5">
        <f>'اعدادى 1'!BJ18</f>
        <v>2765.3973999999998</v>
      </c>
      <c r="BK50" s="5" t="str">
        <f>'اعدادى 1'!BK18</f>
        <v>رباب محمود النجار</v>
      </c>
      <c r="BL50" s="5" t="str">
        <f>'اعدادى 1'!BL18</f>
        <v>ثانيه</v>
      </c>
      <c r="BM50" s="5" t="str">
        <f>'اعدادى 1'!BO18</f>
        <v>مدرس</v>
      </c>
      <c r="BN50" s="53">
        <f>'اعدادى 1'!BP18</f>
        <v>0</v>
      </c>
      <c r="BO50" s="101" t="s">
        <v>119</v>
      </c>
      <c r="BP50" s="162">
        <f>'اعدادى 1'!BR18</f>
        <v>0</v>
      </c>
      <c r="BQ50" s="160">
        <f t="shared" si="29"/>
        <v>625</v>
      </c>
      <c r="BR50" s="162"/>
    </row>
    <row r="51" spans="2:70" ht="24" customHeight="1">
      <c r="B51" t="str">
        <f t="shared" si="28"/>
        <v>مروى ناجى سليمان</v>
      </c>
      <c r="C51" s="1">
        <f>'اعدادى 1'!C19</f>
        <v>246</v>
      </c>
      <c r="D51" s="3">
        <v>32</v>
      </c>
      <c r="E51" s="4"/>
      <c r="F51" s="5">
        <f>'اعدادى 1'!F19</f>
        <v>1025.8599999999999</v>
      </c>
      <c r="G51" s="5">
        <f>'اعدادى 1'!G19</f>
        <v>4.8</v>
      </c>
      <c r="H51" s="5">
        <f>'اعدادى 1'!H19</f>
        <v>4.8</v>
      </c>
      <c r="I51" s="5">
        <f>'اعدادى 1'!I19</f>
        <v>61.5</v>
      </c>
      <c r="J51" s="5">
        <f>'اعدادى 1'!J19</f>
        <v>184.5</v>
      </c>
      <c r="K51" s="5">
        <f>'اعدادى 1'!K19</f>
        <v>123</v>
      </c>
      <c r="L51" s="5">
        <f>'اعدادى 1'!L19</f>
        <v>246</v>
      </c>
      <c r="M51" s="5">
        <f>'اعدادى 1'!M19</f>
        <v>0</v>
      </c>
      <c r="N51" s="28">
        <f>'اعدادى 1'!N19</f>
        <v>400</v>
      </c>
      <c r="O51" s="28">
        <f>'اعدادى 1'!O19</f>
        <v>150</v>
      </c>
      <c r="P51" s="28">
        <f>'اعدادى 1'!P19</f>
        <v>200</v>
      </c>
      <c r="Q51" s="28">
        <f>'اعدادى 1'!Q19</f>
        <v>225</v>
      </c>
      <c r="R51" s="28">
        <f>'اعدادى 1'!R19</f>
        <v>252</v>
      </c>
      <c r="S51" s="28">
        <f>'اعدادى 1'!S19</f>
        <v>75</v>
      </c>
      <c r="T51" s="28">
        <f>'اعدادى 1'!T19</f>
        <v>185</v>
      </c>
      <c r="U51" s="28">
        <f>'اعدادى 1'!U19</f>
        <v>65</v>
      </c>
      <c r="V51" s="28" t="str">
        <f>'اعدادى 1'!V19</f>
        <v/>
      </c>
      <c r="W51" s="28">
        <f>'اعدادى 1'!W19</f>
        <v>2</v>
      </c>
      <c r="X51" s="28">
        <f>'اعدادى 1'!X19</f>
        <v>4</v>
      </c>
      <c r="Y51" s="5">
        <f>'اعدادى 1'!Y19</f>
        <v>0</v>
      </c>
      <c r="Z51" s="5">
        <f>'اعدادى 1'!Z19</f>
        <v>0</v>
      </c>
      <c r="AA51" s="5">
        <f>'اعدادى 1'!AA19</f>
        <v>0</v>
      </c>
      <c r="AB51" s="5">
        <f>'اعدادى 1'!AB19</f>
        <v>0</v>
      </c>
      <c r="AC51" s="5">
        <f>'اعدادى 1'!AC19</f>
        <v>0</v>
      </c>
      <c r="AD51" s="5">
        <f>'اعدادى 1'!AD19</f>
        <v>0</v>
      </c>
      <c r="AE51" s="5">
        <f>'اعدادى 1'!AE19</f>
        <v>0</v>
      </c>
      <c r="AF51" s="5">
        <f>'اعدادى 1'!AF19</f>
        <v>10</v>
      </c>
      <c r="AG51" s="5">
        <f>'اعدادى 1'!AG19</f>
        <v>3218.46</v>
      </c>
      <c r="AH51" s="5">
        <f>'اعدادى 1'!AH19</f>
        <v>0</v>
      </c>
      <c r="AI51" s="5">
        <f>'اعدادى 1'!AI19</f>
        <v>288.76139999999998</v>
      </c>
      <c r="AJ51" s="5">
        <f>'اعدادى 1'!AJ19</f>
        <v>0</v>
      </c>
      <c r="AK51" s="5">
        <f>'اعدادى 1'!AK19</f>
        <v>32.084600000000002</v>
      </c>
      <c r="AL51" s="5">
        <f>'اعدادى 1'!AL19</f>
        <v>32.084600000000002</v>
      </c>
      <c r="AM51" s="5">
        <f>'اعدادى 1'!AM19</f>
        <v>6.5</v>
      </c>
      <c r="AN51" s="5">
        <f>'اعدادى 1'!AN19</f>
        <v>1.3</v>
      </c>
      <c r="AO51" s="5">
        <f>'اعدادى 1'!AO19</f>
        <v>0</v>
      </c>
      <c r="AP51" s="5">
        <f>'اعدادى 1'!AP19</f>
        <v>24.4</v>
      </c>
      <c r="AQ51" s="5">
        <f>'اعدادى 1'!AQ19</f>
        <v>19.8</v>
      </c>
      <c r="AR51" s="5">
        <f>'اعدادى 1'!AR19</f>
        <v>0</v>
      </c>
      <c r="AS51" s="5">
        <f>'اعدادى 1'!AS19</f>
        <v>1.5</v>
      </c>
      <c r="AT51" s="5">
        <f>'اعدادى 1'!AT19</f>
        <v>4.5</v>
      </c>
      <c r="AU51" s="5">
        <f>'اعدادى 1'!AU19</f>
        <v>2</v>
      </c>
      <c r="AV51" s="5">
        <f>'اعدادى 1'!AV19</f>
        <v>0.25</v>
      </c>
      <c r="AW51" s="5">
        <f>'اعدادى 1'!AW19</f>
        <v>3</v>
      </c>
      <c r="AX51" s="5">
        <f>'اعدادى 1'!AX19</f>
        <v>0.5</v>
      </c>
      <c r="AY51" s="5">
        <f>'اعدادى 1'!AY19</f>
        <v>71.810199999999995</v>
      </c>
      <c r="AZ51" s="5">
        <f>'اعدادى 1'!AZ19</f>
        <v>0</v>
      </c>
      <c r="BA51" s="5">
        <f>'اعدادى 1'!BA19</f>
        <v>0</v>
      </c>
      <c r="BB51" s="5">
        <f>'اعدادى 1'!BB19</f>
        <v>0</v>
      </c>
      <c r="BC51" s="5">
        <f>'اعدادى 1'!BC19</f>
        <v>0</v>
      </c>
      <c r="BD51" s="5">
        <f>'اعدادى 1'!BD19</f>
        <v>0</v>
      </c>
      <c r="BE51" s="5">
        <f>'اعدادى 1'!BE19</f>
        <v>0</v>
      </c>
      <c r="BF51" s="5">
        <f>'اعدادى 1'!BF19</f>
        <v>0</v>
      </c>
      <c r="BG51" s="5">
        <f>'اعدادى 1'!BG19</f>
        <v>0</v>
      </c>
      <c r="BH51" s="5">
        <f>'اعدادى 1'!BH19</f>
        <v>0.02</v>
      </c>
      <c r="BI51" s="5">
        <f>'اعدادى 1'!BI19</f>
        <v>488.51080000000002</v>
      </c>
      <c r="BJ51" s="5">
        <f>'اعدادى 1'!BJ19</f>
        <v>2729.9492</v>
      </c>
      <c r="BK51" s="5" t="str">
        <f>'اعدادى 1'!BK19</f>
        <v>مروى ناجى سليمان</v>
      </c>
      <c r="BL51" s="5" t="str">
        <f>'اعدادى 1'!BL19</f>
        <v>ثالثه</v>
      </c>
      <c r="BM51" s="5" t="str">
        <f>'اعدادى 1'!BO19</f>
        <v>مدرس</v>
      </c>
      <c r="BN51" s="53">
        <f>'اعدادى 1'!BP19</f>
        <v>0</v>
      </c>
      <c r="BO51" s="101" t="s">
        <v>119</v>
      </c>
      <c r="BP51" s="162">
        <f>'اعدادى 1'!BR19</f>
        <v>0</v>
      </c>
      <c r="BQ51" s="160">
        <f t="shared" si="29"/>
        <v>575</v>
      </c>
      <c r="BR51" s="162"/>
    </row>
    <row r="52" spans="2:70" ht="24" customHeight="1">
      <c r="B52" t="str">
        <f t="shared" si="28"/>
        <v>مروه حمدى عزالعرب</v>
      </c>
      <c r="C52" s="1">
        <f>'اعدادى 1'!C20</f>
        <v>249</v>
      </c>
      <c r="D52" s="3">
        <v>33</v>
      </c>
      <c r="E52" s="4"/>
      <c r="F52" s="5">
        <f>'اعدادى 1'!F20</f>
        <v>1039.78</v>
      </c>
      <c r="G52" s="5">
        <f>'اعدادى 1'!G20</f>
        <v>24.12</v>
      </c>
      <c r="H52" s="5">
        <f>'اعدادى 1'!H20</f>
        <v>24.900000000000002</v>
      </c>
      <c r="I52" s="5">
        <f>'اعدادى 1'!I20</f>
        <v>62.25</v>
      </c>
      <c r="J52" s="5">
        <f>'اعدادى 1'!J20</f>
        <v>186.75</v>
      </c>
      <c r="K52" s="5">
        <f>'اعدادى 1'!K20</f>
        <v>124.5</v>
      </c>
      <c r="L52" s="5">
        <f>'اعدادى 1'!L20</f>
        <v>0</v>
      </c>
      <c r="M52" s="5">
        <f>'اعدادى 1'!M20</f>
        <v>0</v>
      </c>
      <c r="N52" s="28">
        <f>'اعدادى 1'!N20</f>
        <v>0</v>
      </c>
      <c r="O52" s="28">
        <f>'اعدادى 1'!O20</f>
        <v>150</v>
      </c>
      <c r="P52" s="28">
        <f>'اعدادى 1'!P20</f>
        <v>200</v>
      </c>
      <c r="Q52" s="28">
        <f>'اعدادى 1'!Q20</f>
        <v>225</v>
      </c>
      <c r="R52" s="28">
        <f>'اعدادى 1'!R20</f>
        <v>572</v>
      </c>
      <c r="S52" s="28">
        <f>'اعدادى 1'!S20</f>
        <v>75</v>
      </c>
      <c r="T52" s="28">
        <f>'اعدادى 1'!T20</f>
        <v>185</v>
      </c>
      <c r="U52" s="28">
        <f>'اعدادى 1'!U20</f>
        <v>65</v>
      </c>
      <c r="V52" s="28" t="str">
        <f>'اعدادى 1'!V20</f>
        <v/>
      </c>
      <c r="W52" s="28">
        <f>'اعدادى 1'!W20</f>
        <v>2</v>
      </c>
      <c r="X52" s="28">
        <f>'اعدادى 1'!X20</f>
        <v>4</v>
      </c>
      <c r="Y52" s="5">
        <f>'اعدادى 1'!Y20</f>
        <v>0</v>
      </c>
      <c r="Z52" s="5">
        <f>'اعدادى 1'!Z20</f>
        <v>0</v>
      </c>
      <c r="AA52" s="5">
        <f>'اعدادى 1'!AA20</f>
        <v>0</v>
      </c>
      <c r="AB52" s="5">
        <f>'اعدادى 1'!AB20</f>
        <v>0</v>
      </c>
      <c r="AC52" s="5">
        <f>'اعدادى 1'!AC20</f>
        <v>227.83</v>
      </c>
      <c r="AD52" s="5">
        <f>'اعدادى 1'!AD20</f>
        <v>385</v>
      </c>
      <c r="AE52" s="5">
        <f>'اعدادى 1'!AE20</f>
        <v>200</v>
      </c>
      <c r="AF52" s="5">
        <f>'اعدادى 1'!AF20</f>
        <v>10</v>
      </c>
      <c r="AG52" s="5">
        <f>'اعدادى 1'!AG20</f>
        <v>3763.13</v>
      </c>
      <c r="AH52" s="5">
        <f>'اعدادى 1'!AH20</f>
        <v>0</v>
      </c>
      <c r="AI52" s="5">
        <f>'اعدادى 1'!AI20</f>
        <v>337.7817</v>
      </c>
      <c r="AJ52" s="5">
        <f>'اعدادى 1'!AJ20</f>
        <v>0</v>
      </c>
      <c r="AK52" s="5">
        <f>'اعدادى 1'!AK20</f>
        <v>37.531300000000002</v>
      </c>
      <c r="AL52" s="5">
        <f>'اعدادى 1'!AL20</f>
        <v>37.531300000000002</v>
      </c>
      <c r="AM52" s="5">
        <f>'اعدادى 1'!AM20</f>
        <v>6.5</v>
      </c>
      <c r="AN52" s="5">
        <f>'اعدادى 1'!AN20</f>
        <v>1.3</v>
      </c>
      <c r="AO52" s="5">
        <f>'اعدادى 1'!AO20</f>
        <v>0</v>
      </c>
      <c r="AP52" s="5">
        <f>'اعدادى 1'!AP20</f>
        <v>40</v>
      </c>
      <c r="AQ52" s="5">
        <f>'اعدادى 1'!AQ20</f>
        <v>23.85</v>
      </c>
      <c r="AR52" s="5">
        <f>'اعدادى 1'!AR20</f>
        <v>0</v>
      </c>
      <c r="AS52" s="5">
        <f>'اعدادى 1'!AS20</f>
        <v>1.5</v>
      </c>
      <c r="AT52" s="5">
        <f>'اعدادى 1'!AT20</f>
        <v>4.5</v>
      </c>
      <c r="AU52" s="5">
        <f>'اعدادى 1'!AU20</f>
        <v>2</v>
      </c>
      <c r="AV52" s="5">
        <f>'اعدادى 1'!AV20</f>
        <v>0.25</v>
      </c>
      <c r="AW52" s="5">
        <f>'اعدادى 1'!AW20</f>
        <v>3</v>
      </c>
      <c r="AX52" s="5">
        <f>'اعدادى 1'!AX20</f>
        <v>0.5</v>
      </c>
      <c r="AY52" s="5">
        <f>'اعدادى 1'!AY20</f>
        <v>72.784600000000012</v>
      </c>
      <c r="AZ52" s="5">
        <f>'اعدادى 1'!AZ20</f>
        <v>0</v>
      </c>
      <c r="BA52" s="5">
        <f>'اعدادى 1'!BA20</f>
        <v>0</v>
      </c>
      <c r="BB52" s="5">
        <f>'اعدادى 1'!BB20</f>
        <v>0</v>
      </c>
      <c r="BC52" s="5">
        <f>'اعدادى 1'!BC20</f>
        <v>0</v>
      </c>
      <c r="BD52" s="5">
        <f>'اعدادى 1'!BD20</f>
        <v>0</v>
      </c>
      <c r="BE52" s="5">
        <f>'اعدادى 1'!BE20</f>
        <v>0</v>
      </c>
      <c r="BF52" s="5">
        <f>'اعدادى 1'!BF20</f>
        <v>0</v>
      </c>
      <c r="BG52" s="5">
        <f>'اعدادى 1'!BG20</f>
        <v>0</v>
      </c>
      <c r="BH52" s="5">
        <f>'اعدادى 1'!BH20</f>
        <v>0</v>
      </c>
      <c r="BI52" s="5">
        <f>'اعدادى 1'!BI20</f>
        <v>569.02890000000002</v>
      </c>
      <c r="BJ52" s="5">
        <f>'اعدادى 1'!BJ20</f>
        <v>3194.1010999999999</v>
      </c>
      <c r="BK52" s="5" t="str">
        <f>'اعدادى 1'!BK20</f>
        <v>مروه حمدى عزالعرب</v>
      </c>
      <c r="BL52" s="5" t="str">
        <f>'اعدادى 1'!BL20</f>
        <v>ثالثه</v>
      </c>
      <c r="BM52" s="5" t="str">
        <f>'اعدادى 1'!BO20</f>
        <v>مدرس</v>
      </c>
      <c r="BN52" s="53">
        <f>'اعدادى 1'!BP20</f>
        <v>0</v>
      </c>
      <c r="BO52" s="101" t="s">
        <v>119</v>
      </c>
      <c r="BP52" s="162">
        <f>'اعدادى 1'!BR20</f>
        <v>0</v>
      </c>
      <c r="BQ52" s="160">
        <f t="shared" si="29"/>
        <v>575</v>
      </c>
      <c r="BR52" s="162"/>
    </row>
    <row r="53" spans="2:70" ht="24" customHeight="1">
      <c r="B53" t="str">
        <f t="shared" si="28"/>
        <v>حامد ابوبكر شلبى</v>
      </c>
      <c r="C53" s="1">
        <f>'اعدادى 1'!C21</f>
        <v>246</v>
      </c>
      <c r="D53" s="3">
        <v>34</v>
      </c>
      <c r="E53" s="4"/>
      <c r="F53" s="5">
        <f>'اعدادى 1'!F21</f>
        <v>1006.15</v>
      </c>
      <c r="G53" s="5">
        <f>'اعدادى 1'!G21</f>
        <v>4.8</v>
      </c>
      <c r="H53" s="5">
        <f>'اعدادى 1'!H21</f>
        <v>4.8</v>
      </c>
      <c r="I53" s="5">
        <f>'اعدادى 1'!I21</f>
        <v>61.5</v>
      </c>
      <c r="J53" s="5">
        <f>'اعدادى 1'!J21</f>
        <v>0</v>
      </c>
      <c r="K53" s="5">
        <f>'اعدادى 1'!K21</f>
        <v>123</v>
      </c>
      <c r="L53" s="5">
        <f>'اعدادى 1'!L21</f>
        <v>246</v>
      </c>
      <c r="M53" s="5">
        <f>'اعدادى 1'!M21</f>
        <v>0</v>
      </c>
      <c r="N53" s="28">
        <f>'اعدادى 1'!N21</f>
        <v>0</v>
      </c>
      <c r="O53" s="28">
        <f>'اعدادى 1'!O21</f>
        <v>150</v>
      </c>
      <c r="P53" s="28">
        <f>'اعدادى 1'!P21</f>
        <v>200</v>
      </c>
      <c r="Q53" s="28">
        <f>'اعدادى 1'!Q21</f>
        <v>225</v>
      </c>
      <c r="R53" s="28">
        <f>'اعدادى 1'!R21</f>
        <v>153</v>
      </c>
      <c r="S53" s="28">
        <f>'اعدادى 1'!S21</f>
        <v>75</v>
      </c>
      <c r="T53" s="28">
        <f>'اعدادى 1'!T21</f>
        <v>185</v>
      </c>
      <c r="U53" s="28">
        <f>'اعدادى 1'!U21</f>
        <v>65</v>
      </c>
      <c r="V53" s="28" t="str">
        <f>'اعدادى 1'!V21</f>
        <v/>
      </c>
      <c r="W53" s="28">
        <f>'اعدادى 1'!W21</f>
        <v>6</v>
      </c>
      <c r="X53" s="28">
        <f>'اعدادى 1'!X21</f>
        <v>4</v>
      </c>
      <c r="Y53" s="5">
        <f>'اعدادى 1'!Y21</f>
        <v>0</v>
      </c>
      <c r="Z53" s="5">
        <f>'اعدادى 1'!Z21</f>
        <v>0</v>
      </c>
      <c r="AA53" s="5">
        <f>'اعدادى 1'!AA21</f>
        <v>0</v>
      </c>
      <c r="AB53" s="5">
        <f>'اعدادى 1'!AB21</f>
        <v>0</v>
      </c>
      <c r="AC53" s="5">
        <f>'اعدادى 1'!AC21</f>
        <v>0</v>
      </c>
      <c r="AD53" s="5">
        <f>'اعدادى 1'!AD21</f>
        <v>0</v>
      </c>
      <c r="AE53" s="5">
        <f>'اعدادى 1'!AE21</f>
        <v>0</v>
      </c>
      <c r="AF53" s="5">
        <f>'اعدادى 1'!AF21</f>
        <v>10</v>
      </c>
      <c r="AG53" s="5">
        <f>'اعدادى 1'!AG21</f>
        <v>2519.25</v>
      </c>
      <c r="AH53" s="5">
        <f>'اعدادى 1'!AH21</f>
        <v>0</v>
      </c>
      <c r="AI53" s="5">
        <f>'اعدادى 1'!AI21</f>
        <v>225.83249999999998</v>
      </c>
      <c r="AJ53" s="5">
        <f>'اعدادى 1'!AJ21</f>
        <v>0</v>
      </c>
      <c r="AK53" s="5">
        <f>'اعدادى 1'!AK21</f>
        <v>25.092500000000001</v>
      </c>
      <c r="AL53" s="5">
        <f>'اعدادى 1'!AL21</f>
        <v>25.092500000000001</v>
      </c>
      <c r="AM53" s="5">
        <f>'اعدادى 1'!AM21</f>
        <v>6.5</v>
      </c>
      <c r="AN53" s="5">
        <f>'اعدادى 1'!AN21</f>
        <v>1.3</v>
      </c>
      <c r="AO53" s="5">
        <f>'اعدادى 1'!AO21</f>
        <v>0</v>
      </c>
      <c r="AP53" s="5">
        <f>'اعدادى 1'!AP21</f>
        <v>3.5</v>
      </c>
      <c r="AQ53" s="5">
        <f>'اعدادى 1'!AQ21</f>
        <v>14.65</v>
      </c>
      <c r="AR53" s="5">
        <f>'اعدادى 1'!AR21</f>
        <v>0</v>
      </c>
      <c r="AS53" s="5">
        <f>'اعدادى 1'!AS21</f>
        <v>1</v>
      </c>
      <c r="AT53" s="5">
        <f>'اعدادى 1'!AT21</f>
        <v>4.5</v>
      </c>
      <c r="AU53" s="5">
        <f>'اعدادى 1'!AU21</f>
        <v>2</v>
      </c>
      <c r="AV53" s="5">
        <f>'اعدادى 1'!AV21</f>
        <v>0.25</v>
      </c>
      <c r="AW53" s="5">
        <f>'اعدادى 1'!AW21</f>
        <v>3</v>
      </c>
      <c r="AX53" s="5">
        <f>'اعدادى 1'!AX21</f>
        <v>0.5</v>
      </c>
      <c r="AY53" s="5">
        <f>'اعدادى 1'!AY21</f>
        <v>70.430500000000009</v>
      </c>
      <c r="AZ53" s="5">
        <f>'اعدادى 1'!AZ21</f>
        <v>0</v>
      </c>
      <c r="BA53" s="5">
        <f>'اعدادى 1'!BA21</f>
        <v>0</v>
      </c>
      <c r="BB53" s="5">
        <f>'اعدادى 1'!BB21</f>
        <v>0</v>
      </c>
      <c r="BC53" s="5">
        <f>'اعدادى 1'!BC21</f>
        <v>0</v>
      </c>
      <c r="BD53" s="5">
        <f>'اعدادى 1'!BD21</f>
        <v>0</v>
      </c>
      <c r="BE53" s="5">
        <f>'اعدادى 1'!BE21</f>
        <v>0</v>
      </c>
      <c r="BF53" s="5">
        <f>'اعدادى 1'!BF21</f>
        <v>0</v>
      </c>
      <c r="BG53" s="5">
        <f>'اعدادى 1'!BG21</f>
        <v>0</v>
      </c>
      <c r="BH53" s="5">
        <f>'اعدادى 1'!BH21</f>
        <v>0</v>
      </c>
      <c r="BI53" s="5">
        <f>'اعدادى 1'!BI21</f>
        <v>383.64799999999997</v>
      </c>
      <c r="BJ53" s="5">
        <f>'اعدادى 1'!BJ21</f>
        <v>2135.6019999999999</v>
      </c>
      <c r="BK53" s="5" t="str">
        <f>'اعدادى 1'!BK21</f>
        <v>حامد ابوبكر شلبى</v>
      </c>
      <c r="BL53" s="5" t="str">
        <f>'اعدادى 1'!BL21</f>
        <v>ثالثه</v>
      </c>
      <c r="BM53" s="5" t="str">
        <f>'اعدادى 1'!BO21</f>
        <v>مدرس</v>
      </c>
      <c r="BN53" s="53">
        <f>'اعدادى 1'!BP21</f>
        <v>0</v>
      </c>
      <c r="BO53" s="101" t="s">
        <v>119</v>
      </c>
      <c r="BP53" s="162">
        <f>'اعدادى 1'!BR21</f>
        <v>0</v>
      </c>
      <c r="BQ53" s="160">
        <f t="shared" si="29"/>
        <v>575</v>
      </c>
      <c r="BR53" s="162"/>
    </row>
    <row r="54" spans="2:70" ht="24" customHeight="1">
      <c r="B54" t="str">
        <f t="shared" si="28"/>
        <v>محمد ابراهيم علوان</v>
      </c>
      <c r="C54" s="1">
        <f>'اعدادى 1'!C22</f>
        <v>0</v>
      </c>
      <c r="D54" s="3">
        <v>35</v>
      </c>
      <c r="E54" s="4"/>
      <c r="F54" s="5">
        <f>'اعدادى 1'!F22</f>
        <v>0</v>
      </c>
      <c r="G54" s="5">
        <f>'اعدادى 1'!G22</f>
        <v>0</v>
      </c>
      <c r="H54" s="5" t="str">
        <f>'اعدادى 1'!H22</f>
        <v/>
      </c>
      <c r="I54" s="5" t="str">
        <f>'اعدادى 1'!I22</f>
        <v/>
      </c>
      <c r="J54" s="5" t="str">
        <f>'اعدادى 1'!J22</f>
        <v/>
      </c>
      <c r="K54" s="5" t="str">
        <f>'اعدادى 1'!K22</f>
        <v/>
      </c>
      <c r="L54" s="5">
        <f>'اعدادى 1'!L22</f>
        <v>0</v>
      </c>
      <c r="M54" s="5">
        <f>'اعدادى 1'!M22</f>
        <v>0</v>
      </c>
      <c r="N54" s="28" t="str">
        <f>'اعدادى 1'!N22</f>
        <v/>
      </c>
      <c r="O54" s="28">
        <f>'اعدادى 1'!O22</f>
        <v>150</v>
      </c>
      <c r="P54" s="28">
        <f>'اعدادى 1'!P22</f>
        <v>300</v>
      </c>
      <c r="Q54" s="28">
        <f>'اعدادى 1'!Q22</f>
        <v>325</v>
      </c>
      <c r="R54" s="28">
        <f>'اعدادى 1'!R22</f>
        <v>0</v>
      </c>
      <c r="S54" s="28" t="str">
        <f>'اعدادى 1'!S22</f>
        <v/>
      </c>
      <c r="T54" s="28" t="str">
        <f>'اعدادى 1'!T22</f>
        <v/>
      </c>
      <c r="U54" s="28" t="str">
        <f>'اعدادى 1'!U22</f>
        <v/>
      </c>
      <c r="V54" s="28">
        <f>'اعدادى 1'!V22</f>
        <v>85</v>
      </c>
      <c r="W54" s="28">
        <f>'اعدادى 1'!W22</f>
        <v>0</v>
      </c>
      <c r="X54" s="28">
        <f>'اعدادى 1'!X22</f>
        <v>0</v>
      </c>
      <c r="Y54" s="5">
        <f>'اعدادى 1'!Y22</f>
        <v>0</v>
      </c>
      <c r="Z54" s="5">
        <f>'اعدادى 1'!Z22</f>
        <v>3125.29</v>
      </c>
      <c r="AA54" s="5">
        <f>'اعدادى 1'!AA22</f>
        <v>359.55</v>
      </c>
      <c r="AB54" s="5">
        <f>'اعدادى 1'!AB22</f>
        <v>76.67</v>
      </c>
      <c r="AC54" s="5">
        <f>'اعدادى 1'!AC22</f>
        <v>0</v>
      </c>
      <c r="AD54" s="5">
        <f>'اعدادى 1'!AD22</f>
        <v>0</v>
      </c>
      <c r="AE54" s="5">
        <f>'اعدادى 1'!AE22</f>
        <v>0</v>
      </c>
      <c r="AF54" s="5" t="str">
        <f>'اعدادى 1'!AF22</f>
        <v/>
      </c>
      <c r="AG54" s="5">
        <f>'اعدادى 1'!AG22</f>
        <v>4421.51</v>
      </c>
      <c r="AH54" s="5">
        <f>'اعدادى 1'!AH22</f>
        <v>0</v>
      </c>
      <c r="AI54" s="5">
        <f>'اعدادى 1'!AI22</f>
        <v>397.9359</v>
      </c>
      <c r="AJ54" s="5">
        <f>'اعدادى 1'!AJ22</f>
        <v>0</v>
      </c>
      <c r="AK54" s="5">
        <f>'اعدادى 1'!AK22</f>
        <v>44.2151</v>
      </c>
      <c r="AL54" s="5">
        <f>'اعدادى 1'!AL22</f>
        <v>44.2151</v>
      </c>
      <c r="AM54" s="5">
        <f>'اعدادى 1'!AM22</f>
        <v>5</v>
      </c>
      <c r="AN54" s="5" t="str">
        <f>'اعدادى 1'!AN22</f>
        <v/>
      </c>
      <c r="AO54" s="5">
        <f>'اعدادى 1'!AO22</f>
        <v>0</v>
      </c>
      <c r="AP54" s="5">
        <f>'اعدادى 1'!AP22</f>
        <v>45.2</v>
      </c>
      <c r="AQ54" s="5">
        <f>'اعدادى 1'!AQ22</f>
        <v>32.1</v>
      </c>
      <c r="AR54" s="5">
        <f>'اعدادى 1'!AR22</f>
        <v>0</v>
      </c>
      <c r="AS54" s="5">
        <f>'اعدادى 1'!AS22</f>
        <v>2</v>
      </c>
      <c r="AT54" s="5" t="str">
        <f>'اعدادى 1'!AT22</f>
        <v/>
      </c>
      <c r="AU54" s="5" t="str">
        <f>'اعدادى 1'!AU22</f>
        <v/>
      </c>
      <c r="AV54" s="5" t="str">
        <f>'اعدادى 1'!AV22</f>
        <v/>
      </c>
      <c r="AW54" s="5" t="str">
        <f>'اعدادى 1'!AW22</f>
        <v/>
      </c>
      <c r="AX54" s="5" t="str">
        <f>'اعدادى 1'!AX22</f>
        <v/>
      </c>
      <c r="AY54" s="5" t="str">
        <f>'اعدادى 1'!AY22</f>
        <v/>
      </c>
      <c r="AZ54" s="5">
        <f>'اعدادى 1'!AZ22</f>
        <v>0</v>
      </c>
      <c r="BA54" s="5">
        <f>'اعدادى 1'!BA22</f>
        <v>0</v>
      </c>
      <c r="BB54" s="5">
        <f>'اعدادى 1'!BB22</f>
        <v>0</v>
      </c>
      <c r="BC54" s="5">
        <f>'اعدادى 1'!BC22</f>
        <v>0</v>
      </c>
      <c r="BD54" s="5">
        <f>'اعدادى 1'!BD22</f>
        <v>0</v>
      </c>
      <c r="BE54" s="5">
        <f>'اعدادى 1'!BE22</f>
        <v>0</v>
      </c>
      <c r="BF54" s="5">
        <f>'اعدادى 1'!BF22</f>
        <v>0</v>
      </c>
      <c r="BG54" s="5">
        <f>'اعدادى 1'!BG22</f>
        <v>0</v>
      </c>
      <c r="BH54" s="5">
        <f>'اعدادى 1'!BH22</f>
        <v>0.04</v>
      </c>
      <c r="BI54" s="5">
        <f>'اعدادى 1'!BI22</f>
        <v>570.70609999999999</v>
      </c>
      <c r="BJ54" s="5">
        <f>'اعدادى 1'!BJ22</f>
        <v>3850.8039000000003</v>
      </c>
      <c r="BK54" s="5" t="str">
        <f>'اعدادى 1'!BK22</f>
        <v>محمد ابراهيم علوان</v>
      </c>
      <c r="BL54" s="5" t="str">
        <f>'اعدادى 1'!BL22</f>
        <v>اولى</v>
      </c>
      <c r="BM54" s="5">
        <f>'اعدادى 1'!BO22</f>
        <v>0</v>
      </c>
      <c r="BN54" s="53">
        <f>'اعدادى 1'!BP22</f>
        <v>0</v>
      </c>
      <c r="BP54" s="162">
        <f>'اعدادى 1'!BR22</f>
        <v>0</v>
      </c>
      <c r="BQ54" s="160">
        <f t="shared" si="29"/>
        <v>775</v>
      </c>
      <c r="BR54" s="162"/>
    </row>
    <row r="55" spans="2:70" ht="24" customHeight="1">
      <c r="B55" t="str">
        <f t="shared" si="28"/>
        <v>ناديه مسعد محمود</v>
      </c>
      <c r="C55" s="1">
        <f>'اعدادى 1'!C23</f>
        <v>0</v>
      </c>
      <c r="D55" s="3">
        <v>36</v>
      </c>
      <c r="E55" s="9"/>
      <c r="F55" s="5">
        <f>'اعدادى 1'!F23</f>
        <v>0</v>
      </c>
      <c r="G55" s="5">
        <f>'اعدادى 1'!G23</f>
        <v>0</v>
      </c>
      <c r="H55" s="5" t="str">
        <f>'اعدادى 1'!H23</f>
        <v/>
      </c>
      <c r="I55" s="5" t="str">
        <f>'اعدادى 1'!I23</f>
        <v/>
      </c>
      <c r="J55" s="5" t="str">
        <f>'اعدادى 1'!J23</f>
        <v/>
      </c>
      <c r="K55" s="5" t="str">
        <f>'اعدادى 1'!K23</f>
        <v/>
      </c>
      <c r="L55" s="5">
        <f>'اعدادى 1'!L23</f>
        <v>0</v>
      </c>
      <c r="M55" s="5">
        <f>'اعدادى 1'!M23</f>
        <v>0</v>
      </c>
      <c r="N55" s="28" t="str">
        <f>'اعدادى 1'!N23</f>
        <v/>
      </c>
      <c r="O55" s="28">
        <f>'اعدادى 1'!O23</f>
        <v>150</v>
      </c>
      <c r="P55" s="28">
        <f>'اعدادى 1'!P23</f>
        <v>300</v>
      </c>
      <c r="Q55" s="28">
        <f>'اعدادى 1'!Q23</f>
        <v>325</v>
      </c>
      <c r="R55" s="28">
        <f>'اعدادى 1'!R23</f>
        <v>0</v>
      </c>
      <c r="S55" s="28" t="str">
        <f>'اعدادى 1'!S23</f>
        <v/>
      </c>
      <c r="T55" s="28" t="str">
        <f>'اعدادى 1'!T23</f>
        <v/>
      </c>
      <c r="U55" s="28" t="str">
        <f>'اعدادى 1'!U23</f>
        <v/>
      </c>
      <c r="V55" s="28">
        <f>'اعدادى 1'!V23</f>
        <v>85</v>
      </c>
      <c r="W55" s="28">
        <f>'اعدادى 1'!W23</f>
        <v>0</v>
      </c>
      <c r="X55" s="28">
        <f>'اعدادى 1'!X23</f>
        <v>0</v>
      </c>
      <c r="Y55" s="5">
        <f>'اعدادى 1'!Y23</f>
        <v>0</v>
      </c>
      <c r="Z55" s="5">
        <f>'اعدادى 1'!Z23</f>
        <v>2852.14</v>
      </c>
      <c r="AA55" s="5">
        <f>'اعدادى 1'!AA23</f>
        <v>303.41000000000003</v>
      </c>
      <c r="AB55" s="5">
        <f>'اعدادى 1'!AB23</f>
        <v>64.44</v>
      </c>
      <c r="AC55" s="5">
        <f>'اعدادى 1'!AC23</f>
        <v>0</v>
      </c>
      <c r="AD55" s="5">
        <f>'اعدادى 1'!AD23</f>
        <v>0</v>
      </c>
      <c r="AE55" s="5">
        <f>'اعدادى 1'!AE23</f>
        <v>0</v>
      </c>
      <c r="AF55" s="5" t="str">
        <f>'اعدادى 1'!AF23</f>
        <v/>
      </c>
      <c r="AG55" s="5">
        <f>'اعدادى 1'!AG23</f>
        <v>4079.99</v>
      </c>
      <c r="AH55" s="5">
        <f>'اعدادى 1'!AH23</f>
        <v>0</v>
      </c>
      <c r="AI55" s="5">
        <f>'اعدادى 1'!AI23</f>
        <v>367.19909999999999</v>
      </c>
      <c r="AJ55" s="5">
        <f>'اعدادى 1'!AJ23</f>
        <v>0</v>
      </c>
      <c r="AK55" s="5">
        <f>'اعدادى 1'!AK23</f>
        <v>40.799900000000001</v>
      </c>
      <c r="AL55" s="5">
        <f>'اعدادى 1'!AL23</f>
        <v>40.799900000000001</v>
      </c>
      <c r="AM55" s="5">
        <f>'اعدادى 1'!AM23</f>
        <v>5</v>
      </c>
      <c r="AN55" s="5" t="str">
        <f>'اعدادى 1'!AN23</f>
        <v/>
      </c>
      <c r="AO55" s="5">
        <f>'اعدادى 1'!AO23</f>
        <v>0</v>
      </c>
      <c r="AP55" s="5">
        <f>'اعدادى 1'!AP23</f>
        <v>41.9</v>
      </c>
      <c r="AQ55" s="5">
        <f>'اعدادى 1'!AQ23</f>
        <v>29.65</v>
      </c>
      <c r="AR55" s="5">
        <f>'اعدادى 1'!AR23</f>
        <v>0</v>
      </c>
      <c r="AS55" s="5">
        <f>'اعدادى 1'!AS23</f>
        <v>2</v>
      </c>
      <c r="AT55" s="5" t="str">
        <f>'اعدادى 1'!AT23</f>
        <v/>
      </c>
      <c r="AU55" s="5" t="str">
        <f>'اعدادى 1'!AU23</f>
        <v/>
      </c>
      <c r="AV55" s="5" t="str">
        <f>'اعدادى 1'!AV23</f>
        <v/>
      </c>
      <c r="AW55" s="5" t="str">
        <f>'اعدادى 1'!AW23</f>
        <v/>
      </c>
      <c r="AX55" s="5" t="str">
        <f>'اعدادى 1'!AX23</f>
        <v/>
      </c>
      <c r="AY55" s="5" t="str">
        <f>'اعدادى 1'!AY23</f>
        <v/>
      </c>
      <c r="AZ55" s="5">
        <f>'اعدادى 1'!AZ23</f>
        <v>0</v>
      </c>
      <c r="BA55" s="5">
        <f>'اعدادى 1'!BA23</f>
        <v>0</v>
      </c>
      <c r="BB55" s="5">
        <f>'اعدادى 1'!BB23</f>
        <v>0</v>
      </c>
      <c r="BC55" s="5">
        <f>'اعدادى 1'!BC23</f>
        <v>0</v>
      </c>
      <c r="BD55" s="5">
        <f>'اعدادى 1'!BD23</f>
        <v>0</v>
      </c>
      <c r="BE55" s="5">
        <f>'اعدادى 1'!BE23</f>
        <v>0</v>
      </c>
      <c r="BF55" s="5">
        <f>'اعدادى 1'!BF23</f>
        <v>0</v>
      </c>
      <c r="BG55" s="5">
        <f>'اعدادى 1'!BG23</f>
        <v>0</v>
      </c>
      <c r="BH55" s="5">
        <f>'اعدادى 1'!BH23</f>
        <v>0.04</v>
      </c>
      <c r="BI55" s="5">
        <f>'اعدادى 1'!BI23</f>
        <v>527.38889999999992</v>
      </c>
      <c r="BJ55" s="5">
        <f>'اعدادى 1'!BJ23</f>
        <v>3552.6010999999999</v>
      </c>
      <c r="BK55" s="5" t="str">
        <f>'اعدادى 1'!BK23</f>
        <v>ناديه مسعد محمود</v>
      </c>
      <c r="BL55" s="5" t="str">
        <f>'اعدادى 1'!BL23</f>
        <v>اولى</v>
      </c>
      <c r="BM55" s="5">
        <f>'اعدادى 1'!BO23</f>
        <v>0</v>
      </c>
      <c r="BN55" s="53">
        <f>'اعدادى 1'!BP23</f>
        <v>0</v>
      </c>
      <c r="BP55" s="162">
        <f>'اعدادى 1'!BR23</f>
        <v>0</v>
      </c>
      <c r="BQ55" s="160">
        <f t="shared" si="29"/>
        <v>775</v>
      </c>
      <c r="BR55" s="162"/>
    </row>
    <row r="56" spans="2:70" ht="24" customHeight="1">
      <c r="B56" t="str">
        <f t="shared" si="28"/>
        <v>ممدوح محمد عبدالعزيز</v>
      </c>
      <c r="C56" s="1">
        <f>'اعدادى 1'!C24</f>
        <v>0</v>
      </c>
      <c r="D56" s="3">
        <v>37</v>
      </c>
      <c r="E56" s="9"/>
      <c r="F56" s="5">
        <f>'اعدادى 1'!F24</f>
        <v>0</v>
      </c>
      <c r="G56" s="5">
        <f>'اعدادى 1'!G24</f>
        <v>0</v>
      </c>
      <c r="H56" s="5" t="str">
        <f>'اعدادى 1'!H24</f>
        <v/>
      </c>
      <c r="I56" s="5" t="str">
        <f>'اعدادى 1'!I24</f>
        <v/>
      </c>
      <c r="J56" s="5" t="str">
        <f>'اعدادى 1'!J24</f>
        <v/>
      </c>
      <c r="K56" s="5" t="str">
        <f>'اعدادى 1'!K24</f>
        <v/>
      </c>
      <c r="L56" s="5">
        <f>'اعدادى 1'!L24</f>
        <v>0</v>
      </c>
      <c r="M56" s="5">
        <f>'اعدادى 1'!M24</f>
        <v>0</v>
      </c>
      <c r="N56" s="28" t="str">
        <f>'اعدادى 1'!N24</f>
        <v/>
      </c>
      <c r="O56" s="28">
        <f>'اعدادى 1'!O24</f>
        <v>150</v>
      </c>
      <c r="P56" s="28">
        <f>'اعدادى 1'!P24</f>
        <v>300</v>
      </c>
      <c r="Q56" s="28">
        <f>'اعدادى 1'!Q24</f>
        <v>325</v>
      </c>
      <c r="R56" s="28">
        <f>'اعدادى 1'!R24</f>
        <v>0</v>
      </c>
      <c r="S56" s="28" t="str">
        <f>'اعدادى 1'!S24</f>
        <v/>
      </c>
      <c r="T56" s="28" t="str">
        <f>'اعدادى 1'!T24</f>
        <v/>
      </c>
      <c r="U56" s="28" t="str">
        <f>'اعدادى 1'!U24</f>
        <v/>
      </c>
      <c r="V56" s="28">
        <f>'اعدادى 1'!V24</f>
        <v>85</v>
      </c>
      <c r="W56" s="28">
        <f>'اعدادى 1'!W24</f>
        <v>0</v>
      </c>
      <c r="X56" s="28">
        <f>'اعدادى 1'!X24</f>
        <v>0</v>
      </c>
      <c r="Y56" s="5">
        <f>'اعدادى 1'!Y24</f>
        <v>0</v>
      </c>
      <c r="Z56" s="5">
        <f>'اعدادى 1'!Z24</f>
        <v>2749.53</v>
      </c>
      <c r="AA56" s="5">
        <f>'اعدادى 1'!AA24</f>
        <v>299.68</v>
      </c>
      <c r="AB56" s="5">
        <f>'اعدادى 1'!AB24</f>
        <v>64.44</v>
      </c>
      <c r="AC56" s="5">
        <f>'اعدادى 1'!AC24</f>
        <v>0</v>
      </c>
      <c r="AD56" s="5">
        <f>'اعدادى 1'!AD24</f>
        <v>0</v>
      </c>
      <c r="AE56" s="5">
        <f>'اعدادى 1'!AE24</f>
        <v>0</v>
      </c>
      <c r="AF56" s="5" t="str">
        <f>'اعدادى 1'!AF24</f>
        <v/>
      </c>
      <c r="AG56" s="5">
        <f>'اعدادى 1'!AG24</f>
        <v>3973.65</v>
      </c>
      <c r="AH56" s="5">
        <f>'اعدادى 1'!AH24</f>
        <v>0</v>
      </c>
      <c r="AI56" s="5">
        <f>'اعدادى 1'!AI24</f>
        <v>357.62849999999997</v>
      </c>
      <c r="AJ56" s="5">
        <f>'اعدادى 1'!AJ24</f>
        <v>0</v>
      </c>
      <c r="AK56" s="5">
        <f>'اعدادى 1'!AK24</f>
        <v>39.736499999999999</v>
      </c>
      <c r="AL56" s="5">
        <f>'اعدادى 1'!AL24</f>
        <v>39.736499999999999</v>
      </c>
      <c r="AM56" s="5">
        <f>'اعدادى 1'!AM24</f>
        <v>5</v>
      </c>
      <c r="AN56" s="5" t="str">
        <f>'اعدادى 1'!AN24</f>
        <v/>
      </c>
      <c r="AO56" s="5">
        <f>'اعدادى 1'!AO24</f>
        <v>0</v>
      </c>
      <c r="AP56" s="5">
        <f>'اعدادى 1'!AP24</f>
        <v>46.8</v>
      </c>
      <c r="AQ56" s="5">
        <f>'اعدادى 1'!AQ24</f>
        <v>28.9</v>
      </c>
      <c r="AR56" s="5">
        <f>'اعدادى 1'!AR24</f>
        <v>0</v>
      </c>
      <c r="AS56" s="5">
        <f>'اعدادى 1'!AS24</f>
        <v>1.5</v>
      </c>
      <c r="AT56" s="5" t="str">
        <f>'اعدادى 1'!AT24</f>
        <v/>
      </c>
      <c r="AU56" s="5" t="str">
        <f>'اعدادى 1'!AU24</f>
        <v/>
      </c>
      <c r="AV56" s="5" t="str">
        <f>'اعدادى 1'!AV24</f>
        <v/>
      </c>
      <c r="AW56" s="5" t="str">
        <f>'اعدادى 1'!AW24</f>
        <v/>
      </c>
      <c r="AX56" s="5" t="str">
        <f>'اعدادى 1'!AX24</f>
        <v/>
      </c>
      <c r="AY56" s="5" t="str">
        <f>'اعدادى 1'!AY24</f>
        <v/>
      </c>
      <c r="AZ56" s="5">
        <f>'اعدادى 1'!AZ24</f>
        <v>9</v>
      </c>
      <c r="BA56" s="5">
        <f>'اعدادى 1'!BA24</f>
        <v>0</v>
      </c>
      <c r="BB56" s="5">
        <f>'اعدادى 1'!BB24</f>
        <v>2</v>
      </c>
      <c r="BC56" s="5">
        <f>'اعدادى 1'!BC24</f>
        <v>3</v>
      </c>
      <c r="BD56" s="5">
        <f>'اعدادى 1'!BD24</f>
        <v>41.45</v>
      </c>
      <c r="BE56" s="5">
        <f>'اعدادى 1'!BE24</f>
        <v>0</v>
      </c>
      <c r="BF56" s="5">
        <f>'اعدادى 1'!BF24</f>
        <v>0</v>
      </c>
      <c r="BG56" s="5">
        <f>'اعدادى 1'!BG24</f>
        <v>0</v>
      </c>
      <c r="BH56" s="5">
        <f>'اعدادى 1'!BH24</f>
        <v>0.01</v>
      </c>
      <c r="BI56" s="5">
        <f>'اعدادى 1'!BI24</f>
        <v>574.76149999999996</v>
      </c>
      <c r="BJ56" s="5">
        <f>'اعدادى 1'!BJ24</f>
        <v>3398.8885</v>
      </c>
      <c r="BK56" s="5" t="str">
        <f>'اعدادى 1'!BK24</f>
        <v>ممدوح محمد عبدالعزيز</v>
      </c>
      <c r="BL56" s="5" t="str">
        <f>'اعدادى 1'!BL24</f>
        <v>اولى</v>
      </c>
      <c r="BM56" s="5">
        <f>'اعدادى 1'!BO24</f>
        <v>0</v>
      </c>
      <c r="BN56" s="53">
        <f>'اعدادى 1'!BP24</f>
        <v>0</v>
      </c>
      <c r="BP56" s="162">
        <f>'اعدادى 1'!BR24</f>
        <v>0</v>
      </c>
      <c r="BQ56" s="160">
        <f t="shared" si="29"/>
        <v>775</v>
      </c>
      <c r="BR56" s="162"/>
    </row>
    <row r="57" spans="2:70" ht="24" customHeight="1">
      <c r="B57" t="str">
        <f t="shared" si="28"/>
        <v>على محمد شعلان</v>
      </c>
      <c r="C57" s="1">
        <f>'اعدادى 1'!C25</f>
        <v>0</v>
      </c>
      <c r="D57" s="3">
        <v>38</v>
      </c>
      <c r="E57" s="9"/>
      <c r="F57" s="5">
        <f>'اعدادى 1'!F25</f>
        <v>0</v>
      </c>
      <c r="G57" s="5">
        <f>'اعدادى 1'!G25</f>
        <v>0</v>
      </c>
      <c r="H57" s="5" t="str">
        <f>'اعدادى 1'!H25</f>
        <v/>
      </c>
      <c r="I57" s="5" t="str">
        <f>'اعدادى 1'!I25</f>
        <v/>
      </c>
      <c r="J57" s="5" t="str">
        <f>'اعدادى 1'!J25</f>
        <v/>
      </c>
      <c r="K57" s="5" t="str">
        <f>'اعدادى 1'!K25</f>
        <v/>
      </c>
      <c r="L57" s="5">
        <f>'اعدادى 1'!L25</f>
        <v>0</v>
      </c>
      <c r="M57" s="5">
        <f>'اعدادى 1'!M25</f>
        <v>0</v>
      </c>
      <c r="N57" s="28" t="str">
        <f>'اعدادى 1'!N25</f>
        <v/>
      </c>
      <c r="O57" s="28">
        <f>'اعدادى 1'!O25</f>
        <v>150</v>
      </c>
      <c r="P57" s="28">
        <f>'اعدادى 1'!P25</f>
        <v>250</v>
      </c>
      <c r="Q57" s="28">
        <f>'اعدادى 1'!Q25</f>
        <v>275</v>
      </c>
      <c r="R57" s="28">
        <f>'اعدادى 1'!R25</f>
        <v>0</v>
      </c>
      <c r="S57" s="28" t="str">
        <f>'اعدادى 1'!S25</f>
        <v/>
      </c>
      <c r="T57" s="28" t="str">
        <f>'اعدادى 1'!T25</f>
        <v/>
      </c>
      <c r="U57" s="28" t="str">
        <f>'اعدادى 1'!U25</f>
        <v/>
      </c>
      <c r="V57" s="28">
        <f>'اعدادى 1'!V25</f>
        <v>65</v>
      </c>
      <c r="W57" s="28">
        <f>'اعدادى 1'!W25</f>
        <v>0</v>
      </c>
      <c r="X57" s="28">
        <f>'اعدادى 1'!X25</f>
        <v>0</v>
      </c>
      <c r="Y57" s="5">
        <f>'اعدادى 1'!Y25</f>
        <v>0</v>
      </c>
      <c r="Z57" s="5">
        <f>'اعدادى 1'!Z25</f>
        <v>3290.82</v>
      </c>
      <c r="AA57" s="5">
        <f>'اعدادى 1'!AA25</f>
        <v>349.71</v>
      </c>
      <c r="AB57" s="5">
        <f>'اعدادى 1'!AB25</f>
        <v>75.56</v>
      </c>
      <c r="AC57" s="5">
        <f>'اعدادى 1'!AC25</f>
        <v>0</v>
      </c>
      <c r="AD57" s="5">
        <f>'اعدادى 1'!AD25</f>
        <v>0</v>
      </c>
      <c r="AE57" s="5">
        <f>'اعدادى 1'!AE25</f>
        <v>0</v>
      </c>
      <c r="AF57" s="5" t="str">
        <f>'اعدادى 1'!AF25</f>
        <v/>
      </c>
      <c r="AG57" s="5">
        <f>'اعدادى 1'!AG25</f>
        <v>4456.09</v>
      </c>
      <c r="AH57" s="5">
        <f>'اعدادى 1'!AH25</f>
        <v>0</v>
      </c>
      <c r="AI57" s="5">
        <f>'اعدادى 1'!AI25</f>
        <v>401.04809999999998</v>
      </c>
      <c r="AJ57" s="5">
        <f>'اعدادى 1'!AJ25</f>
        <v>0</v>
      </c>
      <c r="AK57" s="5">
        <f>'اعدادى 1'!AK25</f>
        <v>44.560900000000004</v>
      </c>
      <c r="AL57" s="5">
        <f>'اعدادى 1'!AL25</f>
        <v>44.560900000000004</v>
      </c>
      <c r="AM57" s="5">
        <f>'اعدادى 1'!AM25</f>
        <v>5</v>
      </c>
      <c r="AN57" s="5" t="str">
        <f>'اعدادى 1'!AN25</f>
        <v/>
      </c>
      <c r="AO57" s="5">
        <f>'اعدادى 1'!AO25</f>
        <v>13.26</v>
      </c>
      <c r="AP57" s="5">
        <f>'اعدادى 1'!AP25</f>
        <v>53.2</v>
      </c>
      <c r="AQ57" s="5">
        <f>'اعدادى 1'!AQ25</f>
        <v>32.5</v>
      </c>
      <c r="AR57" s="5">
        <f>'اعدادى 1'!AR25</f>
        <v>0</v>
      </c>
      <c r="AS57" s="5">
        <f>'اعدادى 1'!AS25</f>
        <v>2</v>
      </c>
      <c r="AT57" s="5" t="str">
        <f>'اعدادى 1'!AT25</f>
        <v/>
      </c>
      <c r="AU57" s="5" t="str">
        <f>'اعدادى 1'!AU25</f>
        <v/>
      </c>
      <c r="AV57" s="5" t="str">
        <f>'اعدادى 1'!AV25</f>
        <v/>
      </c>
      <c r="AW57" s="5" t="str">
        <f>'اعدادى 1'!AW25</f>
        <v/>
      </c>
      <c r="AX57" s="5" t="str">
        <f>'اعدادى 1'!AX25</f>
        <v/>
      </c>
      <c r="AY57" s="5" t="str">
        <f>'اعدادى 1'!AY25</f>
        <v/>
      </c>
      <c r="AZ57" s="5">
        <f>'اعدادى 1'!AZ25</f>
        <v>0</v>
      </c>
      <c r="BA57" s="5">
        <f>'اعدادى 1'!BA25</f>
        <v>0</v>
      </c>
      <c r="BB57" s="5">
        <f>'اعدادى 1'!BB25</f>
        <v>0</v>
      </c>
      <c r="BC57" s="5">
        <f>'اعدادى 1'!BC25</f>
        <v>0</v>
      </c>
      <c r="BD57" s="5">
        <f>'اعدادى 1'!BD25</f>
        <v>0</v>
      </c>
      <c r="BE57" s="5">
        <f>'اعدادى 1'!BE25</f>
        <v>0</v>
      </c>
      <c r="BF57" s="5">
        <f>'اعدادى 1'!BF25</f>
        <v>0</v>
      </c>
      <c r="BG57" s="5">
        <f>'اعدادى 1'!BG25</f>
        <v>0</v>
      </c>
      <c r="BH57" s="5">
        <f>'اعدادى 1'!BH25</f>
        <v>0.01</v>
      </c>
      <c r="BI57" s="5">
        <f>'اعدادى 1'!BI25</f>
        <v>596.13990000000001</v>
      </c>
      <c r="BJ57" s="5">
        <f>'اعدادى 1'!BJ25</f>
        <v>3859.9501</v>
      </c>
      <c r="BK57" s="5" t="str">
        <f>'اعدادى 1'!BK25</f>
        <v>على محمد شعلان</v>
      </c>
      <c r="BL57" s="5" t="str">
        <f>'اعدادى 1'!BL25</f>
        <v>ثانيه</v>
      </c>
      <c r="BM57" s="5">
        <f>'اعدادى 1'!BO25</f>
        <v>0</v>
      </c>
      <c r="BN57" s="53">
        <f>'اعدادى 1'!BP25</f>
        <v>0</v>
      </c>
      <c r="BP57" s="162">
        <f>'اعدادى 1'!BR25</f>
        <v>0</v>
      </c>
      <c r="BQ57" s="160">
        <f t="shared" si="29"/>
        <v>675</v>
      </c>
      <c r="BR57" s="162"/>
    </row>
    <row r="58" spans="2:70" ht="24" customHeight="1">
      <c r="B58" t="str">
        <f t="shared" si="28"/>
        <v>فاطمه فتح الله عبداللطيف</v>
      </c>
      <c r="C58" s="1">
        <f>'اعدادى 1'!C26</f>
        <v>0</v>
      </c>
      <c r="D58" s="3">
        <v>39</v>
      </c>
      <c r="E58" s="9"/>
      <c r="F58" s="5">
        <f>'اعدادى 1'!F26</f>
        <v>0</v>
      </c>
      <c r="G58" s="5">
        <f>'اعدادى 1'!G26</f>
        <v>0</v>
      </c>
      <c r="H58" s="5" t="str">
        <f>'اعدادى 1'!H26</f>
        <v/>
      </c>
      <c r="I58" s="5" t="str">
        <f>'اعدادى 1'!I26</f>
        <v/>
      </c>
      <c r="J58" s="5" t="str">
        <f>'اعدادى 1'!J26</f>
        <v/>
      </c>
      <c r="K58" s="5" t="str">
        <f>'اعدادى 1'!K26</f>
        <v/>
      </c>
      <c r="L58" s="5">
        <f>'اعدادى 1'!L26</f>
        <v>0</v>
      </c>
      <c r="M58" s="5">
        <f>'اعدادى 1'!M26</f>
        <v>0</v>
      </c>
      <c r="N58" s="28" t="str">
        <f>'اعدادى 1'!N26</f>
        <v/>
      </c>
      <c r="O58" s="28">
        <f>'اعدادى 1'!O26</f>
        <v>150</v>
      </c>
      <c r="P58" s="28">
        <f>'اعدادى 1'!P26</f>
        <v>250</v>
      </c>
      <c r="Q58" s="28">
        <f>'اعدادى 1'!Q26</f>
        <v>275</v>
      </c>
      <c r="R58" s="28">
        <f>'اعدادى 1'!R26</f>
        <v>0</v>
      </c>
      <c r="S58" s="28" t="str">
        <f>'اعدادى 1'!S26</f>
        <v/>
      </c>
      <c r="T58" s="28" t="str">
        <f>'اعدادى 1'!T26</f>
        <v/>
      </c>
      <c r="U58" s="28" t="str">
        <f>'اعدادى 1'!U26</f>
        <v/>
      </c>
      <c r="V58" s="28">
        <f>'اعدادى 1'!V26</f>
        <v>65</v>
      </c>
      <c r="W58" s="28">
        <f>'اعدادى 1'!W26</f>
        <v>0</v>
      </c>
      <c r="X58" s="28">
        <f>'اعدادى 1'!X26</f>
        <v>0</v>
      </c>
      <c r="Y58" s="5">
        <f>'اعدادى 1'!Y26</f>
        <v>0</v>
      </c>
      <c r="Z58" s="5">
        <f>'اعدادى 1'!Z26</f>
        <v>2382.14</v>
      </c>
      <c r="AA58" s="5">
        <f>'اعدادى 1'!AA26</f>
        <v>234.72</v>
      </c>
      <c r="AB58" s="5">
        <f>'اعدادى 1'!AB26</f>
        <v>48.89</v>
      </c>
      <c r="AC58" s="5">
        <f>'اعدادى 1'!AC26</f>
        <v>0</v>
      </c>
      <c r="AD58" s="5">
        <f>'اعدادى 1'!AD26</f>
        <v>0</v>
      </c>
      <c r="AE58" s="5">
        <f>'اعدادى 1'!AE26</f>
        <v>0</v>
      </c>
      <c r="AF58" s="5" t="str">
        <f>'اعدادى 1'!AF26</f>
        <v/>
      </c>
      <c r="AG58" s="5">
        <f>'اعدادى 1'!AG26</f>
        <v>3405.7499999999995</v>
      </c>
      <c r="AH58" s="5">
        <f>'اعدادى 1'!AH26</f>
        <v>0</v>
      </c>
      <c r="AI58" s="5">
        <f>'اعدادى 1'!AI26</f>
        <v>306.51749999999993</v>
      </c>
      <c r="AJ58" s="5">
        <f>'اعدادى 1'!AJ26</f>
        <v>0</v>
      </c>
      <c r="AK58" s="5">
        <f>'اعدادى 1'!AK26</f>
        <v>34.057499999999997</v>
      </c>
      <c r="AL58" s="5">
        <f>'اعدادى 1'!AL26</f>
        <v>34.057499999999997</v>
      </c>
      <c r="AM58" s="5">
        <f>'اعدادى 1'!AM26</f>
        <v>5</v>
      </c>
      <c r="AN58" s="5" t="str">
        <f>'اعدادى 1'!AN26</f>
        <v/>
      </c>
      <c r="AO58" s="5">
        <f>'اعدادى 1'!AO26</f>
        <v>0</v>
      </c>
      <c r="AP58" s="5">
        <f>'اعدادى 1'!AP26</f>
        <v>32.5</v>
      </c>
      <c r="AQ58" s="5">
        <f>'اعدادى 1'!AQ26</f>
        <v>24.8</v>
      </c>
      <c r="AR58" s="5">
        <f>'اعدادى 1'!AR26</f>
        <v>0</v>
      </c>
      <c r="AS58" s="5">
        <f>'اعدادى 1'!AS26</f>
        <v>1.5</v>
      </c>
      <c r="AT58" s="5" t="str">
        <f>'اعدادى 1'!AT26</f>
        <v/>
      </c>
      <c r="AU58" s="5" t="str">
        <f>'اعدادى 1'!AU26</f>
        <v/>
      </c>
      <c r="AV58" s="5" t="str">
        <f>'اعدادى 1'!AV26</f>
        <v/>
      </c>
      <c r="AW58" s="5" t="str">
        <f>'اعدادى 1'!AW26</f>
        <v/>
      </c>
      <c r="AX58" s="5" t="str">
        <f>'اعدادى 1'!AX26</f>
        <v/>
      </c>
      <c r="AY58" s="5" t="str">
        <f>'اعدادى 1'!AY26</f>
        <v/>
      </c>
      <c r="AZ58" s="5">
        <f>'اعدادى 1'!AZ26</f>
        <v>0</v>
      </c>
      <c r="BA58" s="5">
        <f>'اعدادى 1'!BA26</f>
        <v>0</v>
      </c>
      <c r="BB58" s="5">
        <f>'اعدادى 1'!BB26</f>
        <v>0</v>
      </c>
      <c r="BC58" s="5">
        <f>'اعدادى 1'!BC26</f>
        <v>0</v>
      </c>
      <c r="BD58" s="5">
        <f>'اعدادى 1'!BD26</f>
        <v>0</v>
      </c>
      <c r="BE58" s="5">
        <f>'اعدادى 1'!BE26</f>
        <v>0</v>
      </c>
      <c r="BF58" s="5">
        <f>'اعدادى 1'!BF26</f>
        <v>0</v>
      </c>
      <c r="BG58" s="5">
        <f>'اعدادى 1'!BG26</f>
        <v>0</v>
      </c>
      <c r="BH58" s="5">
        <f>'اعدادى 1'!BH26</f>
        <v>0.02</v>
      </c>
      <c r="BI58" s="5">
        <f>'اعدادى 1'!BI26</f>
        <v>438.45249999999993</v>
      </c>
      <c r="BJ58" s="5">
        <f>'اعدادى 1'!BJ26</f>
        <v>2967.2974999999997</v>
      </c>
      <c r="BK58" s="5" t="str">
        <f>'اعدادى 1'!BK26</f>
        <v>فاطمه فتح الله عبداللطيف</v>
      </c>
      <c r="BL58" s="5" t="str">
        <f>'اعدادى 1'!BL26</f>
        <v>ثانيه</v>
      </c>
      <c r="BM58" s="5">
        <f>'اعدادى 1'!BO26</f>
        <v>0</v>
      </c>
      <c r="BN58" s="53">
        <f>'اعدادى 1'!BP26</f>
        <v>0</v>
      </c>
      <c r="BP58" s="162">
        <f>'اعدادى 1'!BR26</f>
        <v>0</v>
      </c>
      <c r="BQ58" s="160">
        <f t="shared" si="29"/>
        <v>675</v>
      </c>
      <c r="BR58" s="162"/>
    </row>
    <row r="59" spans="2:70" ht="24" customHeight="1">
      <c r="B59" t="str">
        <f t="shared" si="28"/>
        <v>ممدوح اعبدالواحد عبدالعزيز</v>
      </c>
      <c r="C59" s="1">
        <f>'اعدادى 1'!C27</f>
        <v>0</v>
      </c>
      <c r="D59" s="3">
        <v>40</v>
      </c>
      <c r="E59" s="9"/>
      <c r="F59" s="5">
        <f>'اعدادى 1'!F27</f>
        <v>0</v>
      </c>
      <c r="G59" s="5">
        <f>'اعدادى 1'!G27</f>
        <v>0</v>
      </c>
      <c r="H59" s="5" t="str">
        <f>'اعدادى 1'!H27</f>
        <v/>
      </c>
      <c r="I59" s="5" t="str">
        <f>'اعدادى 1'!I27</f>
        <v/>
      </c>
      <c r="J59" s="5" t="str">
        <f>'اعدادى 1'!J27</f>
        <v/>
      </c>
      <c r="K59" s="5" t="str">
        <f>'اعدادى 1'!K27</f>
        <v/>
      </c>
      <c r="L59" s="5">
        <f>'اعدادى 1'!L27</f>
        <v>0</v>
      </c>
      <c r="M59" s="5">
        <f>'اعدادى 1'!M27</f>
        <v>0</v>
      </c>
      <c r="N59" s="28" t="str">
        <f>'اعدادى 1'!N27</f>
        <v/>
      </c>
      <c r="O59" s="28">
        <f>'اعدادى 1'!O27</f>
        <v>150</v>
      </c>
      <c r="P59" s="28">
        <f>'اعدادى 1'!P27</f>
        <v>200</v>
      </c>
      <c r="Q59" s="28">
        <f>'اعدادى 1'!Q27</f>
        <v>225</v>
      </c>
      <c r="R59" s="28">
        <f>'اعدادى 1'!R27</f>
        <v>0</v>
      </c>
      <c r="S59" s="28" t="str">
        <f>'اعدادى 1'!S27</f>
        <v/>
      </c>
      <c r="T59" s="28" t="str">
        <f>'اعدادى 1'!T27</f>
        <v/>
      </c>
      <c r="U59" s="28" t="str">
        <f>'اعدادى 1'!U27</f>
        <v/>
      </c>
      <c r="V59" s="28">
        <f>'اعدادى 1'!V27</f>
        <v>55</v>
      </c>
      <c r="W59" s="28">
        <f>'اعدادى 1'!W27</f>
        <v>0</v>
      </c>
      <c r="X59" s="28">
        <f>'اعدادى 1'!X27</f>
        <v>0</v>
      </c>
      <c r="Y59" s="5">
        <f>'اعدادى 1'!Y27</f>
        <v>0</v>
      </c>
      <c r="Z59" s="5">
        <f>'اعدادى 1'!Z27</f>
        <v>2473.98</v>
      </c>
      <c r="AA59" s="5">
        <f>'اعدادى 1'!AA27</f>
        <v>247.52</v>
      </c>
      <c r="AB59" s="5">
        <f>'اعدادى 1'!AB27</f>
        <v>53.33</v>
      </c>
      <c r="AC59" s="5">
        <f>'اعدادى 1'!AC27</f>
        <v>0</v>
      </c>
      <c r="AD59" s="5">
        <f>'اعدادى 1'!AD27</f>
        <v>0</v>
      </c>
      <c r="AE59" s="5">
        <f>'اعدادى 1'!AE27</f>
        <v>0</v>
      </c>
      <c r="AF59" s="5" t="str">
        <f>'اعدادى 1'!AF27</f>
        <v/>
      </c>
      <c r="AG59" s="5">
        <f>'اعدادى 1'!AG27</f>
        <v>3404.83</v>
      </c>
      <c r="AH59" s="5">
        <f>'اعدادى 1'!AH27</f>
        <v>0</v>
      </c>
      <c r="AI59" s="5">
        <f>'اعدادى 1'!AI27</f>
        <v>306.43469999999996</v>
      </c>
      <c r="AJ59" s="5">
        <f>'اعدادى 1'!AJ27</f>
        <v>0</v>
      </c>
      <c r="AK59" s="5">
        <f>'اعدادى 1'!AK27</f>
        <v>34.048299999999998</v>
      </c>
      <c r="AL59" s="5">
        <f>'اعدادى 1'!AL27</f>
        <v>34.048299999999998</v>
      </c>
      <c r="AM59" s="5">
        <f>'اعدادى 1'!AM27</f>
        <v>5</v>
      </c>
      <c r="AN59" s="5" t="str">
        <f>'اعدادى 1'!AN27</f>
        <v/>
      </c>
      <c r="AO59" s="5">
        <f>'اعدادى 1'!AO27</f>
        <v>0</v>
      </c>
      <c r="AP59" s="5">
        <f>'اعدادى 1'!AP27</f>
        <v>32.5</v>
      </c>
      <c r="AQ59" s="5">
        <f>'اعدادى 1'!AQ27</f>
        <v>24.8</v>
      </c>
      <c r="AR59" s="5">
        <f>'اعدادى 1'!AR27</f>
        <v>0</v>
      </c>
      <c r="AS59" s="5">
        <f>'اعدادى 1'!AS27</f>
        <v>1.5</v>
      </c>
      <c r="AT59" s="5" t="str">
        <f>'اعدادى 1'!AT27</f>
        <v/>
      </c>
      <c r="AU59" s="5" t="str">
        <f>'اعدادى 1'!AU27</f>
        <v/>
      </c>
      <c r="AV59" s="5" t="str">
        <f>'اعدادى 1'!AV27</f>
        <v/>
      </c>
      <c r="AW59" s="5" t="str">
        <f>'اعدادى 1'!AW27</f>
        <v/>
      </c>
      <c r="AX59" s="5" t="str">
        <f>'اعدادى 1'!AX27</f>
        <v/>
      </c>
      <c r="AY59" s="5" t="str">
        <f>'اعدادى 1'!AY27</f>
        <v/>
      </c>
      <c r="AZ59" s="5">
        <f>'اعدادى 1'!AZ27</f>
        <v>0</v>
      </c>
      <c r="BA59" s="5">
        <f>'اعدادى 1'!BA27</f>
        <v>0</v>
      </c>
      <c r="BB59" s="5">
        <f>'اعدادى 1'!BB27</f>
        <v>0</v>
      </c>
      <c r="BC59" s="5">
        <f>'اعدادى 1'!BC27</f>
        <v>0</v>
      </c>
      <c r="BD59" s="5">
        <f>'اعدادى 1'!BD27</f>
        <v>0</v>
      </c>
      <c r="BE59" s="5">
        <f>'اعدادى 1'!BE27</f>
        <v>0</v>
      </c>
      <c r="BF59" s="5">
        <f>'اعدادى 1'!BF27</f>
        <v>0</v>
      </c>
      <c r="BG59" s="5">
        <f>'اعدادى 1'!BG27</f>
        <v>0</v>
      </c>
      <c r="BH59" s="5">
        <f>'اعدادى 1'!BH27</f>
        <v>0</v>
      </c>
      <c r="BI59" s="5">
        <f>'اعدادى 1'!BI27</f>
        <v>438.33129999999994</v>
      </c>
      <c r="BJ59" s="5">
        <f>'اعدادى 1'!BJ27</f>
        <v>2966.4987000000001</v>
      </c>
      <c r="BK59" s="5" t="str">
        <f>'اعدادى 1'!BK27</f>
        <v>ممدوح اعبدالواحد عبدالعزيز</v>
      </c>
      <c r="BL59" s="5" t="str">
        <f>'اعدادى 1'!BL27</f>
        <v>ثالثه</v>
      </c>
      <c r="BM59" s="5">
        <f>'اعدادى 1'!BO27</f>
        <v>0</v>
      </c>
      <c r="BN59" s="53">
        <f>'اعدادى 1'!BP27</f>
        <v>0</v>
      </c>
      <c r="BP59" s="162">
        <f>'اعدادى 1'!BR27</f>
        <v>0</v>
      </c>
      <c r="BQ59" s="160">
        <f t="shared" si="29"/>
        <v>575</v>
      </c>
      <c r="BR59" s="162"/>
    </row>
    <row r="60" spans="2:70" ht="24" customHeight="1">
      <c r="B60" t="str">
        <f t="shared" si="28"/>
        <v>احمد ابراهيم الغريب</v>
      </c>
      <c r="C60" s="1">
        <f>'اعدادى 1'!C28</f>
        <v>0</v>
      </c>
      <c r="D60" s="3">
        <v>41</v>
      </c>
      <c r="E60" s="9"/>
      <c r="F60" s="5">
        <f>'اعدادى 1'!F28</f>
        <v>0</v>
      </c>
      <c r="G60" s="5">
        <f>'اعدادى 1'!G28</f>
        <v>0</v>
      </c>
      <c r="H60" s="5" t="str">
        <f>'اعدادى 1'!H28</f>
        <v/>
      </c>
      <c r="I60" s="5" t="str">
        <f>'اعدادى 1'!I28</f>
        <v/>
      </c>
      <c r="J60" s="5" t="str">
        <f>'اعدادى 1'!J28</f>
        <v/>
      </c>
      <c r="K60" s="5" t="str">
        <f>'اعدادى 1'!K28</f>
        <v/>
      </c>
      <c r="L60" s="5">
        <f>'اعدادى 1'!L28</f>
        <v>0</v>
      </c>
      <c r="M60" s="5">
        <f>'اعدادى 1'!M28</f>
        <v>0</v>
      </c>
      <c r="N60" s="28" t="str">
        <f>'اعدادى 1'!N28</f>
        <v/>
      </c>
      <c r="O60" s="28">
        <f>'اعدادى 1'!O28</f>
        <v>150</v>
      </c>
      <c r="P60" s="28">
        <f>'اعدادى 1'!P28</f>
        <v>200</v>
      </c>
      <c r="Q60" s="28">
        <f>'اعدادى 1'!Q28</f>
        <v>225</v>
      </c>
      <c r="R60" s="28">
        <f>'اعدادى 1'!R28</f>
        <v>479</v>
      </c>
      <c r="S60" s="28" t="str">
        <f>'اعدادى 1'!S28</f>
        <v/>
      </c>
      <c r="T60" s="28" t="str">
        <f>'اعدادى 1'!T28</f>
        <v/>
      </c>
      <c r="U60" s="28" t="str">
        <f>'اعدادى 1'!U28</f>
        <v/>
      </c>
      <c r="V60" s="28">
        <f>'اعدادى 1'!V28</f>
        <v>55</v>
      </c>
      <c r="W60" s="28">
        <f>'اعدادى 1'!W28</f>
        <v>0</v>
      </c>
      <c r="X60" s="28">
        <f>'اعدادى 1'!X28</f>
        <v>0</v>
      </c>
      <c r="Y60" s="5">
        <f>'اعدادى 1'!Y28</f>
        <v>0</v>
      </c>
      <c r="Z60" s="5">
        <f>'اعدادى 1'!Z28</f>
        <v>1675.64</v>
      </c>
      <c r="AA60" s="5">
        <f>'اعدادى 1'!AA28</f>
        <v>140.4</v>
      </c>
      <c r="AB60" s="5">
        <f>'اعدادى 1'!AB28</f>
        <v>27.78</v>
      </c>
      <c r="AC60" s="5">
        <f>'اعدادى 1'!AC28</f>
        <v>0</v>
      </c>
      <c r="AD60" s="5">
        <f>'اعدادى 1'!AD28</f>
        <v>0</v>
      </c>
      <c r="AE60" s="5">
        <f>'اعدادى 1'!AE28</f>
        <v>0</v>
      </c>
      <c r="AF60" s="5" t="str">
        <f>'اعدادى 1'!AF28</f>
        <v/>
      </c>
      <c r="AG60" s="5">
        <f>'اعدادى 1'!AG28</f>
        <v>2952.8200000000006</v>
      </c>
      <c r="AH60" s="5">
        <f>'اعدادى 1'!AH28</f>
        <v>0</v>
      </c>
      <c r="AI60" s="5">
        <f>'اعدادى 1'!AI28</f>
        <v>265.75380000000007</v>
      </c>
      <c r="AJ60" s="5">
        <f>'اعدادى 1'!AJ28</f>
        <v>0</v>
      </c>
      <c r="AK60" s="5">
        <f>'اعدادى 1'!AK28</f>
        <v>29.528200000000005</v>
      </c>
      <c r="AL60" s="5">
        <f>'اعدادى 1'!AL28</f>
        <v>29.528200000000005</v>
      </c>
      <c r="AM60" s="5">
        <f>'اعدادى 1'!AM28</f>
        <v>5</v>
      </c>
      <c r="AN60" s="5" t="str">
        <f>'اعدادى 1'!AN28</f>
        <v/>
      </c>
      <c r="AO60" s="5">
        <f>'اعدادى 1'!AO28</f>
        <v>0</v>
      </c>
      <c r="AP60" s="5">
        <f>'اعدادى 1'!AP28</f>
        <v>19.5</v>
      </c>
      <c r="AQ60" s="5">
        <f>'اعدادى 1'!AQ28</f>
        <v>21.55</v>
      </c>
      <c r="AR60" s="5">
        <f>'اعدادى 1'!AR28</f>
        <v>0</v>
      </c>
      <c r="AS60" s="5">
        <f>'اعدادى 1'!AS28</f>
        <v>1.5</v>
      </c>
      <c r="AT60" s="5" t="str">
        <f>'اعدادى 1'!AT28</f>
        <v/>
      </c>
      <c r="AU60" s="5" t="str">
        <f>'اعدادى 1'!AU28</f>
        <v/>
      </c>
      <c r="AV60" s="5" t="str">
        <f>'اعدادى 1'!AV28</f>
        <v/>
      </c>
      <c r="AW60" s="5" t="str">
        <f>'اعدادى 1'!AW28</f>
        <v/>
      </c>
      <c r="AX60" s="5" t="str">
        <f>'اعدادى 1'!AX28</f>
        <v/>
      </c>
      <c r="AY60" s="5" t="str">
        <f>'اعدادى 1'!AY28</f>
        <v/>
      </c>
      <c r="AZ60" s="5">
        <f>'اعدادى 1'!AZ28</f>
        <v>0</v>
      </c>
      <c r="BA60" s="5">
        <f>'اعدادى 1'!BA28</f>
        <v>0</v>
      </c>
      <c r="BB60" s="5">
        <f>'اعدادى 1'!BB28</f>
        <v>0</v>
      </c>
      <c r="BC60" s="5">
        <f>'اعدادى 1'!BC28</f>
        <v>0</v>
      </c>
      <c r="BD60" s="5">
        <f>'اعدادى 1'!BD28</f>
        <v>0</v>
      </c>
      <c r="BE60" s="5">
        <f>'اعدادى 1'!BE28</f>
        <v>0</v>
      </c>
      <c r="BF60" s="5">
        <f>'اعدادى 1'!BF28</f>
        <v>0</v>
      </c>
      <c r="BG60" s="5">
        <f>'اعدادى 1'!BG28</f>
        <v>0</v>
      </c>
      <c r="BH60" s="5">
        <f>'اعدادى 1'!BH28</f>
        <v>0.01</v>
      </c>
      <c r="BI60" s="5">
        <f>'اعدادى 1'!BI28</f>
        <v>372.37020000000012</v>
      </c>
      <c r="BJ60" s="5">
        <f>'اعدادى 1'!BJ28</f>
        <v>2580.4498000000003</v>
      </c>
      <c r="BK60" s="5" t="str">
        <f>'اعدادى 1'!BK28</f>
        <v>احمد ابراهيم الغريب</v>
      </c>
      <c r="BL60" s="5" t="str">
        <f>'اعدادى 1'!BL28</f>
        <v>ثالثه</v>
      </c>
      <c r="BM60" s="5">
        <f>'اعدادى 1'!BO28</f>
        <v>0</v>
      </c>
      <c r="BN60" s="53">
        <f>'اعدادى 1'!BP28</f>
        <v>0</v>
      </c>
      <c r="BP60" s="162">
        <f>'اعدادى 1'!BR28</f>
        <v>0</v>
      </c>
      <c r="BQ60" s="160">
        <f t="shared" si="29"/>
        <v>575</v>
      </c>
      <c r="BR60" s="162"/>
    </row>
    <row r="61" spans="2:70" ht="24" customHeight="1">
      <c r="B61" t="str">
        <f t="shared" si="28"/>
        <v>اسماعيل عبدالمحسن سراج الدين</v>
      </c>
      <c r="C61" s="1">
        <f>'اعدادى 1'!C29</f>
        <v>0</v>
      </c>
      <c r="D61" s="3">
        <v>42</v>
      </c>
      <c r="E61" s="9"/>
      <c r="F61" s="5">
        <f>'اعدادى 1'!F29</f>
        <v>0</v>
      </c>
      <c r="G61" s="5">
        <f>'اعدادى 1'!G29</f>
        <v>0</v>
      </c>
      <c r="H61" s="5" t="str">
        <f>'اعدادى 1'!H29</f>
        <v/>
      </c>
      <c r="I61" s="5" t="str">
        <f>'اعدادى 1'!I29</f>
        <v/>
      </c>
      <c r="J61" s="5" t="str">
        <f>'اعدادى 1'!J29</f>
        <v/>
      </c>
      <c r="K61" s="5" t="str">
        <f>'اعدادى 1'!K29</f>
        <v/>
      </c>
      <c r="L61" s="5">
        <f>'اعدادى 1'!L29</f>
        <v>0</v>
      </c>
      <c r="M61" s="5">
        <f>'اعدادى 1'!M29</f>
        <v>0</v>
      </c>
      <c r="N61" s="28" t="str">
        <f>'اعدادى 1'!N29</f>
        <v/>
      </c>
      <c r="O61" s="28">
        <f>'اعدادى 1'!O29</f>
        <v>150</v>
      </c>
      <c r="P61" s="28">
        <f>'اعدادى 1'!P29</f>
        <v>200</v>
      </c>
      <c r="Q61" s="28">
        <f>'اعدادى 1'!Q29</f>
        <v>225</v>
      </c>
      <c r="R61" s="28">
        <f>'اعدادى 1'!R29</f>
        <v>479</v>
      </c>
      <c r="S61" s="28" t="str">
        <f>'اعدادى 1'!S29</f>
        <v/>
      </c>
      <c r="T61" s="28" t="str">
        <f>'اعدادى 1'!T29</f>
        <v/>
      </c>
      <c r="U61" s="28" t="str">
        <f>'اعدادى 1'!U29</f>
        <v/>
      </c>
      <c r="V61" s="28">
        <f>'اعدادى 1'!V29</f>
        <v>55</v>
      </c>
      <c r="W61" s="28">
        <f>'اعدادى 1'!W29</f>
        <v>0</v>
      </c>
      <c r="X61" s="28">
        <f>'اعدادى 1'!X29</f>
        <v>0</v>
      </c>
      <c r="Y61" s="5">
        <f>'اعدادى 1'!Y29</f>
        <v>0</v>
      </c>
      <c r="Z61" s="5">
        <f>'اعدادى 1'!Z29</f>
        <v>1675.64</v>
      </c>
      <c r="AA61" s="5">
        <f>'اعدادى 1'!AA29</f>
        <v>140.4</v>
      </c>
      <c r="AB61" s="5">
        <f>'اعدادى 1'!AB29</f>
        <v>27.78</v>
      </c>
      <c r="AC61" s="5">
        <f>'اعدادى 1'!AC29</f>
        <v>0</v>
      </c>
      <c r="AD61" s="5">
        <f>'اعدادى 1'!AD29</f>
        <v>0</v>
      </c>
      <c r="AE61" s="5">
        <f>'اعدادى 1'!AE29</f>
        <v>0</v>
      </c>
      <c r="AF61" s="5" t="str">
        <f>'اعدادى 1'!AF29</f>
        <v/>
      </c>
      <c r="AG61" s="5">
        <f>'اعدادى 1'!AG29</f>
        <v>2952.8200000000006</v>
      </c>
      <c r="AH61" s="5">
        <f>'اعدادى 1'!AH29</f>
        <v>0</v>
      </c>
      <c r="AI61" s="5">
        <f>'اعدادى 1'!AI29</f>
        <v>265.75380000000007</v>
      </c>
      <c r="AJ61" s="5">
        <f>'اعدادى 1'!AJ29</f>
        <v>0</v>
      </c>
      <c r="AK61" s="5">
        <f>'اعدادى 1'!AK29</f>
        <v>29.528200000000005</v>
      </c>
      <c r="AL61" s="5">
        <f>'اعدادى 1'!AL29</f>
        <v>29.528200000000005</v>
      </c>
      <c r="AM61" s="5">
        <f>'اعدادى 1'!AM29</f>
        <v>5</v>
      </c>
      <c r="AN61" s="5" t="str">
        <f>'اعدادى 1'!AN29</f>
        <v/>
      </c>
      <c r="AO61" s="5">
        <f>'اعدادى 1'!AO29</f>
        <v>0</v>
      </c>
      <c r="AP61" s="5">
        <f>'اعدادى 1'!AP29</f>
        <v>17.2</v>
      </c>
      <c r="AQ61" s="5">
        <f>'اعدادى 1'!AQ29</f>
        <v>21.55</v>
      </c>
      <c r="AR61" s="5">
        <f>'اعدادى 1'!AR29</f>
        <v>70</v>
      </c>
      <c r="AS61" s="5">
        <f>'اعدادى 1'!AS29</f>
        <v>1.5</v>
      </c>
      <c r="AT61" s="5" t="str">
        <f>'اعدادى 1'!AT29</f>
        <v/>
      </c>
      <c r="AU61" s="5" t="str">
        <f>'اعدادى 1'!AU29</f>
        <v/>
      </c>
      <c r="AV61" s="5" t="str">
        <f>'اعدادى 1'!AV29</f>
        <v/>
      </c>
      <c r="AW61" s="5" t="str">
        <f>'اعدادى 1'!AW29</f>
        <v/>
      </c>
      <c r="AX61" s="5" t="str">
        <f>'اعدادى 1'!AX29</f>
        <v/>
      </c>
      <c r="AY61" s="5" t="str">
        <f>'اعدادى 1'!AY29</f>
        <v/>
      </c>
      <c r="AZ61" s="5">
        <f>'اعدادى 1'!AZ29</f>
        <v>0</v>
      </c>
      <c r="BA61" s="5">
        <f>'اعدادى 1'!BA29</f>
        <v>0</v>
      </c>
      <c r="BB61" s="5">
        <f>'اعدادى 1'!BB29</f>
        <v>0</v>
      </c>
      <c r="BC61" s="5">
        <f>'اعدادى 1'!BC29</f>
        <v>0</v>
      </c>
      <c r="BD61" s="5">
        <f>'اعدادى 1'!BD29</f>
        <v>0</v>
      </c>
      <c r="BE61" s="5">
        <f>'اعدادى 1'!BE29</f>
        <v>0</v>
      </c>
      <c r="BF61" s="5">
        <f>'اعدادى 1'!BF29</f>
        <v>0</v>
      </c>
      <c r="BG61" s="5">
        <f>'اعدادى 1'!BG29</f>
        <v>0</v>
      </c>
      <c r="BH61" s="5">
        <f>'اعدادى 1'!BH29</f>
        <v>0.01</v>
      </c>
      <c r="BI61" s="5">
        <f>'اعدادى 1'!BI29</f>
        <v>440.07020000000011</v>
      </c>
      <c r="BJ61" s="5">
        <f>'اعدادى 1'!BJ29</f>
        <v>2512.7498000000005</v>
      </c>
      <c r="BK61" s="5" t="str">
        <f>'اعدادى 1'!BK29</f>
        <v>اسماعيل عبدالمحسن سراج الدين</v>
      </c>
      <c r="BL61" s="5" t="str">
        <f>'اعدادى 1'!BL29</f>
        <v>ثالثه</v>
      </c>
      <c r="BM61" s="5">
        <f>'اعدادى 1'!BO29</f>
        <v>0</v>
      </c>
      <c r="BN61" s="53">
        <f>'اعدادى 1'!BP29</f>
        <v>0</v>
      </c>
      <c r="BP61" s="162">
        <f>'اعدادى 1'!BR29</f>
        <v>0</v>
      </c>
      <c r="BQ61" s="160">
        <f t="shared" si="29"/>
        <v>575</v>
      </c>
      <c r="BR61" s="162"/>
    </row>
    <row r="62" spans="2:70" ht="24" customHeight="1">
      <c r="B62" t="str">
        <f t="shared" si="28"/>
        <v>السعيد احمد السعيد</v>
      </c>
      <c r="C62" s="1">
        <f>'اعدادى 1'!C30</f>
        <v>0</v>
      </c>
      <c r="D62" s="3">
        <v>43</v>
      </c>
      <c r="E62" s="9"/>
      <c r="F62" s="5">
        <f>'اعدادى 1'!F30</f>
        <v>0</v>
      </c>
      <c r="G62" s="5">
        <f>'اعدادى 1'!G30</f>
        <v>0</v>
      </c>
      <c r="H62" s="5" t="str">
        <f>'اعدادى 1'!H30</f>
        <v/>
      </c>
      <c r="I62" s="5" t="str">
        <f>'اعدادى 1'!I30</f>
        <v/>
      </c>
      <c r="J62" s="5" t="str">
        <f>'اعدادى 1'!J30</f>
        <v/>
      </c>
      <c r="K62" s="5" t="str">
        <f>'اعدادى 1'!K30</f>
        <v/>
      </c>
      <c r="L62" s="5">
        <f>'اعدادى 1'!L30</f>
        <v>0</v>
      </c>
      <c r="M62" s="5">
        <f>'اعدادى 1'!M30</f>
        <v>0</v>
      </c>
      <c r="N62" s="28" t="str">
        <f>'اعدادى 1'!N30</f>
        <v/>
      </c>
      <c r="O62" s="28">
        <f>'اعدادى 1'!O30</f>
        <v>150</v>
      </c>
      <c r="P62" s="28">
        <f>'اعدادى 1'!P30</f>
        <v>150</v>
      </c>
      <c r="Q62" s="28">
        <f>'اعدادى 1'!Q30</f>
        <v>175</v>
      </c>
      <c r="R62" s="28">
        <f>'اعدادى 1'!R30</f>
        <v>180</v>
      </c>
      <c r="S62" s="28" t="str">
        <f>'اعدادى 1'!S30</f>
        <v/>
      </c>
      <c r="T62" s="28" t="str">
        <f>'اعدادى 1'!T30</f>
        <v/>
      </c>
      <c r="U62" s="28" t="str">
        <f>'اعدادى 1'!U30</f>
        <v/>
      </c>
      <c r="V62" s="28">
        <f>'اعدادى 1'!V30</f>
        <v>50</v>
      </c>
      <c r="W62" s="28">
        <f>'اعدادى 1'!W30</f>
        <v>0</v>
      </c>
      <c r="X62" s="28">
        <f>'اعدادى 1'!X30</f>
        <v>0</v>
      </c>
      <c r="Y62" s="5">
        <f>'اعدادى 1'!Y30</f>
        <v>0</v>
      </c>
      <c r="Z62" s="5">
        <f>'اعدادى 1'!Z30</f>
        <v>1595.64</v>
      </c>
      <c r="AA62" s="5">
        <f>'اعدادى 1'!AA30</f>
        <v>132.57</v>
      </c>
      <c r="AB62" s="5">
        <f>'اعدادى 1'!AB30</f>
        <v>26.67</v>
      </c>
      <c r="AC62" s="5">
        <f>'اعدادى 1'!AC30</f>
        <v>0</v>
      </c>
      <c r="AD62" s="5">
        <f>'اعدادى 1'!AD30</f>
        <v>0</v>
      </c>
      <c r="AE62" s="5">
        <f>'اعدادى 1'!AE30</f>
        <v>0</v>
      </c>
      <c r="AF62" s="5" t="str">
        <f>'اعدادى 1'!AF30</f>
        <v/>
      </c>
      <c r="AG62" s="5">
        <f>'اعدادى 1'!AG30</f>
        <v>2459.8800000000006</v>
      </c>
      <c r="AH62" s="5">
        <f>'اعدادى 1'!AH30</f>
        <v>0</v>
      </c>
      <c r="AI62" s="5">
        <f>'اعدادى 1'!AI30</f>
        <v>221.38920000000005</v>
      </c>
      <c r="AJ62" s="5">
        <f>'اعدادى 1'!AJ30</f>
        <v>0</v>
      </c>
      <c r="AK62" s="5">
        <f>'اعدادى 1'!AK30</f>
        <v>24.598800000000008</v>
      </c>
      <c r="AL62" s="5">
        <f>'اعدادى 1'!AL30</f>
        <v>24.598800000000008</v>
      </c>
      <c r="AM62" s="5">
        <f>'اعدادى 1'!AM30</f>
        <v>5</v>
      </c>
      <c r="AN62" s="5" t="str">
        <f>'اعدادى 1'!AN30</f>
        <v/>
      </c>
      <c r="AO62" s="5">
        <f>'اعدادى 1'!AO30</f>
        <v>0</v>
      </c>
      <c r="AP62" s="5">
        <f>'اعدادى 1'!AP30</f>
        <v>4</v>
      </c>
      <c r="AQ62" s="5">
        <f>'اعدادى 1'!AQ30</f>
        <v>17.899999999999999</v>
      </c>
      <c r="AR62" s="5">
        <f>'اعدادى 1'!AR30</f>
        <v>0</v>
      </c>
      <c r="AS62" s="5">
        <f>'اعدادى 1'!AS30</f>
        <v>1</v>
      </c>
      <c r="AT62" s="5" t="str">
        <f>'اعدادى 1'!AT30</f>
        <v/>
      </c>
      <c r="AU62" s="5" t="str">
        <f>'اعدادى 1'!AU30</f>
        <v/>
      </c>
      <c r="AV62" s="5" t="str">
        <f>'اعدادى 1'!AV30</f>
        <v/>
      </c>
      <c r="AW62" s="5" t="str">
        <f>'اعدادى 1'!AW30</f>
        <v/>
      </c>
      <c r="AX62" s="5" t="str">
        <f>'اعدادى 1'!AX30</f>
        <v/>
      </c>
      <c r="AY62" s="5" t="str">
        <f>'اعدادى 1'!AY30</f>
        <v/>
      </c>
      <c r="AZ62" s="5">
        <f>'اعدادى 1'!AZ30</f>
        <v>0</v>
      </c>
      <c r="BA62" s="5">
        <f>'اعدادى 1'!BA30</f>
        <v>0</v>
      </c>
      <c r="BB62" s="5">
        <f>'اعدادى 1'!BB30</f>
        <v>0</v>
      </c>
      <c r="BC62" s="5">
        <f>'اعدادى 1'!BC30</f>
        <v>0</v>
      </c>
      <c r="BD62" s="5">
        <f>'اعدادى 1'!BD30</f>
        <v>0</v>
      </c>
      <c r="BE62" s="5">
        <f>'اعدادى 1'!BE30</f>
        <v>0</v>
      </c>
      <c r="BF62" s="5">
        <f>'اعدادى 1'!BF30</f>
        <v>0</v>
      </c>
      <c r="BG62" s="5">
        <f>'اعدادى 1'!BG30</f>
        <v>0</v>
      </c>
      <c r="BH62" s="5">
        <f>'اعدادى 1'!BH30</f>
        <v>0.04</v>
      </c>
      <c r="BI62" s="5">
        <f>'اعدادى 1'!BI30</f>
        <v>298.52680000000004</v>
      </c>
      <c r="BJ62" s="5">
        <f>'اعدادى 1'!BJ30</f>
        <v>2161.3532000000005</v>
      </c>
      <c r="BK62" s="5" t="str">
        <f>'اعدادى 1'!BK30</f>
        <v>السعيد احمد السعيد</v>
      </c>
      <c r="BL62" s="5" t="str">
        <f>'اعدادى 1'!BL30</f>
        <v>خامسه</v>
      </c>
      <c r="BM62" s="5">
        <f>'اعدادى 1'!BO30</f>
        <v>0</v>
      </c>
      <c r="BN62" s="53">
        <f>'اعدادى 1'!BP30</f>
        <v>0</v>
      </c>
      <c r="BP62" s="162">
        <f>'اعدادى 1'!BR30</f>
        <v>0</v>
      </c>
      <c r="BQ62" s="160">
        <f t="shared" si="29"/>
        <v>475</v>
      </c>
      <c r="BR62" s="162"/>
    </row>
    <row r="63" spans="2:70" ht="24" customHeight="1">
      <c r="B63" t="str">
        <f>BK63</f>
        <v>علاء عبدالكريم محمود</v>
      </c>
      <c r="C63" s="1">
        <f>ثانوى1!C10</f>
        <v>643.19000000000005</v>
      </c>
      <c r="D63" s="3">
        <v>44</v>
      </c>
      <c r="E63" s="4"/>
      <c r="F63" s="5">
        <f>ثانوى1!F10</f>
        <v>1993.34</v>
      </c>
      <c r="G63" s="5">
        <f>ثانوى1!G10</f>
        <v>60.43</v>
      </c>
      <c r="H63" s="5">
        <f>ثانوى1!H10</f>
        <v>64.319000000000003</v>
      </c>
      <c r="I63" s="5">
        <f>ثانوى1!I10</f>
        <v>160.79750000000001</v>
      </c>
      <c r="J63" s="5">
        <f>ثانوى1!J10</f>
        <v>160.80000000000001</v>
      </c>
      <c r="K63" s="5">
        <f>ثانوى1!K10</f>
        <v>321.59500000000003</v>
      </c>
      <c r="L63" s="5">
        <f>ثانوى1!L10</f>
        <v>1286.3599999999999</v>
      </c>
      <c r="M63" s="5">
        <f>ثانوى1!M10</f>
        <v>0</v>
      </c>
      <c r="N63" s="28">
        <f>ثانوى1!N10</f>
        <v>300</v>
      </c>
      <c r="O63" s="28">
        <f>ثانوى1!O10</f>
        <v>150</v>
      </c>
      <c r="P63" s="28">
        <f>ثانوى1!P10</f>
        <v>350</v>
      </c>
      <c r="Q63" s="28">
        <f>ثانوى1!Q10</f>
        <v>375</v>
      </c>
      <c r="R63" s="28">
        <f>ثانوى1!R10</f>
        <v>0</v>
      </c>
      <c r="S63" s="28">
        <f>ثانوى1!S10</f>
        <v>180</v>
      </c>
      <c r="T63" s="28">
        <f>ثانوى1!T10</f>
        <v>140</v>
      </c>
      <c r="U63" s="28">
        <f>ثانوى1!U10</f>
        <v>155</v>
      </c>
      <c r="V63" s="28" t="str">
        <f>ثانوى1!V10</f>
        <v/>
      </c>
      <c r="W63" s="28">
        <f>ثانوى1!W10</f>
        <v>6</v>
      </c>
      <c r="X63" s="28">
        <f>ثانوى1!X10</f>
        <v>4</v>
      </c>
      <c r="Y63" s="5">
        <f>ثانوى1!Y10</f>
        <v>0</v>
      </c>
      <c r="Z63" s="5">
        <f>ثانوى1!Z10</f>
        <v>0</v>
      </c>
      <c r="AA63" s="5">
        <f>ثانوى1!AA10</f>
        <v>0</v>
      </c>
      <c r="AB63" s="5">
        <f>ثانوى1!AB10</f>
        <v>0</v>
      </c>
      <c r="AC63" s="5">
        <f>ثانوى1!AC10</f>
        <v>0</v>
      </c>
      <c r="AD63" s="5">
        <f>ثانوى1!AD10</f>
        <v>0</v>
      </c>
      <c r="AE63" s="5">
        <f>ثانوى1!AE10</f>
        <v>0</v>
      </c>
      <c r="AF63" s="5">
        <f>ثانوى1!AF10</f>
        <v>10</v>
      </c>
      <c r="AG63" s="5">
        <f>ثانوى1!AG10</f>
        <v>5717.6414999999997</v>
      </c>
      <c r="AH63" s="5">
        <f>ثانوى1!AH10</f>
        <v>0</v>
      </c>
      <c r="AI63" s="5">
        <f>ثانوى1!AI10</f>
        <v>513.68773499999998</v>
      </c>
      <c r="AJ63" s="5">
        <f>ثانوى1!AJ10</f>
        <v>0</v>
      </c>
      <c r="AK63" s="5">
        <f>ثانوى1!AK10</f>
        <v>57.076414999999997</v>
      </c>
      <c r="AL63" s="5">
        <f>ثانوى1!AL10</f>
        <v>57.076414999999997</v>
      </c>
      <c r="AM63" s="5">
        <f>ثانوى1!AM10</f>
        <v>9.5</v>
      </c>
      <c r="AN63" s="5">
        <f>ثانوى1!AN10</f>
        <v>3.1</v>
      </c>
      <c r="AO63" s="5">
        <f>ثانوى1!AO10</f>
        <v>0</v>
      </c>
      <c r="AP63" s="5">
        <f>ثانوى1!AP10</f>
        <v>178</v>
      </c>
      <c r="AQ63" s="5">
        <f>ثانوى1!AQ10</f>
        <v>34.950000000000003</v>
      </c>
      <c r="AR63" s="5">
        <f>ثانوى1!AR10</f>
        <v>0</v>
      </c>
      <c r="AS63" s="5">
        <f>ثانوى1!AS10</f>
        <v>2.5</v>
      </c>
      <c r="AT63" s="5">
        <f>ثانوى1!AT10</f>
        <v>4.5</v>
      </c>
      <c r="AU63" s="5">
        <f>ثانوى1!AU10</f>
        <v>2</v>
      </c>
      <c r="AV63" s="5">
        <f>ثانوى1!AV10</f>
        <v>0.25</v>
      </c>
      <c r="AW63" s="5">
        <f>ثانوى1!AW10</f>
        <v>3</v>
      </c>
      <c r="AX63" s="5">
        <f>ثانوى1!AX10</f>
        <v>0.5</v>
      </c>
      <c r="AY63" s="5">
        <f>ثانوى1!AY10</f>
        <v>139.53380000000001</v>
      </c>
      <c r="AZ63" s="5">
        <f>ثانوى1!AZ10</f>
        <v>0</v>
      </c>
      <c r="BA63" s="5">
        <f>ثانوى1!BA10</f>
        <v>0</v>
      </c>
      <c r="BB63" s="5">
        <f>ثانوى1!BB10</f>
        <v>0</v>
      </c>
      <c r="BC63" s="5">
        <f>ثانوى1!BC10</f>
        <v>0</v>
      </c>
      <c r="BD63" s="5">
        <f>ثانوى1!BD10</f>
        <v>0</v>
      </c>
      <c r="BE63" s="5">
        <f>ثانوى1!BE10</f>
        <v>0</v>
      </c>
      <c r="BF63" s="5">
        <f>ثانوى1!BF10</f>
        <v>0</v>
      </c>
      <c r="BG63" s="5">
        <f>ثانوى1!BG10</f>
        <v>0</v>
      </c>
      <c r="BH63" s="5">
        <f>ثانوى1!BH10</f>
        <v>0.02</v>
      </c>
      <c r="BI63" s="5">
        <f>ثانوى1!BI10</f>
        <v>1005.6943650000001</v>
      </c>
      <c r="BJ63" s="5">
        <f>ثانوى1!BJ10</f>
        <v>4711.9471349999994</v>
      </c>
      <c r="BK63" s="5" t="str">
        <f>ثانوى1!BK10</f>
        <v>علاء عبدالكريم محمود</v>
      </c>
      <c r="BL63" s="5" t="str">
        <f>ثانوى1!BL10</f>
        <v>كبير ا</v>
      </c>
      <c r="BM63" s="5" t="str">
        <f>ثانوى1!BO10</f>
        <v>مدرس</v>
      </c>
      <c r="BN63" s="53">
        <f>ثانوى1!BP10</f>
        <v>0</v>
      </c>
      <c r="BO63" s="162">
        <f>ثانوى1!BQ10</f>
        <v>875</v>
      </c>
      <c r="BP63" s="162">
        <f>ثانوى1!BR10</f>
        <v>0</v>
      </c>
      <c r="BQ63" s="160">
        <f t="shared" si="29"/>
        <v>875</v>
      </c>
      <c r="BR63" s="162"/>
    </row>
    <row r="64" spans="2:70" ht="24" customHeight="1">
      <c r="B64" t="str">
        <f t="shared" ref="B64:B78" si="30">BK64</f>
        <v>حمدى طه العيسوى</v>
      </c>
      <c r="C64" s="1">
        <f>ثانوى1!C11</f>
        <v>747.84</v>
      </c>
      <c r="D64" s="3">
        <v>45</v>
      </c>
      <c r="E64" s="4"/>
      <c r="F64" s="5">
        <f>ثانوى1!F11</f>
        <v>2289.91</v>
      </c>
      <c r="G64" s="5">
        <f>ثانوى1!G11</f>
        <v>70.239999999999995</v>
      </c>
      <c r="H64" s="5">
        <f>ثانوى1!H11</f>
        <v>74.784000000000006</v>
      </c>
      <c r="I64" s="5">
        <f>ثانوى1!I11</f>
        <v>186.96</v>
      </c>
      <c r="J64" s="5">
        <f>ثانوى1!J11</f>
        <v>186.96</v>
      </c>
      <c r="K64" s="5">
        <f>ثانوى1!K11</f>
        <v>373.92</v>
      </c>
      <c r="L64" s="5">
        <f>ثانوى1!L11</f>
        <v>1495.68</v>
      </c>
      <c r="M64" s="5">
        <f>ثانوى1!M11</f>
        <v>0</v>
      </c>
      <c r="N64" s="28">
        <f>ثانوى1!N11</f>
        <v>300</v>
      </c>
      <c r="O64" s="28">
        <f>ثانوى1!O11</f>
        <v>150</v>
      </c>
      <c r="P64" s="28">
        <f>ثانوى1!P11</f>
        <v>350</v>
      </c>
      <c r="Q64" s="28">
        <f>ثانوى1!Q11</f>
        <v>375</v>
      </c>
      <c r="R64" s="28">
        <f>ثانوى1!R11</f>
        <v>0</v>
      </c>
      <c r="S64" s="28">
        <f>ثانوى1!S11</f>
        <v>180</v>
      </c>
      <c r="T64" s="28">
        <f>ثانوى1!T11</f>
        <v>140</v>
      </c>
      <c r="U64" s="28">
        <f>ثانوى1!U11</f>
        <v>155</v>
      </c>
      <c r="V64" s="28" t="str">
        <f>ثانوى1!V11</f>
        <v/>
      </c>
      <c r="W64" s="28">
        <f>ثانوى1!W11</f>
        <v>6</v>
      </c>
      <c r="X64" s="28">
        <f>ثانوى1!X11</f>
        <v>4</v>
      </c>
      <c r="Y64" s="5">
        <f>ثانوى1!Y11</f>
        <v>0</v>
      </c>
      <c r="Z64" s="5">
        <f>ثانوى1!Z11</f>
        <v>0</v>
      </c>
      <c r="AA64" s="5">
        <f>ثانوى1!AA11</f>
        <v>0</v>
      </c>
      <c r="AB64" s="5">
        <f>ثانوى1!AB11</f>
        <v>0</v>
      </c>
      <c r="AC64" s="5">
        <f>ثانوى1!AC11</f>
        <v>0</v>
      </c>
      <c r="AD64" s="5">
        <f>ثانوى1!AD11</f>
        <v>0</v>
      </c>
      <c r="AE64" s="5">
        <f>ثانوى1!AE11</f>
        <v>0</v>
      </c>
      <c r="AF64" s="5">
        <f>ثانوى1!AF11</f>
        <v>10</v>
      </c>
      <c r="AG64" s="5">
        <f>ثانوى1!AG11</f>
        <v>6348.4539999999997</v>
      </c>
      <c r="AH64" s="5">
        <f>ثانوى1!AH11</f>
        <v>0</v>
      </c>
      <c r="AI64" s="5">
        <f>ثانوى1!AI11</f>
        <v>570.46085999999991</v>
      </c>
      <c r="AJ64" s="5">
        <f>ثانوى1!AJ11</f>
        <v>0</v>
      </c>
      <c r="AK64" s="5">
        <f>ثانوى1!AK11</f>
        <v>63.384540000000001</v>
      </c>
      <c r="AL64" s="5">
        <f>ثانوى1!AL11</f>
        <v>63.384540000000001</v>
      </c>
      <c r="AM64" s="5">
        <f>ثانوى1!AM11</f>
        <v>9.5</v>
      </c>
      <c r="AN64" s="5">
        <f>ثانوى1!AN11</f>
        <v>3.1</v>
      </c>
      <c r="AO64" s="5">
        <f>ثانوى1!AO11</f>
        <v>0</v>
      </c>
      <c r="AP64" s="5">
        <f>ثانوى1!AP11</f>
        <v>197</v>
      </c>
      <c r="AQ64" s="5">
        <f>ثانوى1!AQ11</f>
        <v>41.15</v>
      </c>
      <c r="AR64" s="5">
        <f>ثانوى1!AR11</f>
        <v>0</v>
      </c>
      <c r="AS64" s="5">
        <f>ثانوى1!AS11</f>
        <v>2.5</v>
      </c>
      <c r="AT64" s="5">
        <f>ثانوى1!AT11</f>
        <v>4.5</v>
      </c>
      <c r="AU64" s="5">
        <f>ثانوى1!AU11</f>
        <v>2</v>
      </c>
      <c r="AV64" s="5">
        <f>ثانوى1!AV11</f>
        <v>0.25</v>
      </c>
      <c r="AW64" s="5">
        <f>ثانوى1!AW11</f>
        <v>3</v>
      </c>
      <c r="AX64" s="5">
        <f>ثانوى1!AX11</f>
        <v>0.5</v>
      </c>
      <c r="AY64" s="5">
        <f>ثانوى1!AY11</f>
        <v>160.2937</v>
      </c>
      <c r="AZ64" s="5">
        <f>ثانوى1!AZ11</f>
        <v>0</v>
      </c>
      <c r="BA64" s="5">
        <f>ثانوى1!BA11</f>
        <v>0</v>
      </c>
      <c r="BB64" s="5">
        <f>ثانوى1!BB11</f>
        <v>0</v>
      </c>
      <c r="BC64" s="5">
        <f>ثانوى1!BC11</f>
        <v>0</v>
      </c>
      <c r="BD64" s="5">
        <f>ثانوى1!BD11</f>
        <v>0</v>
      </c>
      <c r="BE64" s="5">
        <f>ثانوى1!BE11</f>
        <v>0</v>
      </c>
      <c r="BF64" s="5">
        <f>ثانوى1!BF11</f>
        <v>0</v>
      </c>
      <c r="BG64" s="5">
        <f>ثانوى1!BG11</f>
        <v>0</v>
      </c>
      <c r="BH64" s="5">
        <f>ثانوى1!BH11</f>
        <v>0.03</v>
      </c>
      <c r="BI64" s="5">
        <f>ثانوى1!BI11</f>
        <v>1121.0536399999999</v>
      </c>
      <c r="BJ64" s="5">
        <f>ثانوى1!BJ11</f>
        <v>5227.4003599999996</v>
      </c>
      <c r="BK64" s="5" t="str">
        <f>ثانوى1!BK11</f>
        <v>حمدى طه العيسوى</v>
      </c>
      <c r="BL64" s="5" t="str">
        <f>ثانوى1!BL11</f>
        <v>كبير ا</v>
      </c>
      <c r="BM64" s="5" t="str">
        <f>ثانوى1!BO11</f>
        <v>مدرس</v>
      </c>
      <c r="BN64" s="53">
        <f>ثانوى1!BP11</f>
        <v>0</v>
      </c>
      <c r="BO64" s="162">
        <f>ثانوى1!BQ11</f>
        <v>875</v>
      </c>
      <c r="BP64" s="162">
        <f>ثانوى1!BR11</f>
        <v>0</v>
      </c>
      <c r="BQ64" s="160">
        <f t="shared" si="29"/>
        <v>875</v>
      </c>
      <c r="BR64" s="162"/>
    </row>
    <row r="65" spans="2:78" ht="24" customHeight="1">
      <c r="B65" t="str">
        <f t="shared" si="30"/>
        <v>علاء الدين غازى سليمان</v>
      </c>
      <c r="C65" s="1">
        <f>ثانوى1!C12</f>
        <v>639.71</v>
      </c>
      <c r="D65" s="3">
        <v>46</v>
      </c>
      <c r="E65" s="4"/>
      <c r="F65" s="5">
        <f>ثانوى1!F12</f>
        <v>1979.74</v>
      </c>
      <c r="G65" s="5">
        <f>ثانوى1!G12</f>
        <v>60.07</v>
      </c>
      <c r="H65" s="5">
        <f>ثانوى1!H12</f>
        <v>63.971000000000004</v>
      </c>
      <c r="I65" s="5">
        <f>ثانوى1!I12</f>
        <v>159.92750000000001</v>
      </c>
      <c r="J65" s="5">
        <f>ثانوى1!J12</f>
        <v>159.93</v>
      </c>
      <c r="K65" s="5">
        <f>ثانوى1!K12</f>
        <v>319.85500000000002</v>
      </c>
      <c r="L65" s="5">
        <f>ثانوى1!L12</f>
        <v>1279.4000000000001</v>
      </c>
      <c r="M65" s="5">
        <f>ثانوى1!M12</f>
        <v>0</v>
      </c>
      <c r="N65" s="28">
        <f>ثانوى1!N12</f>
        <v>300</v>
      </c>
      <c r="O65" s="28">
        <f>ثانوى1!O12</f>
        <v>150</v>
      </c>
      <c r="P65" s="28">
        <f>ثانوى1!P12</f>
        <v>350</v>
      </c>
      <c r="Q65" s="28">
        <f>ثانوى1!Q12</f>
        <v>375</v>
      </c>
      <c r="R65" s="28">
        <f>ثانوى1!R12</f>
        <v>0</v>
      </c>
      <c r="S65" s="28">
        <f>ثانوى1!S12</f>
        <v>180</v>
      </c>
      <c r="T65" s="28">
        <f>ثانوى1!T12</f>
        <v>140</v>
      </c>
      <c r="U65" s="28">
        <f>ثانوى1!U12</f>
        <v>155</v>
      </c>
      <c r="V65" s="28" t="str">
        <f>ثانوى1!V12</f>
        <v/>
      </c>
      <c r="W65" s="28">
        <f>ثانوى1!W12</f>
        <v>6</v>
      </c>
      <c r="X65" s="28">
        <f>ثانوى1!X12</f>
        <v>4</v>
      </c>
      <c r="Y65" s="5">
        <f>ثانوى1!Y12</f>
        <v>0</v>
      </c>
      <c r="Z65" s="5">
        <f>ثانوى1!Z12</f>
        <v>0</v>
      </c>
      <c r="AA65" s="5">
        <f>ثانوى1!AA12</f>
        <v>0</v>
      </c>
      <c r="AB65" s="5">
        <f>ثانوى1!AB12</f>
        <v>0</v>
      </c>
      <c r="AC65" s="5">
        <f>ثانوى1!AC12</f>
        <v>0</v>
      </c>
      <c r="AD65" s="5">
        <f>ثانوى1!AD12</f>
        <v>0</v>
      </c>
      <c r="AE65" s="5">
        <f>ثانوى1!AE12</f>
        <v>0</v>
      </c>
      <c r="AF65" s="5">
        <f>ثانوى1!AF12</f>
        <v>10</v>
      </c>
      <c r="AG65" s="5">
        <f>ثانوى1!AG12</f>
        <v>5692.8935000000001</v>
      </c>
      <c r="AH65" s="5">
        <f>ثانوى1!AH12</f>
        <v>0</v>
      </c>
      <c r="AI65" s="5">
        <f>ثانوى1!AI12</f>
        <v>511.46041500000001</v>
      </c>
      <c r="AJ65" s="5">
        <f>ثانوى1!AJ12</f>
        <v>0</v>
      </c>
      <c r="AK65" s="5">
        <f>ثانوى1!AK12</f>
        <v>56.828935000000001</v>
      </c>
      <c r="AL65" s="5">
        <f>ثانوى1!AL12</f>
        <v>56.828935000000001</v>
      </c>
      <c r="AM65" s="5">
        <f>ثانوى1!AM12</f>
        <v>9.5</v>
      </c>
      <c r="AN65" s="5">
        <f>ثانوى1!AN12</f>
        <v>3.1</v>
      </c>
      <c r="AO65" s="5">
        <f>ثانوى1!AO12</f>
        <v>0</v>
      </c>
      <c r="AP65" s="5">
        <f>ثانوى1!AP12</f>
        <v>177</v>
      </c>
      <c r="AQ65" s="5">
        <f>ثانوى1!AQ12</f>
        <v>34.799999999999997</v>
      </c>
      <c r="AR65" s="5">
        <f>ثانوى1!AR12</f>
        <v>0</v>
      </c>
      <c r="AS65" s="5">
        <f>ثانوى1!AS12</f>
        <v>2.5</v>
      </c>
      <c r="AT65" s="5">
        <f>ثانوى1!AT12</f>
        <v>4.5</v>
      </c>
      <c r="AU65" s="5">
        <f>ثانوى1!AU12</f>
        <v>2</v>
      </c>
      <c r="AV65" s="5">
        <f>ثانوى1!AV12</f>
        <v>0.25</v>
      </c>
      <c r="AW65" s="5">
        <f>ثانوى1!AW12</f>
        <v>3</v>
      </c>
      <c r="AX65" s="5">
        <f>ثانوى1!AX12</f>
        <v>0.5</v>
      </c>
      <c r="AY65" s="5">
        <f>ثانوى1!AY12</f>
        <v>138.58180000000002</v>
      </c>
      <c r="AZ65" s="5">
        <f>ثانوى1!AZ12</f>
        <v>0</v>
      </c>
      <c r="BA65" s="5">
        <f>ثانوى1!BA12</f>
        <v>0</v>
      </c>
      <c r="BB65" s="5">
        <f>ثانوى1!BB12</f>
        <v>0</v>
      </c>
      <c r="BC65" s="5">
        <f>ثانوى1!BC12</f>
        <v>0</v>
      </c>
      <c r="BD65" s="5">
        <f>ثانوى1!BD12</f>
        <v>0</v>
      </c>
      <c r="BE65" s="5">
        <f>ثانوى1!BE12</f>
        <v>0</v>
      </c>
      <c r="BF65" s="5">
        <f>ثانوى1!BF12</f>
        <v>0</v>
      </c>
      <c r="BG65" s="5">
        <f>ثانوى1!BG12</f>
        <v>0</v>
      </c>
      <c r="BH65" s="5">
        <f>ثانوى1!BH12</f>
        <v>0.04</v>
      </c>
      <c r="BI65" s="5">
        <f>ثانوى1!BI12</f>
        <v>1000.890085</v>
      </c>
      <c r="BJ65" s="5">
        <f>ثانوى1!BJ12</f>
        <v>4692.0034150000001</v>
      </c>
      <c r="BK65" s="5" t="str">
        <f>ثانوى1!BK12</f>
        <v>علاء الدين غازى سليمان</v>
      </c>
      <c r="BL65" s="5" t="str">
        <f>ثانوى1!BL12</f>
        <v>كبير ا</v>
      </c>
      <c r="BM65" s="5" t="str">
        <f>ثانوى1!BO12</f>
        <v>مدرس</v>
      </c>
      <c r="BN65" s="53">
        <f>ثانوى1!BP12</f>
        <v>0</v>
      </c>
      <c r="BO65" s="162">
        <f>ثانوى1!BQ12</f>
        <v>875</v>
      </c>
      <c r="BP65" s="162">
        <f>ثانوى1!BR12</f>
        <v>0</v>
      </c>
      <c r="BQ65" s="160">
        <f t="shared" si="29"/>
        <v>875</v>
      </c>
      <c r="BR65" s="162"/>
    </row>
    <row r="66" spans="2:78" ht="24" customHeight="1">
      <c r="B66" t="str">
        <f t="shared" si="30"/>
        <v>ارزاق طلعت احمد</v>
      </c>
      <c r="C66" s="1">
        <f>ثانوى1!C13</f>
        <v>657.44</v>
      </c>
      <c r="D66" s="3">
        <v>47</v>
      </c>
      <c r="E66" s="4"/>
      <c r="F66" s="5">
        <f>ثانوى1!F13</f>
        <v>2026.89</v>
      </c>
      <c r="G66" s="5">
        <f>ثانوى1!G13</f>
        <v>61.78</v>
      </c>
      <c r="H66" s="5">
        <f>ثانوى1!H13</f>
        <v>65.744000000000014</v>
      </c>
      <c r="I66" s="5">
        <f>ثانوى1!I13</f>
        <v>164.36</v>
      </c>
      <c r="J66" s="5">
        <f>ثانوى1!J13</f>
        <v>164.36</v>
      </c>
      <c r="K66" s="5">
        <f>ثانوى1!K13</f>
        <v>328.72</v>
      </c>
      <c r="L66" s="5">
        <f>ثانوى1!L13</f>
        <v>1314.88</v>
      </c>
      <c r="M66" s="5">
        <f>ثانوى1!M13</f>
        <v>0</v>
      </c>
      <c r="N66" s="28">
        <f>ثانوى1!N13</f>
        <v>300</v>
      </c>
      <c r="O66" s="28">
        <f>ثانوى1!O13</f>
        <v>150</v>
      </c>
      <c r="P66" s="28">
        <f>ثانوى1!P13</f>
        <v>350</v>
      </c>
      <c r="Q66" s="28">
        <f>ثانوى1!Q13</f>
        <v>375</v>
      </c>
      <c r="R66" s="28">
        <f>ثانوى1!R13</f>
        <v>0</v>
      </c>
      <c r="S66" s="28">
        <f>ثانوى1!S13</f>
        <v>180</v>
      </c>
      <c r="T66" s="28">
        <f>ثانوى1!T13</f>
        <v>140</v>
      </c>
      <c r="U66" s="28">
        <f>ثانوى1!U13</f>
        <v>155</v>
      </c>
      <c r="V66" s="28" t="str">
        <f>ثانوى1!V13</f>
        <v/>
      </c>
      <c r="W66" s="28">
        <f>ثانوى1!W13</f>
        <v>2</v>
      </c>
      <c r="X66" s="28">
        <f>ثانوى1!X13</f>
        <v>4</v>
      </c>
      <c r="Y66" s="5">
        <f>ثانوى1!Y13</f>
        <v>0</v>
      </c>
      <c r="Z66" s="5">
        <f>ثانوى1!Z13</f>
        <v>0</v>
      </c>
      <c r="AA66" s="5">
        <f>ثانوى1!AA13</f>
        <v>0</v>
      </c>
      <c r="AB66" s="5">
        <f>ثانوى1!AB13</f>
        <v>0</v>
      </c>
      <c r="AC66" s="5">
        <f>ثانوى1!AC13</f>
        <v>0</v>
      </c>
      <c r="AD66" s="5">
        <f>ثانوى1!AD13</f>
        <v>0</v>
      </c>
      <c r="AE66" s="5">
        <f>ثانوى1!AE13</f>
        <v>0</v>
      </c>
      <c r="AF66" s="5">
        <f>ثانوى1!AF13</f>
        <v>10</v>
      </c>
      <c r="AG66" s="5">
        <f>ثانوى1!AG13</f>
        <v>5792.7340000000004</v>
      </c>
      <c r="AH66" s="5">
        <f>ثانوى1!AH13</f>
        <v>0</v>
      </c>
      <c r="AI66" s="5">
        <f>ثانوى1!AI13</f>
        <v>520.44605999999999</v>
      </c>
      <c r="AJ66" s="5">
        <f>ثانوى1!AJ13</f>
        <v>0</v>
      </c>
      <c r="AK66" s="5">
        <f>ثانوى1!AK13</f>
        <v>57.827340000000007</v>
      </c>
      <c r="AL66" s="5">
        <f>ثانوى1!AL13</f>
        <v>57.827340000000007</v>
      </c>
      <c r="AM66" s="5">
        <f>ثانوى1!AM13</f>
        <v>9.5</v>
      </c>
      <c r="AN66" s="5">
        <f>ثانوى1!AN13</f>
        <v>3.1</v>
      </c>
      <c r="AO66" s="5">
        <f>ثانوى1!AO13</f>
        <v>0</v>
      </c>
      <c r="AP66" s="5">
        <f>ثانوى1!AP13</f>
        <v>181</v>
      </c>
      <c r="AQ66" s="5">
        <f>ثانوى1!AQ13</f>
        <v>35.4</v>
      </c>
      <c r="AR66" s="5">
        <f>ثانوى1!AR13</f>
        <v>0</v>
      </c>
      <c r="AS66" s="5">
        <f>ثانوى1!AS13</f>
        <v>2.5</v>
      </c>
      <c r="AT66" s="5">
        <f>ثانوى1!AT13</f>
        <v>4.5</v>
      </c>
      <c r="AU66" s="5">
        <f>ثانوى1!AU13</f>
        <v>2</v>
      </c>
      <c r="AV66" s="5">
        <f>ثانوى1!AV13</f>
        <v>0.25</v>
      </c>
      <c r="AW66" s="5">
        <f>ثانوى1!AW13</f>
        <v>3</v>
      </c>
      <c r="AX66" s="5">
        <f>ثانوى1!AX13</f>
        <v>0.5</v>
      </c>
      <c r="AY66" s="5">
        <f>ثانوى1!AY13</f>
        <v>141.88230000000001</v>
      </c>
      <c r="AZ66" s="5">
        <f>ثانوى1!AZ13</f>
        <v>0</v>
      </c>
      <c r="BA66" s="5">
        <f>ثانوى1!BA13</f>
        <v>0</v>
      </c>
      <c r="BB66" s="5">
        <f>ثانوى1!BB13</f>
        <v>0</v>
      </c>
      <c r="BC66" s="5">
        <f>ثانوى1!BC13</f>
        <v>0</v>
      </c>
      <c r="BD66" s="5">
        <f>ثانوى1!BD13</f>
        <v>0</v>
      </c>
      <c r="BE66" s="5">
        <f>ثانوى1!BE13</f>
        <v>0</v>
      </c>
      <c r="BF66" s="5">
        <f>ثانوى1!BF13</f>
        <v>0</v>
      </c>
      <c r="BG66" s="5">
        <f>ثانوى1!BG13</f>
        <v>0</v>
      </c>
      <c r="BH66" s="5">
        <f>ثانوى1!BH13</f>
        <v>0</v>
      </c>
      <c r="BI66" s="5">
        <f>ثانوى1!BI13</f>
        <v>1019.7330400000001</v>
      </c>
      <c r="BJ66" s="5">
        <f>ثانوى1!BJ13</f>
        <v>4773.0009600000003</v>
      </c>
      <c r="BK66" s="5" t="str">
        <f>ثانوى1!BK13</f>
        <v>ارزاق طلعت احمد</v>
      </c>
      <c r="BL66" s="5" t="str">
        <f>ثانوى1!BL13</f>
        <v>كبير ا</v>
      </c>
      <c r="BM66" s="5" t="str">
        <f>ثانوى1!BO13</f>
        <v>مدرس</v>
      </c>
      <c r="BN66" s="53">
        <f>ثانوى1!BP13</f>
        <v>0</v>
      </c>
      <c r="BO66" s="162">
        <f>ثانوى1!BQ13</f>
        <v>875</v>
      </c>
      <c r="BP66" s="162">
        <f>ثانوى1!BR13</f>
        <v>0</v>
      </c>
      <c r="BQ66" s="160">
        <f t="shared" si="29"/>
        <v>875</v>
      </c>
      <c r="BR66" s="162"/>
    </row>
    <row r="67" spans="2:78" ht="24" customHeight="1">
      <c r="B67" t="str">
        <f t="shared" si="30"/>
        <v>محمد سعد السعداوى</v>
      </c>
      <c r="C67" s="1">
        <f>ثانوى1!C14</f>
        <v>576.69000000000005</v>
      </c>
      <c r="D67" s="3">
        <v>48</v>
      </c>
      <c r="E67" s="4"/>
      <c r="F67" s="5">
        <f>ثانوى1!F14</f>
        <v>1821.85</v>
      </c>
      <c r="G67" s="5">
        <f>ثانوى1!G14</f>
        <v>53.6</v>
      </c>
      <c r="H67" s="5">
        <f>ثانوى1!H14</f>
        <v>57.669000000000011</v>
      </c>
      <c r="I67" s="5">
        <f>ثانوى1!I14</f>
        <v>144.17250000000001</v>
      </c>
      <c r="J67" s="5">
        <f>ثانوى1!J14</f>
        <v>144.16999999999999</v>
      </c>
      <c r="K67" s="5">
        <f>ثانوى1!K14</f>
        <v>288.34500000000003</v>
      </c>
      <c r="L67" s="5">
        <f>ثانوى1!L14</f>
        <v>1153.3699999999999</v>
      </c>
      <c r="M67" s="5">
        <f>ثانوى1!M14</f>
        <v>0</v>
      </c>
      <c r="N67" s="28">
        <f>ثانوى1!N14</f>
        <v>300</v>
      </c>
      <c r="O67" s="28">
        <f>ثانوى1!O14</f>
        <v>150</v>
      </c>
      <c r="P67" s="28">
        <f>ثانوى1!P14</f>
        <v>325</v>
      </c>
      <c r="Q67" s="28">
        <f>ثانوى1!Q14</f>
        <v>375</v>
      </c>
      <c r="R67" s="28">
        <f>ثانوى1!R14</f>
        <v>0</v>
      </c>
      <c r="S67" s="28">
        <f>ثانوى1!S14</f>
        <v>180</v>
      </c>
      <c r="T67" s="28">
        <f>ثانوى1!T14</f>
        <v>140</v>
      </c>
      <c r="U67" s="28">
        <f>ثانوى1!U14</f>
        <v>155</v>
      </c>
      <c r="V67" s="28" t="str">
        <f>ثانوى1!V14</f>
        <v/>
      </c>
      <c r="W67" s="28">
        <f>ثانوى1!W14</f>
        <v>6</v>
      </c>
      <c r="X67" s="28">
        <f>ثانوى1!X14</f>
        <v>4</v>
      </c>
      <c r="Y67" s="5">
        <f>ثانوى1!Y14</f>
        <v>0</v>
      </c>
      <c r="Z67" s="5">
        <f>ثانوى1!Z14</f>
        <v>0</v>
      </c>
      <c r="AA67" s="5">
        <f>ثانوى1!AA14</f>
        <v>0</v>
      </c>
      <c r="AB67" s="5">
        <f>ثانوى1!AB14</f>
        <v>0</v>
      </c>
      <c r="AC67" s="5">
        <f>ثانوى1!AC14</f>
        <v>0</v>
      </c>
      <c r="AD67" s="5">
        <f>ثانوى1!AD14</f>
        <v>0</v>
      </c>
      <c r="AE67" s="5">
        <f>ثانوى1!AE14</f>
        <v>0</v>
      </c>
      <c r="AF67" s="5">
        <f>ثانوى1!AF14</f>
        <v>10</v>
      </c>
      <c r="AG67" s="5">
        <f>ثانوى1!AG14</f>
        <v>5308.1764999999996</v>
      </c>
      <c r="AH67" s="5">
        <f>ثانوى1!AH14</f>
        <v>0</v>
      </c>
      <c r="AI67" s="5">
        <f>ثانوى1!AI14</f>
        <v>476.83588499999996</v>
      </c>
      <c r="AJ67" s="5">
        <f>ثانوى1!AJ14</f>
        <v>0</v>
      </c>
      <c r="AK67" s="5">
        <f>ثانوى1!AK14</f>
        <v>52.981764999999996</v>
      </c>
      <c r="AL67" s="5">
        <f>ثانوى1!AL14</f>
        <v>52.981764999999996</v>
      </c>
      <c r="AM67" s="5">
        <f>ثانوى1!AM14</f>
        <v>9.5</v>
      </c>
      <c r="AN67" s="5">
        <f>ثانوى1!AN14</f>
        <v>3.1</v>
      </c>
      <c r="AO67" s="5">
        <f>ثانوى1!AO14</f>
        <v>0</v>
      </c>
      <c r="AP67" s="5">
        <f>ثانوى1!AP14</f>
        <v>156</v>
      </c>
      <c r="AQ67" s="5">
        <f>ثانوى1!AQ14</f>
        <v>32.5</v>
      </c>
      <c r="AR67" s="5">
        <f>ثانوى1!AR14</f>
        <v>0</v>
      </c>
      <c r="AS67" s="5">
        <f>ثانوى1!AS14</f>
        <v>2</v>
      </c>
      <c r="AT67" s="5">
        <f>ثانوى1!AT14</f>
        <v>4.5</v>
      </c>
      <c r="AU67" s="5">
        <f>ثانوى1!AU14</f>
        <v>2</v>
      </c>
      <c r="AV67" s="5">
        <f>ثانوى1!AV14</f>
        <v>0.25</v>
      </c>
      <c r="AW67" s="5">
        <f>ثانوى1!AW14</f>
        <v>3</v>
      </c>
      <c r="AX67" s="5">
        <f>ثانوى1!AX14</f>
        <v>0.5</v>
      </c>
      <c r="AY67" s="5">
        <f>ثانوى1!AY14</f>
        <v>127.5295</v>
      </c>
      <c r="AZ67" s="5">
        <f>ثانوى1!AZ14</f>
        <v>0</v>
      </c>
      <c r="BA67" s="5">
        <f>ثانوى1!BA14</f>
        <v>0</v>
      </c>
      <c r="BB67" s="5">
        <f>ثانوى1!BB14</f>
        <v>0</v>
      </c>
      <c r="BC67" s="5">
        <f>ثانوى1!BC14</f>
        <v>0</v>
      </c>
      <c r="BD67" s="5">
        <f>ثانوى1!BD14</f>
        <v>0</v>
      </c>
      <c r="BE67" s="5">
        <f>ثانوى1!BE14</f>
        <v>0</v>
      </c>
      <c r="BF67" s="5">
        <f>ثانوى1!BF14</f>
        <v>0</v>
      </c>
      <c r="BG67" s="5">
        <f>ثانوى1!BG14</f>
        <v>0</v>
      </c>
      <c r="BH67" s="5">
        <f>ثانوى1!BH14</f>
        <v>0</v>
      </c>
      <c r="BI67" s="5">
        <f>ثانوى1!BI14</f>
        <v>923.67891499999996</v>
      </c>
      <c r="BJ67" s="5">
        <f>ثانوى1!BJ14</f>
        <v>4384.4975849999992</v>
      </c>
      <c r="BK67" s="5" t="str">
        <f>ثانوى1!BK14</f>
        <v>محمد سعد السعداوى</v>
      </c>
      <c r="BL67" s="5" t="str">
        <f>ثانوى1!BL14</f>
        <v>كبير ا</v>
      </c>
      <c r="BM67" s="5" t="str">
        <f>ثانوى1!BO14</f>
        <v>مدرس</v>
      </c>
      <c r="BN67" s="53">
        <f>ثانوى1!BP14</f>
        <v>0</v>
      </c>
      <c r="BO67" s="162">
        <f>ثانوى1!BQ14</f>
        <v>850</v>
      </c>
      <c r="BP67" s="162">
        <f>ثانوى1!BR14</f>
        <v>0</v>
      </c>
      <c r="BQ67" s="160">
        <f t="shared" si="29"/>
        <v>850</v>
      </c>
      <c r="BR67" s="162"/>
    </row>
    <row r="68" spans="2:78" ht="24" customHeight="1">
      <c r="B68" t="str">
        <f t="shared" si="30"/>
        <v>فتحى المغازى محمد</v>
      </c>
      <c r="C68" s="1">
        <f>ثانوى1!C15</f>
        <v>525.58000000000004</v>
      </c>
      <c r="D68" s="3">
        <v>49</v>
      </c>
      <c r="E68" s="4"/>
      <c r="F68" s="5">
        <f>ثانوى1!F15</f>
        <v>1703.22</v>
      </c>
      <c r="G68" s="5">
        <f>ثانوى1!G15</f>
        <v>49.36</v>
      </c>
      <c r="H68" s="5">
        <f>ثانوى1!H15</f>
        <v>52.558000000000007</v>
      </c>
      <c r="I68" s="5">
        <f>ثانوى1!I15</f>
        <v>131.39500000000001</v>
      </c>
      <c r="J68" s="5">
        <f>ثانوى1!J15</f>
        <v>131.4</v>
      </c>
      <c r="K68" s="5">
        <f>ثانوى1!K15</f>
        <v>262.79000000000002</v>
      </c>
      <c r="L68" s="5">
        <f>ثانوى1!L15</f>
        <v>919.76</v>
      </c>
      <c r="M68" s="5">
        <f>ثانوى1!M15</f>
        <v>0</v>
      </c>
      <c r="N68" s="28">
        <f>ثانوى1!N15</f>
        <v>325</v>
      </c>
      <c r="O68" s="28">
        <f>ثانوى1!O15</f>
        <v>150</v>
      </c>
      <c r="P68" s="28">
        <f>ثانوى1!P15</f>
        <v>325</v>
      </c>
      <c r="Q68" s="28">
        <f>ثانوى1!Q15</f>
        <v>350</v>
      </c>
      <c r="R68" s="28">
        <f>ثانوى1!R15</f>
        <v>0</v>
      </c>
      <c r="S68" s="28">
        <f>ثانوى1!S15</f>
        <v>165</v>
      </c>
      <c r="T68" s="28">
        <f>ثانوى1!T15</f>
        <v>145</v>
      </c>
      <c r="U68" s="28">
        <f>ثانوى1!U15</f>
        <v>140</v>
      </c>
      <c r="V68" s="28" t="str">
        <f>ثانوى1!V15</f>
        <v/>
      </c>
      <c r="W68" s="28">
        <f>ثانوى1!W15</f>
        <v>6</v>
      </c>
      <c r="X68" s="28">
        <f>ثانوى1!X15</f>
        <v>4</v>
      </c>
      <c r="Y68" s="5">
        <f>ثانوى1!Y15</f>
        <v>0</v>
      </c>
      <c r="Z68" s="5">
        <f>ثانوى1!Z15</f>
        <v>0</v>
      </c>
      <c r="AA68" s="5">
        <f>ثانوى1!AA15</f>
        <v>0</v>
      </c>
      <c r="AB68" s="5">
        <f>ثانوى1!AB15</f>
        <v>0</v>
      </c>
      <c r="AC68" s="5">
        <f>ثانوى1!AC15</f>
        <v>0</v>
      </c>
      <c r="AD68" s="5">
        <f>ثانوى1!AD15</f>
        <v>0</v>
      </c>
      <c r="AE68" s="5">
        <f>ثانوى1!AE15</f>
        <v>0</v>
      </c>
      <c r="AF68" s="5">
        <f>ثانوى1!AF15</f>
        <v>10</v>
      </c>
      <c r="AG68" s="5">
        <f>ثانوى1!AG15</f>
        <v>4870.4830000000002</v>
      </c>
      <c r="AH68" s="5">
        <f>ثانوى1!AH15</f>
        <v>0</v>
      </c>
      <c r="AI68" s="5">
        <f>ثانوى1!AI15</f>
        <v>437.44346999999999</v>
      </c>
      <c r="AJ68" s="5">
        <f>ثانوى1!AJ15</f>
        <v>0</v>
      </c>
      <c r="AK68" s="5">
        <f>ثانوى1!AK15</f>
        <v>48.60483</v>
      </c>
      <c r="AL68" s="5">
        <f>ثانوى1!AL15</f>
        <v>48.60483</v>
      </c>
      <c r="AM68" s="5">
        <f>ثانوى1!AM15</f>
        <v>9</v>
      </c>
      <c r="AN68" s="5">
        <f>ثانوى1!AN15</f>
        <v>2.8</v>
      </c>
      <c r="AO68" s="5">
        <f>ثانوى1!AO15</f>
        <v>0</v>
      </c>
      <c r="AP68" s="5">
        <f>ثانوى1!AP15</f>
        <v>132</v>
      </c>
      <c r="AQ68" s="5">
        <f>ثانوى1!AQ15</f>
        <v>29.7</v>
      </c>
      <c r="AR68" s="5">
        <f>ثانوى1!AR15</f>
        <v>0</v>
      </c>
      <c r="AS68" s="5">
        <f>ثانوى1!AS15</f>
        <v>2</v>
      </c>
      <c r="AT68" s="5">
        <f>ثانوى1!AT15</f>
        <v>4.5</v>
      </c>
      <c r="AU68" s="5">
        <f>ثانوى1!AU15</f>
        <v>2</v>
      </c>
      <c r="AV68" s="5">
        <f>ثانوى1!AV15</f>
        <v>0.25</v>
      </c>
      <c r="AW68" s="5">
        <f>ثانوى1!AW15</f>
        <v>3</v>
      </c>
      <c r="AX68" s="5">
        <f>ثانوى1!AX15</f>
        <v>0.5</v>
      </c>
      <c r="AY68" s="5">
        <f>ثانوى1!AY15</f>
        <v>119.22540000000001</v>
      </c>
      <c r="AZ68" s="5">
        <f>ثانوى1!AZ15</f>
        <v>9</v>
      </c>
      <c r="BA68" s="5">
        <f>ثانوى1!BA15</f>
        <v>0</v>
      </c>
      <c r="BB68" s="5">
        <f>ثانوى1!BB15</f>
        <v>0</v>
      </c>
      <c r="BC68" s="5">
        <f>ثانوى1!BC15</f>
        <v>0</v>
      </c>
      <c r="BD68" s="5">
        <f>ثانوى1!BD15</f>
        <v>0</v>
      </c>
      <c r="BE68" s="5">
        <f>ثانوى1!BE15</f>
        <v>0</v>
      </c>
      <c r="BF68" s="5">
        <f>ثانوى1!BF15</f>
        <v>0</v>
      </c>
      <c r="BG68" s="5">
        <f>ثانوى1!BG15</f>
        <v>0</v>
      </c>
      <c r="BH68" s="5">
        <f>ثانوى1!BH15</f>
        <v>0</v>
      </c>
      <c r="BI68" s="5">
        <f>ثانوى1!BI15</f>
        <v>848.62853000000007</v>
      </c>
      <c r="BJ68" s="5">
        <f>ثانوى1!BJ15</f>
        <v>4021.8544700000002</v>
      </c>
      <c r="BK68" s="5" t="str">
        <f>ثانوى1!BK15</f>
        <v>فتحى المغازى محمد</v>
      </c>
      <c r="BL68" s="5" t="str">
        <f>ثانوى1!BL15</f>
        <v>كبير</v>
      </c>
      <c r="BM68" s="5" t="str">
        <f>ثانوى1!BO15</f>
        <v>مدرس</v>
      </c>
      <c r="BN68" s="53">
        <f>ثانوى1!BP15</f>
        <v>0</v>
      </c>
      <c r="BO68" s="162">
        <f>ثانوى1!BQ15</f>
        <v>825</v>
      </c>
      <c r="BP68" s="162">
        <f>ثانوى1!BR15</f>
        <v>0</v>
      </c>
      <c r="BQ68" s="160">
        <f t="shared" si="29"/>
        <v>825</v>
      </c>
      <c r="BR68" s="162"/>
    </row>
    <row r="69" spans="2:78" ht="24" customHeight="1">
      <c r="B69" t="str">
        <f t="shared" si="30"/>
        <v>احمد فتحى امام</v>
      </c>
      <c r="C69" s="1">
        <f>ثانوى1!C16</f>
        <v>462.97</v>
      </c>
      <c r="D69" s="3">
        <v>50</v>
      </c>
      <c r="E69" s="4"/>
      <c r="F69" s="5">
        <f>ثانوى1!F16</f>
        <v>1557.14</v>
      </c>
      <c r="G69" s="5">
        <f>ثانوى1!G16</f>
        <v>43.01</v>
      </c>
      <c r="H69" s="5">
        <f>ثانوى1!H16</f>
        <v>46.297000000000004</v>
      </c>
      <c r="I69" s="5">
        <f>ثانوى1!I16</f>
        <v>115.74250000000001</v>
      </c>
      <c r="J69" s="5">
        <f>ثانوى1!J16</f>
        <v>115.74</v>
      </c>
      <c r="K69" s="5">
        <f>ثانوى1!K16</f>
        <v>231.48500000000001</v>
      </c>
      <c r="L69" s="5">
        <f>ثانوى1!L16</f>
        <v>810.19</v>
      </c>
      <c r="M69" s="5">
        <f>ثانوى1!M16</f>
        <v>0</v>
      </c>
      <c r="N69" s="28">
        <f>ثانوى1!N16</f>
        <v>325</v>
      </c>
      <c r="O69" s="28">
        <f>ثانوى1!O16</f>
        <v>150</v>
      </c>
      <c r="P69" s="28">
        <f>ثانوى1!P16</f>
        <v>300</v>
      </c>
      <c r="Q69" s="28">
        <f>ثانوى1!Q16</f>
        <v>350</v>
      </c>
      <c r="R69" s="28">
        <f>ثانوى1!R16</f>
        <v>0</v>
      </c>
      <c r="S69" s="28">
        <f>ثانوى1!S16</f>
        <v>165</v>
      </c>
      <c r="T69" s="28">
        <f>ثانوى1!T16</f>
        <v>145</v>
      </c>
      <c r="U69" s="28">
        <f>ثانوى1!U16</f>
        <v>140</v>
      </c>
      <c r="V69" s="28" t="str">
        <f>ثانوى1!V16</f>
        <v/>
      </c>
      <c r="W69" s="28">
        <f>ثانوى1!W16</f>
        <v>6</v>
      </c>
      <c r="X69" s="28">
        <f>ثانوى1!X16</f>
        <v>4</v>
      </c>
      <c r="Y69" s="5">
        <f>ثانوى1!Y16</f>
        <v>0</v>
      </c>
      <c r="Z69" s="5">
        <f>ثانوى1!Z16</f>
        <v>0</v>
      </c>
      <c r="AA69" s="5">
        <f>ثانوى1!AA16</f>
        <v>0</v>
      </c>
      <c r="AB69" s="5">
        <f>ثانوى1!AB16</f>
        <v>0</v>
      </c>
      <c r="AC69" s="5">
        <f>ثانوى1!AC16</f>
        <v>0</v>
      </c>
      <c r="AD69" s="5">
        <f>ثانوى1!AD16</f>
        <v>0</v>
      </c>
      <c r="AE69" s="5">
        <f>ثانوى1!AE16</f>
        <v>0</v>
      </c>
      <c r="AF69" s="5">
        <f>ثانوى1!AF16</f>
        <v>10</v>
      </c>
      <c r="AG69" s="5">
        <f>ثانوى1!AG16</f>
        <v>4514.6045000000004</v>
      </c>
      <c r="AH69" s="5">
        <f>ثانوى1!AH16</f>
        <v>0</v>
      </c>
      <c r="AI69" s="5">
        <f>ثانوى1!AI16</f>
        <v>405.41440500000004</v>
      </c>
      <c r="AJ69" s="5">
        <f>ثانوى1!AJ16</f>
        <v>0</v>
      </c>
      <c r="AK69" s="5">
        <f>ثانوى1!AK16</f>
        <v>45.046045000000007</v>
      </c>
      <c r="AL69" s="5">
        <f>ثانوى1!AL16</f>
        <v>45.046045000000007</v>
      </c>
      <c r="AM69" s="5">
        <f>ثانوى1!AM16</f>
        <v>9</v>
      </c>
      <c r="AN69" s="5">
        <f>ثانوى1!AN16</f>
        <v>2.8</v>
      </c>
      <c r="AO69" s="5">
        <f>ثانوى1!AO16</f>
        <v>0</v>
      </c>
      <c r="AP69" s="5">
        <f>ثانوى1!AP16</f>
        <v>90.2</v>
      </c>
      <c r="AQ69" s="5">
        <f>ثانوى1!AQ16</f>
        <v>27.5</v>
      </c>
      <c r="AR69" s="5">
        <f>ثانوى1!AR16</f>
        <v>0</v>
      </c>
      <c r="AS69" s="5">
        <f>ثانوى1!AS16</f>
        <v>2</v>
      </c>
      <c r="AT69" s="5">
        <f>ثانوى1!AT16</f>
        <v>4.5</v>
      </c>
      <c r="AU69" s="5">
        <f>ثانوى1!AU16</f>
        <v>2</v>
      </c>
      <c r="AV69" s="5">
        <f>ثانوى1!AV16</f>
        <v>0.25</v>
      </c>
      <c r="AW69" s="5">
        <f>ثانوى1!AW16</f>
        <v>3</v>
      </c>
      <c r="AX69" s="5">
        <f>ثانوى1!AX16</f>
        <v>0.5</v>
      </c>
      <c r="AY69" s="5">
        <f>ثانوى1!AY16</f>
        <v>108.99980000000002</v>
      </c>
      <c r="AZ69" s="5">
        <f>ثانوى1!AZ16</f>
        <v>0</v>
      </c>
      <c r="BA69" s="5">
        <f>ثانوى1!BA16</f>
        <v>0</v>
      </c>
      <c r="BB69" s="5">
        <f>ثانوى1!BB16</f>
        <v>0</v>
      </c>
      <c r="BC69" s="5">
        <f>ثانوى1!BC16</f>
        <v>0</v>
      </c>
      <c r="BD69" s="5">
        <f>ثانوى1!BD16</f>
        <v>0</v>
      </c>
      <c r="BE69" s="5">
        <f>ثانوى1!BE16</f>
        <v>0</v>
      </c>
      <c r="BF69" s="5">
        <f>ثانوى1!BF16</f>
        <v>0</v>
      </c>
      <c r="BG69" s="5">
        <f>ثانوى1!BG16</f>
        <v>0</v>
      </c>
      <c r="BH69" s="5">
        <f>ثانوى1!BH16</f>
        <v>0</v>
      </c>
      <c r="BI69" s="5">
        <f>ثانوى1!BI16</f>
        <v>746.25629500000014</v>
      </c>
      <c r="BJ69" s="5">
        <f>ثانوى1!BJ16</f>
        <v>3768.3482050000002</v>
      </c>
      <c r="BK69" s="5" t="str">
        <f>ثانوى1!BK16</f>
        <v>احمد فتحى امام</v>
      </c>
      <c r="BL69" s="5" t="str">
        <f>ثانوى1!BL16</f>
        <v>كبير</v>
      </c>
      <c r="BM69" s="5" t="str">
        <f>ثانوى1!BO16</f>
        <v>مدرس</v>
      </c>
      <c r="BN69" s="53">
        <f>ثانوى1!BP16</f>
        <v>0</v>
      </c>
      <c r="BO69" s="162">
        <f>ثانوى1!BQ16</f>
        <v>800</v>
      </c>
      <c r="BP69" s="162">
        <f>ثانوى1!BR16</f>
        <v>0</v>
      </c>
      <c r="BQ69" s="160">
        <f t="shared" si="29"/>
        <v>800</v>
      </c>
      <c r="BR69" s="162"/>
    </row>
    <row r="70" spans="2:78" ht="24" customHeight="1">
      <c r="B70" t="str">
        <f t="shared" si="30"/>
        <v>ابراهيم العرابى رزق</v>
      </c>
      <c r="C70" s="1">
        <f>ثانوى1!C17</f>
        <v>654.98</v>
      </c>
      <c r="D70" s="3">
        <v>51</v>
      </c>
      <c r="E70" s="4"/>
      <c r="F70" s="5">
        <f>ثانوى1!F17</f>
        <v>2026.93</v>
      </c>
      <c r="G70" s="5">
        <f>ثانوى1!G17</f>
        <v>61.59</v>
      </c>
      <c r="H70" s="5">
        <f>ثانوى1!H17</f>
        <v>65.498000000000005</v>
      </c>
      <c r="I70" s="5">
        <f>ثانوى1!I17</f>
        <v>163.745</v>
      </c>
      <c r="J70" s="5">
        <f>ثانوى1!J17</f>
        <v>163.75</v>
      </c>
      <c r="K70" s="5">
        <f>ثانوى1!K17</f>
        <v>327.49</v>
      </c>
      <c r="L70" s="5">
        <f>ثانوى1!L17</f>
        <v>1146.21</v>
      </c>
      <c r="M70" s="5">
        <f>ثانوى1!M17</f>
        <v>0</v>
      </c>
      <c r="N70" s="28">
        <f>ثانوى1!N17</f>
        <v>325</v>
      </c>
      <c r="O70" s="28">
        <f>ثانوى1!O17</f>
        <v>150</v>
      </c>
      <c r="P70" s="28">
        <f>ثانوى1!P17</f>
        <v>325</v>
      </c>
      <c r="Q70" s="28">
        <f>ثانوى1!Q17</f>
        <v>350</v>
      </c>
      <c r="R70" s="28">
        <f>ثانوى1!R17</f>
        <v>0</v>
      </c>
      <c r="S70" s="28">
        <f>ثانوى1!S17</f>
        <v>165</v>
      </c>
      <c r="T70" s="28">
        <f>ثانوى1!T17</f>
        <v>145</v>
      </c>
      <c r="U70" s="28">
        <f>ثانوى1!U17</f>
        <v>140</v>
      </c>
      <c r="V70" s="28" t="str">
        <f>ثانوى1!V17</f>
        <v/>
      </c>
      <c r="W70" s="28">
        <f>ثانوى1!W17</f>
        <v>6</v>
      </c>
      <c r="X70" s="28">
        <f>ثانوى1!X17</f>
        <v>4</v>
      </c>
      <c r="Y70" s="5">
        <f>ثانوى1!Y17</f>
        <v>0</v>
      </c>
      <c r="Z70" s="5">
        <f>ثانوى1!Z17</f>
        <v>0</v>
      </c>
      <c r="AA70" s="5">
        <f>ثانوى1!AA17</f>
        <v>0</v>
      </c>
      <c r="AB70" s="5">
        <f>ثانوى1!AB17</f>
        <v>0</v>
      </c>
      <c r="AC70" s="5">
        <f>ثانوى1!AC17</f>
        <v>0</v>
      </c>
      <c r="AD70" s="5">
        <f>ثانوى1!AD17</f>
        <v>0</v>
      </c>
      <c r="AE70" s="5">
        <f>ثانوى1!AE17</f>
        <v>0</v>
      </c>
      <c r="AF70" s="5">
        <f>ثانوى1!AF17</f>
        <v>10</v>
      </c>
      <c r="AG70" s="5">
        <f>ثانوى1!AG17</f>
        <v>5575.2129999999997</v>
      </c>
      <c r="AH70" s="5">
        <f>ثانوى1!AH17</f>
        <v>0</v>
      </c>
      <c r="AI70" s="5">
        <f>ثانوى1!AI17</f>
        <v>500.86916999999994</v>
      </c>
      <c r="AJ70" s="5">
        <f>ثانوى1!AJ17</f>
        <v>0</v>
      </c>
      <c r="AK70" s="5">
        <f>ثانوى1!AK17</f>
        <v>55.65213</v>
      </c>
      <c r="AL70" s="5">
        <f>ثانوى1!AL17</f>
        <v>55.65213</v>
      </c>
      <c r="AM70" s="5">
        <f>ثانوى1!AM17</f>
        <v>9</v>
      </c>
      <c r="AN70" s="5">
        <f>ثانوى1!AN17</f>
        <v>2.8</v>
      </c>
      <c r="AO70" s="5">
        <f>ثانوى1!AO17</f>
        <v>0</v>
      </c>
      <c r="AP70" s="5">
        <f>ثانوى1!AP17</f>
        <v>170</v>
      </c>
      <c r="AQ70" s="5">
        <f>ثانوى1!AQ17</f>
        <v>33.75</v>
      </c>
      <c r="AR70" s="5">
        <f>ثانوى1!AR17</f>
        <v>0</v>
      </c>
      <c r="AS70" s="5">
        <f>ثانوى1!AS17</f>
        <v>2.5</v>
      </c>
      <c r="AT70" s="5">
        <f>ثانوى1!AT17</f>
        <v>4.5</v>
      </c>
      <c r="AU70" s="5">
        <f>ثانوى1!AU17</f>
        <v>2</v>
      </c>
      <c r="AV70" s="5">
        <f>ثانوى1!AV17</f>
        <v>0.25</v>
      </c>
      <c r="AW70" s="5">
        <f>ثانوى1!AW17</f>
        <v>3</v>
      </c>
      <c r="AX70" s="5">
        <f>ثانوى1!AX17</f>
        <v>0.5</v>
      </c>
      <c r="AY70" s="5">
        <f>ثانوى1!AY17</f>
        <v>141.88510000000002</v>
      </c>
      <c r="AZ70" s="5">
        <f>ثانوى1!AZ17</f>
        <v>0</v>
      </c>
      <c r="BA70" s="5">
        <f>ثانوى1!BA17</f>
        <v>0</v>
      </c>
      <c r="BB70" s="5">
        <f>ثانوى1!BB17</f>
        <v>0</v>
      </c>
      <c r="BC70" s="5">
        <f>ثانوى1!BC17</f>
        <v>0</v>
      </c>
      <c r="BD70" s="5">
        <f>ثانوى1!BD17</f>
        <v>0</v>
      </c>
      <c r="BE70" s="5">
        <f>ثانوى1!BE17</f>
        <v>0</v>
      </c>
      <c r="BF70" s="5">
        <f>ثانوى1!BF17</f>
        <v>0</v>
      </c>
      <c r="BG70" s="5">
        <f>ثانوى1!BG17</f>
        <v>0</v>
      </c>
      <c r="BH70" s="5">
        <f>ثانوى1!BH17</f>
        <v>0</v>
      </c>
      <c r="BI70" s="5">
        <f>ثانوى1!BI17</f>
        <v>982.35852999999975</v>
      </c>
      <c r="BJ70" s="5">
        <f>ثانوى1!BJ17</f>
        <v>4592.8544700000002</v>
      </c>
      <c r="BK70" s="5" t="str">
        <f>ثانوى1!BK17</f>
        <v>ابراهيم العرابى رزق</v>
      </c>
      <c r="BL70" s="5" t="str">
        <f>ثانوى1!BL17</f>
        <v>كبير</v>
      </c>
      <c r="BM70" s="5" t="str">
        <f>ثانوى1!BO17</f>
        <v>مدرس</v>
      </c>
      <c r="BN70" s="53">
        <f>ثانوى1!BP17</f>
        <v>0</v>
      </c>
      <c r="BO70" s="162">
        <f>ثانوى1!BQ17</f>
        <v>825</v>
      </c>
      <c r="BP70" s="162">
        <f>ثانوى1!BR17</f>
        <v>0</v>
      </c>
      <c r="BQ70" s="160">
        <f t="shared" si="29"/>
        <v>825</v>
      </c>
      <c r="BR70" s="162"/>
    </row>
    <row r="71" spans="2:78" ht="24" customHeight="1">
      <c r="B71" t="str">
        <f t="shared" si="30"/>
        <v>محمد العرابى رزق</v>
      </c>
      <c r="C71" s="1">
        <f>ثانوى1!C18</f>
        <v>545.65</v>
      </c>
      <c r="D71" s="3">
        <v>52</v>
      </c>
      <c r="E71" s="4"/>
      <c r="F71" s="5">
        <f>ثانوى1!F18</f>
        <v>1762.31</v>
      </c>
      <c r="G71" s="5">
        <f>ثانوى1!G18</f>
        <v>51.39</v>
      </c>
      <c r="H71" s="5">
        <f>ثانوى1!H18</f>
        <v>54.564999999999998</v>
      </c>
      <c r="I71" s="5">
        <f>ثانوى1!I18</f>
        <v>136.41249999999999</v>
      </c>
      <c r="J71" s="5">
        <f>ثانوى1!J18</f>
        <v>136.41</v>
      </c>
      <c r="K71" s="5">
        <f>ثانوى1!K18</f>
        <v>272.82499999999999</v>
      </c>
      <c r="L71" s="5">
        <f>ثانوى1!L18</f>
        <v>954.87</v>
      </c>
      <c r="M71" s="5">
        <f>ثانوى1!M18</f>
        <v>0</v>
      </c>
      <c r="N71" s="28">
        <f>ثانوى1!N18</f>
        <v>325</v>
      </c>
      <c r="O71" s="28">
        <f>ثانوى1!O18</f>
        <v>150</v>
      </c>
      <c r="P71" s="28">
        <f>ثانوى1!P18</f>
        <v>325</v>
      </c>
      <c r="Q71" s="28">
        <f>ثانوى1!Q18</f>
        <v>350</v>
      </c>
      <c r="R71" s="28">
        <f>ثانوى1!R18</f>
        <v>0</v>
      </c>
      <c r="S71" s="28">
        <f>ثانوى1!S18</f>
        <v>165</v>
      </c>
      <c r="T71" s="28">
        <f>ثانوى1!T18</f>
        <v>145</v>
      </c>
      <c r="U71" s="28">
        <f>ثانوى1!U18</f>
        <v>140</v>
      </c>
      <c r="V71" s="28" t="str">
        <f>ثانوى1!V18</f>
        <v/>
      </c>
      <c r="W71" s="28">
        <f>ثانوى1!W18</f>
        <v>6</v>
      </c>
      <c r="X71" s="28">
        <f>ثانوى1!X18</f>
        <v>4</v>
      </c>
      <c r="Y71" s="5">
        <f>ثانوى1!Y18</f>
        <v>0</v>
      </c>
      <c r="Z71" s="5">
        <f>ثانوى1!Z18</f>
        <v>0</v>
      </c>
      <c r="AA71" s="5">
        <f>ثانوى1!AA18</f>
        <v>0</v>
      </c>
      <c r="AB71" s="5">
        <f>ثانوى1!AB18</f>
        <v>0</v>
      </c>
      <c r="AC71" s="5">
        <f>ثانوى1!AC18</f>
        <v>0</v>
      </c>
      <c r="AD71" s="5">
        <f>ثانوى1!AD18</f>
        <v>0</v>
      </c>
      <c r="AE71" s="5">
        <f>ثانوى1!AE18</f>
        <v>0</v>
      </c>
      <c r="AF71" s="5">
        <f>ثانوى1!AF18</f>
        <v>10</v>
      </c>
      <c r="AG71" s="5">
        <f>ثانوى1!AG18</f>
        <v>4988.7824999999993</v>
      </c>
      <c r="AH71" s="5">
        <f>ثانوى1!AH18</f>
        <v>0</v>
      </c>
      <c r="AI71" s="5">
        <f>ثانوى1!AI18</f>
        <v>448.09042499999993</v>
      </c>
      <c r="AJ71" s="5">
        <f>ثانوى1!AJ18</f>
        <v>0</v>
      </c>
      <c r="AK71" s="5">
        <f>ثانوى1!AK18</f>
        <v>49.787824999999998</v>
      </c>
      <c r="AL71" s="5">
        <f>ثانوى1!AL18</f>
        <v>49.787824999999998</v>
      </c>
      <c r="AM71" s="5">
        <f>ثانوى1!AM18</f>
        <v>9</v>
      </c>
      <c r="AN71" s="5">
        <f>ثانوى1!AN18</f>
        <v>2.8</v>
      </c>
      <c r="AO71" s="5">
        <f>ثانوى1!AO18</f>
        <v>0</v>
      </c>
      <c r="AP71" s="5">
        <f>ثانوى1!AP18</f>
        <v>139</v>
      </c>
      <c r="AQ71" s="5">
        <f>ثانوى1!AQ18</f>
        <v>30.55</v>
      </c>
      <c r="AR71" s="5">
        <f>ثانوى1!AR18</f>
        <v>0</v>
      </c>
      <c r="AS71" s="5">
        <f>ثانوى1!AS18</f>
        <v>2</v>
      </c>
      <c r="AT71" s="5">
        <f>ثانوى1!AT18</f>
        <v>4.5</v>
      </c>
      <c r="AU71" s="5">
        <f>ثانوى1!AU18</f>
        <v>2</v>
      </c>
      <c r="AV71" s="5">
        <f>ثانوى1!AV18</f>
        <v>0.25</v>
      </c>
      <c r="AW71" s="5">
        <f>ثانوى1!AW18</f>
        <v>3</v>
      </c>
      <c r="AX71" s="5">
        <f>ثانوى1!AX18</f>
        <v>0.5</v>
      </c>
      <c r="AY71" s="5">
        <f>ثانوى1!AY18</f>
        <v>123.36170000000001</v>
      </c>
      <c r="AZ71" s="5">
        <f>ثانوى1!AZ18</f>
        <v>0</v>
      </c>
      <c r="BA71" s="5">
        <f>ثانوى1!BA18</f>
        <v>0</v>
      </c>
      <c r="BB71" s="5">
        <f>ثانوى1!BB18</f>
        <v>0</v>
      </c>
      <c r="BC71" s="5">
        <f>ثانوى1!BC18</f>
        <v>0</v>
      </c>
      <c r="BD71" s="5">
        <f>ثانوى1!BD18</f>
        <v>0</v>
      </c>
      <c r="BE71" s="5">
        <f>ثانوى1!BE18</f>
        <v>0</v>
      </c>
      <c r="BF71" s="5">
        <f>ثانوى1!BF18</f>
        <v>0</v>
      </c>
      <c r="BG71" s="5">
        <f>ثانوى1!BG18</f>
        <v>0</v>
      </c>
      <c r="BH71" s="5">
        <f>ثانوى1!BH18</f>
        <v>0</v>
      </c>
      <c r="BI71" s="5">
        <f>ثانوى1!BI18</f>
        <v>864.62777499999982</v>
      </c>
      <c r="BJ71" s="5">
        <f>ثانوى1!BJ18</f>
        <v>4124.1547249999994</v>
      </c>
      <c r="BK71" s="5" t="str">
        <f>ثانوى1!BK18</f>
        <v>محمد العرابى رزق</v>
      </c>
      <c r="BL71" s="5" t="str">
        <f>ثانوى1!BL18</f>
        <v>كبير</v>
      </c>
      <c r="BM71" s="5" t="str">
        <f>ثانوى1!BO18</f>
        <v>مدرس</v>
      </c>
      <c r="BN71" s="53">
        <f>ثانوى1!BP18</f>
        <v>0</v>
      </c>
      <c r="BO71" s="162">
        <f>ثانوى1!BQ18</f>
        <v>825</v>
      </c>
      <c r="BP71" s="162">
        <f>ثانوى1!BR18</f>
        <v>0</v>
      </c>
      <c r="BQ71" s="160">
        <f t="shared" si="29"/>
        <v>825</v>
      </c>
      <c r="BR71" s="162"/>
    </row>
    <row r="72" spans="2:78" ht="24" customHeight="1">
      <c r="B72" t="str">
        <f t="shared" si="30"/>
        <v>حامد عبدالرحمن عاصى</v>
      </c>
      <c r="C72" s="1">
        <f>ثانوى1!C19</f>
        <v>526.62</v>
      </c>
      <c r="D72" s="3">
        <v>53</v>
      </c>
      <c r="E72" s="4"/>
      <c r="F72" s="5">
        <f>ثانوى1!F19</f>
        <v>1705.2</v>
      </c>
      <c r="G72" s="5">
        <f>ثانوى1!G19</f>
        <v>49.48</v>
      </c>
      <c r="H72" s="5">
        <f>ثانوى1!H19</f>
        <v>52.662000000000006</v>
      </c>
      <c r="I72" s="5">
        <f>ثانوى1!I19</f>
        <v>131.655</v>
      </c>
      <c r="J72" s="5">
        <f>ثانوى1!J19</f>
        <v>131.66</v>
      </c>
      <c r="K72" s="5">
        <f>ثانوى1!K19</f>
        <v>263.31</v>
      </c>
      <c r="L72" s="5">
        <f>ثانوى1!L19</f>
        <v>921.58</v>
      </c>
      <c r="M72" s="5">
        <f>ثانوى1!M19</f>
        <v>0</v>
      </c>
      <c r="N72" s="28">
        <f>ثانوى1!N19</f>
        <v>350</v>
      </c>
      <c r="O72" s="28">
        <f>ثانوى1!O19</f>
        <v>150</v>
      </c>
      <c r="P72" s="28">
        <f>ثانوى1!P19</f>
        <v>300</v>
      </c>
      <c r="Q72" s="28">
        <f>ثانوى1!Q19</f>
        <v>325</v>
      </c>
      <c r="R72" s="28">
        <f>ثانوى1!R19</f>
        <v>0</v>
      </c>
      <c r="S72" s="28">
        <f>ثانوى1!S19</f>
        <v>125</v>
      </c>
      <c r="T72" s="28">
        <f>ثانوى1!T19</f>
        <v>150</v>
      </c>
      <c r="U72" s="28">
        <f>ثانوى1!U19</f>
        <v>120</v>
      </c>
      <c r="V72" s="28" t="str">
        <f>ثانوى1!V19</f>
        <v/>
      </c>
      <c r="W72" s="28">
        <f>ثانوى1!W19</f>
        <v>6</v>
      </c>
      <c r="X72" s="28">
        <f>ثانوى1!X19</f>
        <v>4</v>
      </c>
      <c r="Y72" s="5">
        <f>ثانوى1!Y19</f>
        <v>0</v>
      </c>
      <c r="Z72" s="5">
        <f>ثانوى1!Z19</f>
        <v>0</v>
      </c>
      <c r="AA72" s="5">
        <f>ثانوى1!AA19</f>
        <v>0</v>
      </c>
      <c r="AB72" s="5">
        <f>ثانوى1!AB19</f>
        <v>0</v>
      </c>
      <c r="AC72" s="5">
        <f>ثانوى1!AC19</f>
        <v>0</v>
      </c>
      <c r="AD72" s="5">
        <f>ثانوى1!AD19</f>
        <v>0</v>
      </c>
      <c r="AE72" s="5">
        <f>ثانوى1!AE19</f>
        <v>0</v>
      </c>
      <c r="AF72" s="5">
        <f>ثانوى1!AF19</f>
        <v>10</v>
      </c>
      <c r="AG72" s="5">
        <f>ثانوى1!AG19</f>
        <v>4795.5470000000005</v>
      </c>
      <c r="AH72" s="5">
        <f>ثانوى1!AH19</f>
        <v>0</v>
      </c>
      <c r="AI72" s="5">
        <f>ثانوى1!AI19</f>
        <v>430.69923</v>
      </c>
      <c r="AJ72" s="5">
        <f>ثانوى1!AJ19</f>
        <v>0</v>
      </c>
      <c r="AK72" s="5">
        <f>ثانوى1!AK19</f>
        <v>47.855470000000004</v>
      </c>
      <c r="AL72" s="5">
        <f>ثانوى1!AL19</f>
        <v>47.855470000000004</v>
      </c>
      <c r="AM72" s="5">
        <f>ثانوى1!AM19</f>
        <v>7.9</v>
      </c>
      <c r="AN72" s="5">
        <f>ثانوى1!AN19</f>
        <v>2.4</v>
      </c>
      <c r="AO72" s="5">
        <f>ثانوى1!AO19</f>
        <v>0</v>
      </c>
      <c r="AP72" s="5">
        <f>ثانوى1!AP19</f>
        <v>129</v>
      </c>
      <c r="AQ72" s="5">
        <f>ثانوى1!AQ19</f>
        <v>29.1</v>
      </c>
      <c r="AR72" s="5">
        <f>ثانوى1!AR19</f>
        <v>0</v>
      </c>
      <c r="AS72" s="5">
        <f>ثانوى1!AS19</f>
        <v>2</v>
      </c>
      <c r="AT72" s="5">
        <f>ثانوى1!AT19</f>
        <v>4.5</v>
      </c>
      <c r="AU72" s="5">
        <f>ثانوى1!AU19</f>
        <v>2</v>
      </c>
      <c r="AV72" s="5">
        <f>ثانوى1!AV19</f>
        <v>0.25</v>
      </c>
      <c r="AW72" s="5">
        <f>ثانوى1!AW19</f>
        <v>3</v>
      </c>
      <c r="AX72" s="5">
        <f>ثانوى1!AX19</f>
        <v>0.5</v>
      </c>
      <c r="AY72" s="5">
        <f>ثانوى1!AY19</f>
        <v>119.36400000000002</v>
      </c>
      <c r="AZ72" s="5">
        <f>ثانوى1!AZ19</f>
        <v>0</v>
      </c>
      <c r="BA72" s="5">
        <f>ثانوى1!BA19</f>
        <v>0</v>
      </c>
      <c r="BB72" s="5">
        <f>ثانوى1!BB19</f>
        <v>0</v>
      </c>
      <c r="BC72" s="5">
        <f>ثانوى1!BC19</f>
        <v>0</v>
      </c>
      <c r="BD72" s="5">
        <f>ثانوى1!BD19</f>
        <v>0</v>
      </c>
      <c r="BE72" s="5">
        <f>ثانوى1!BE19</f>
        <v>0</v>
      </c>
      <c r="BF72" s="5">
        <f>ثانوى1!BF19</f>
        <v>0</v>
      </c>
      <c r="BG72" s="5">
        <f>ثانوى1!BG19</f>
        <v>0</v>
      </c>
      <c r="BH72" s="5">
        <f>ثانوى1!BH19</f>
        <v>0.02</v>
      </c>
      <c r="BI72" s="5">
        <f>ثانوى1!BI19</f>
        <v>826.44416999999999</v>
      </c>
      <c r="BJ72" s="5">
        <f>ثانوى1!BJ19</f>
        <v>3969.1028300000007</v>
      </c>
      <c r="BK72" s="5" t="str">
        <f>ثانوى1!BK19</f>
        <v>حامد عبدالرحمن عاصى</v>
      </c>
      <c r="BL72" s="5" t="str">
        <f>ثانوى1!BL19</f>
        <v>اولى</v>
      </c>
      <c r="BM72" s="5" t="str">
        <f>ثانوى1!BO19</f>
        <v>مدرس</v>
      </c>
      <c r="BN72" s="53">
        <f>ثانوى1!BP19</f>
        <v>0</v>
      </c>
      <c r="BO72" s="162">
        <f>ثانوى1!BQ19</f>
        <v>775</v>
      </c>
      <c r="BP72" s="162">
        <f>ثانوى1!BR19</f>
        <v>0</v>
      </c>
      <c r="BQ72" s="160">
        <f t="shared" si="29"/>
        <v>775</v>
      </c>
      <c r="BR72" s="162"/>
    </row>
    <row r="73" spans="2:78" ht="24" customHeight="1">
      <c r="B73" t="str">
        <f t="shared" si="30"/>
        <v>ممدوح احمد الغريب</v>
      </c>
      <c r="C73" s="1">
        <f>ثانوى1!C20</f>
        <v>592.20000000000005</v>
      </c>
      <c r="D73" s="3">
        <v>54</v>
      </c>
      <c r="E73" s="4"/>
      <c r="F73" s="5">
        <f>ثانوى1!F20</f>
        <v>1857.16</v>
      </c>
      <c r="G73" s="5">
        <f>ثانوى1!G20</f>
        <v>55.65</v>
      </c>
      <c r="H73" s="5">
        <f>ثانوى1!H20</f>
        <v>59.220000000000006</v>
      </c>
      <c r="I73" s="5">
        <f>ثانوى1!I20</f>
        <v>148.05000000000001</v>
      </c>
      <c r="J73" s="5">
        <f>ثانوى1!J20</f>
        <v>296.10000000000002</v>
      </c>
      <c r="K73" s="5">
        <f>ثانوى1!K20</f>
        <v>296.10000000000002</v>
      </c>
      <c r="L73" s="5">
        <f>ثانوى1!L20</f>
        <v>740.25</v>
      </c>
      <c r="M73" s="5">
        <f>ثانوى1!M20</f>
        <v>0</v>
      </c>
      <c r="N73" s="28">
        <f>ثانوى1!N20</f>
        <v>375</v>
      </c>
      <c r="O73" s="28">
        <f>ثانوى1!O20</f>
        <v>150</v>
      </c>
      <c r="P73" s="28">
        <f>ثانوى1!P20</f>
        <v>250</v>
      </c>
      <c r="Q73" s="28">
        <f>ثانوى1!Q20</f>
        <v>275</v>
      </c>
      <c r="R73" s="28">
        <f>ثانوى1!R20</f>
        <v>0</v>
      </c>
      <c r="S73" s="28">
        <f>ثانوى1!S20</f>
        <v>100</v>
      </c>
      <c r="T73" s="28">
        <f>ثانوى1!T20</f>
        <v>165</v>
      </c>
      <c r="U73" s="28">
        <f>ثانوى1!U20</f>
        <v>85</v>
      </c>
      <c r="V73" s="28" t="str">
        <f>ثانوى1!V20</f>
        <v/>
      </c>
      <c r="W73" s="28">
        <f>ثانوى1!W20</f>
        <v>6</v>
      </c>
      <c r="X73" s="28">
        <f>ثانوى1!X20</f>
        <v>4</v>
      </c>
      <c r="Y73" s="5">
        <f>ثانوى1!Y20</f>
        <v>0</v>
      </c>
      <c r="Z73" s="5">
        <f>ثانوى1!Z20</f>
        <v>0</v>
      </c>
      <c r="AA73" s="5">
        <f>ثانوى1!AA20</f>
        <v>0</v>
      </c>
      <c r="AB73" s="5">
        <f>ثانوى1!AB20</f>
        <v>0</v>
      </c>
      <c r="AC73" s="5">
        <f>ثانوى1!AC20</f>
        <v>0</v>
      </c>
      <c r="AD73" s="5">
        <f>ثانوى1!AD20</f>
        <v>0</v>
      </c>
      <c r="AE73" s="5">
        <f>ثانوى1!AE20</f>
        <v>0</v>
      </c>
      <c r="AF73" s="5">
        <f>ثانوى1!AF20</f>
        <v>10</v>
      </c>
      <c r="AG73" s="5">
        <f>ثانوى1!AG20</f>
        <v>4872.5300000000007</v>
      </c>
      <c r="AH73" s="5">
        <f>ثانوى1!AH20</f>
        <v>0</v>
      </c>
      <c r="AI73" s="5">
        <f>ثانوى1!AI20</f>
        <v>437.62770000000006</v>
      </c>
      <c r="AJ73" s="5">
        <f>ثانوى1!AJ20</f>
        <v>0</v>
      </c>
      <c r="AK73" s="5">
        <f>ثانوى1!AK20</f>
        <v>48.62530000000001</v>
      </c>
      <c r="AL73" s="5">
        <f>ثانوى1!AL20</f>
        <v>48.62530000000001</v>
      </c>
      <c r="AM73" s="5">
        <f>ثانوى1!AM20</f>
        <v>7</v>
      </c>
      <c r="AN73" s="5">
        <f>ثانوى1!AN20</f>
        <v>1.7</v>
      </c>
      <c r="AO73" s="5">
        <f>ثانوى1!AO20</f>
        <v>0</v>
      </c>
      <c r="AP73" s="5">
        <f>ثانوى1!AP20</f>
        <v>132</v>
      </c>
      <c r="AQ73" s="5">
        <f>ثانوى1!AQ20</f>
        <v>29.1</v>
      </c>
      <c r="AR73" s="5">
        <f>ثانوى1!AR20</f>
        <v>0</v>
      </c>
      <c r="AS73" s="5">
        <f>ثانوى1!AS20</f>
        <v>2</v>
      </c>
      <c r="AT73" s="5">
        <f>ثانوى1!AT20</f>
        <v>4.5</v>
      </c>
      <c r="AU73" s="5">
        <f>ثانوى1!AU20</f>
        <v>2</v>
      </c>
      <c r="AV73" s="5">
        <f>ثانوى1!AV20</f>
        <v>0.25</v>
      </c>
      <c r="AW73" s="5">
        <f>ثانوى1!AW20</f>
        <v>3</v>
      </c>
      <c r="AX73" s="5">
        <f>ثانوى1!AX20</f>
        <v>0.5</v>
      </c>
      <c r="AY73" s="5">
        <f>ثانوى1!AY20</f>
        <v>130.00120000000001</v>
      </c>
      <c r="AZ73" s="5">
        <f>ثانوى1!AZ20</f>
        <v>0</v>
      </c>
      <c r="BA73" s="5">
        <f>ثانوى1!BA20</f>
        <v>0</v>
      </c>
      <c r="BB73" s="5">
        <f>ثانوى1!BB20</f>
        <v>0</v>
      </c>
      <c r="BC73" s="5">
        <f>ثانوى1!BC20</f>
        <v>0</v>
      </c>
      <c r="BD73" s="5">
        <f>ثانوى1!BD20</f>
        <v>0</v>
      </c>
      <c r="BE73" s="5">
        <f>ثانوى1!BE20</f>
        <v>0</v>
      </c>
      <c r="BF73" s="5">
        <f>ثانوى1!BF20</f>
        <v>0</v>
      </c>
      <c r="BG73" s="5">
        <f>ثانوى1!BG20</f>
        <v>0</v>
      </c>
      <c r="BH73" s="5">
        <f>ثانوى1!BH20</f>
        <v>0</v>
      </c>
      <c r="BI73" s="5">
        <f>ثانوى1!BI20</f>
        <v>846.92950000000019</v>
      </c>
      <c r="BJ73" s="5">
        <f>ثانوى1!BJ20</f>
        <v>4025.6005000000005</v>
      </c>
      <c r="BK73" s="5" t="str">
        <f>ثانوى1!BK20</f>
        <v>ممدوح احمد الغريب</v>
      </c>
      <c r="BL73" s="5" t="str">
        <f>ثانوى1!BL20</f>
        <v>ثانيه</v>
      </c>
      <c r="BM73" s="5" t="str">
        <f>ثانوى1!BO20</f>
        <v>مدرس</v>
      </c>
      <c r="BN73" s="53">
        <f>ثانوى1!BP20</f>
        <v>0</v>
      </c>
      <c r="BO73" s="162">
        <f>ثانوى1!BQ20</f>
        <v>675</v>
      </c>
      <c r="BP73" s="162">
        <f>ثانوى1!BR20</f>
        <v>0</v>
      </c>
      <c r="BQ73" s="160">
        <f t="shared" si="29"/>
        <v>675</v>
      </c>
      <c r="BR73" s="162"/>
    </row>
    <row r="74" spans="2:78" ht="24" customHeight="1">
      <c r="B74" t="str">
        <f t="shared" si="30"/>
        <v>نبيله محمود ابراهيم</v>
      </c>
      <c r="C74" s="1">
        <f>ثانوى1!C21</f>
        <v>253</v>
      </c>
      <c r="D74" s="3">
        <v>55</v>
      </c>
      <c r="E74" s="4"/>
      <c r="F74" s="5">
        <f>ثانوى1!F21</f>
        <v>1076.9100000000001</v>
      </c>
      <c r="G74" s="5">
        <f>ثانوى1!G21</f>
        <v>24.42</v>
      </c>
      <c r="H74" s="5">
        <f>ثانوى1!H21</f>
        <v>25.3</v>
      </c>
      <c r="I74" s="5">
        <f>ثانوى1!I21</f>
        <v>63.25</v>
      </c>
      <c r="J74" s="5">
        <f>ثانوى1!J21</f>
        <v>126.5</v>
      </c>
      <c r="K74" s="5">
        <f>ثانوى1!K21</f>
        <v>126.5</v>
      </c>
      <c r="L74" s="5">
        <f>ثانوى1!L21</f>
        <v>316.25</v>
      </c>
      <c r="M74" s="5">
        <f>ثانوى1!M21</f>
        <v>0</v>
      </c>
      <c r="N74" s="28">
        <f>ثانوى1!N21</f>
        <v>375</v>
      </c>
      <c r="O74" s="28">
        <f>ثانوى1!O21</f>
        <v>150</v>
      </c>
      <c r="P74" s="28">
        <f>ثانوى1!P21</f>
        <v>200</v>
      </c>
      <c r="Q74" s="28">
        <f>ثانوى1!Q21</f>
        <v>275</v>
      </c>
      <c r="R74" s="28">
        <f>ثانوى1!R21</f>
        <v>137</v>
      </c>
      <c r="S74" s="28">
        <f>ثانوى1!S21</f>
        <v>100</v>
      </c>
      <c r="T74" s="28">
        <f>ثانوى1!T21</f>
        <v>165</v>
      </c>
      <c r="U74" s="28">
        <f>ثانوى1!U21</f>
        <v>85</v>
      </c>
      <c r="V74" s="28" t="str">
        <f>ثانوى1!V21</f>
        <v/>
      </c>
      <c r="W74" s="28">
        <f>ثانوى1!W21</f>
        <v>2</v>
      </c>
      <c r="X74" s="28">
        <f>ثانوى1!X21</f>
        <v>4</v>
      </c>
      <c r="Y74" s="5">
        <f>ثانوى1!Y21</f>
        <v>0</v>
      </c>
      <c r="Z74" s="5">
        <f>ثانوى1!Z21</f>
        <v>0</v>
      </c>
      <c r="AA74" s="5">
        <f>ثانوى1!AA21</f>
        <v>0</v>
      </c>
      <c r="AB74" s="5">
        <f>ثانوى1!AB21</f>
        <v>0</v>
      </c>
      <c r="AC74" s="5">
        <f>ثانوى1!AC21</f>
        <v>0</v>
      </c>
      <c r="AD74" s="5">
        <f>ثانوى1!AD21</f>
        <v>0</v>
      </c>
      <c r="AE74" s="5">
        <f>ثانوى1!AE21</f>
        <v>0</v>
      </c>
      <c r="AF74" s="5">
        <f>ثانوى1!AF21</f>
        <v>10</v>
      </c>
      <c r="AG74" s="5">
        <f>ثانوى1!AG21</f>
        <v>3262.13</v>
      </c>
      <c r="AH74" s="5">
        <f>ثانوى1!AH21</f>
        <v>0</v>
      </c>
      <c r="AI74" s="5">
        <f>ثانوى1!AI21</f>
        <v>292.69170000000003</v>
      </c>
      <c r="AJ74" s="5">
        <f>ثانوى1!AJ21</f>
        <v>0</v>
      </c>
      <c r="AK74" s="5">
        <f>ثانوى1!AK21</f>
        <v>32.521300000000004</v>
      </c>
      <c r="AL74" s="5">
        <f>ثانوى1!AL21</f>
        <v>32.521300000000004</v>
      </c>
      <c r="AM74" s="5">
        <f>ثانوى1!AM21</f>
        <v>7</v>
      </c>
      <c r="AN74" s="5">
        <f>ثانوى1!AN21</f>
        <v>1.7</v>
      </c>
      <c r="AO74" s="5">
        <f>ثانوى1!AO21</f>
        <v>0</v>
      </c>
      <c r="AP74" s="5">
        <f>ثانوى1!AP21</f>
        <v>25.7</v>
      </c>
      <c r="AQ74" s="5">
        <f>ثانوى1!AQ21</f>
        <v>20</v>
      </c>
      <c r="AR74" s="5">
        <f>ثانوى1!AR21</f>
        <v>0</v>
      </c>
      <c r="AS74" s="5">
        <f>ثانوى1!AS21</f>
        <v>1.5</v>
      </c>
      <c r="AT74" s="5">
        <f>ثانوى1!AT21</f>
        <v>4.5</v>
      </c>
      <c r="AU74" s="5">
        <f>ثانوى1!AU21</f>
        <v>2</v>
      </c>
      <c r="AV74" s="5">
        <f>ثانوى1!AV21</f>
        <v>0.25</v>
      </c>
      <c r="AW74" s="5">
        <f>ثانوى1!AW21</f>
        <v>3</v>
      </c>
      <c r="AX74" s="5">
        <f>ثانوى1!AX21</f>
        <v>0.5</v>
      </c>
      <c r="AY74" s="5">
        <f>ثانوى1!AY21</f>
        <v>75.383700000000019</v>
      </c>
      <c r="AZ74" s="5">
        <f>ثانوى1!AZ21</f>
        <v>0</v>
      </c>
      <c r="BA74" s="5">
        <f>ثانوى1!BA21</f>
        <v>0</v>
      </c>
      <c r="BB74" s="5">
        <f>ثانوى1!BB21</f>
        <v>0</v>
      </c>
      <c r="BC74" s="5">
        <f>ثانوى1!BC21</f>
        <v>0</v>
      </c>
      <c r="BD74" s="5">
        <f>ثانوى1!BD21</f>
        <v>0</v>
      </c>
      <c r="BE74" s="5">
        <f>ثانوى1!BE21</f>
        <v>0</v>
      </c>
      <c r="BF74" s="5">
        <f>ثانوى1!BF21</f>
        <v>0</v>
      </c>
      <c r="BG74" s="5">
        <f>ثانوى1!BG21</f>
        <v>0</v>
      </c>
      <c r="BH74" s="5">
        <f>ثانوى1!BH21</f>
        <v>0.01</v>
      </c>
      <c r="BI74" s="5">
        <f>ثانوى1!BI21</f>
        <v>499.27800000000002</v>
      </c>
      <c r="BJ74" s="5">
        <f>ثانوى1!BJ21</f>
        <v>2762.8519999999999</v>
      </c>
      <c r="BK74" s="5" t="str">
        <f>ثانوى1!BK21</f>
        <v>نبيله محمود ابراهيم</v>
      </c>
      <c r="BL74" s="5" t="str">
        <f>ثانوى1!BL21</f>
        <v>ثانيه</v>
      </c>
      <c r="BM74" s="5" t="str">
        <f>ثانوى1!BO21</f>
        <v>مدرس</v>
      </c>
      <c r="BN74" s="53">
        <f>ثانوى1!BP21</f>
        <v>0</v>
      </c>
      <c r="BO74" s="162">
        <f>ثانوى1!BQ21</f>
        <v>625</v>
      </c>
      <c r="BP74" s="162">
        <f>ثانوى1!BR21</f>
        <v>0</v>
      </c>
      <c r="BQ74" s="160">
        <f t="shared" si="29"/>
        <v>625</v>
      </c>
      <c r="BR74" s="162"/>
    </row>
    <row r="75" spans="2:78" ht="24" customHeight="1">
      <c r="B75" t="str">
        <f t="shared" si="30"/>
        <v>محمود مصطفى محمود</v>
      </c>
      <c r="C75" s="1">
        <f>ثانوى1!C22</f>
        <v>264</v>
      </c>
      <c r="D75" s="3">
        <v>56</v>
      </c>
      <c r="E75" s="4"/>
      <c r="F75" s="5">
        <f>ثانوى1!F22</f>
        <v>1141.53</v>
      </c>
      <c r="G75" s="5">
        <f>ثانوى1!G22</f>
        <v>24.92</v>
      </c>
      <c r="H75" s="5">
        <f>ثانوى1!H22</f>
        <v>26.400000000000002</v>
      </c>
      <c r="I75" s="5">
        <f>ثانوى1!I22</f>
        <v>66</v>
      </c>
      <c r="J75" s="5">
        <f>ثانوى1!J22</f>
        <v>132</v>
      </c>
      <c r="K75" s="5">
        <f>ثانوى1!K22</f>
        <v>132</v>
      </c>
      <c r="L75" s="5">
        <f>ثانوى1!L22</f>
        <v>330</v>
      </c>
      <c r="M75" s="5">
        <f>ثانوى1!M22</f>
        <v>0</v>
      </c>
      <c r="N75" s="28">
        <f>ثانوى1!N22</f>
        <v>375</v>
      </c>
      <c r="O75" s="28">
        <f>ثانوى1!O22</f>
        <v>150</v>
      </c>
      <c r="P75" s="28">
        <f>ثانوى1!P22</f>
        <v>250</v>
      </c>
      <c r="Q75" s="28">
        <f>ثانوى1!Q22</f>
        <v>275</v>
      </c>
      <c r="R75" s="28">
        <f>ثانوى1!R22</f>
        <v>338</v>
      </c>
      <c r="S75" s="28">
        <f>ثانوى1!S22</f>
        <v>100</v>
      </c>
      <c r="T75" s="28">
        <f>ثانوى1!T22</f>
        <v>165</v>
      </c>
      <c r="U75" s="28">
        <f>ثانوى1!U22</f>
        <v>85</v>
      </c>
      <c r="V75" s="28" t="str">
        <f>ثانوى1!V22</f>
        <v/>
      </c>
      <c r="W75" s="28">
        <f>ثانوى1!W22</f>
        <v>6</v>
      </c>
      <c r="X75" s="28">
        <f>ثانوى1!X22</f>
        <v>4</v>
      </c>
      <c r="Y75" s="5">
        <f>ثانوى1!Y22</f>
        <v>0</v>
      </c>
      <c r="Z75" s="5">
        <f>ثانوى1!Z22</f>
        <v>0</v>
      </c>
      <c r="AA75" s="5">
        <f>ثانوى1!AA22</f>
        <v>0</v>
      </c>
      <c r="AB75" s="5">
        <f>ثانوى1!AB22</f>
        <v>0</v>
      </c>
      <c r="AC75" s="5">
        <f>ثانوى1!AC22</f>
        <v>0</v>
      </c>
      <c r="AD75" s="5">
        <f>ثانوى1!AD22</f>
        <v>0</v>
      </c>
      <c r="AE75" s="5">
        <f>ثانوى1!AE22</f>
        <v>0</v>
      </c>
      <c r="AF75" s="5">
        <f>ثانوى1!AF22</f>
        <v>10</v>
      </c>
      <c r="AG75" s="5">
        <f>ثانوى1!AG22</f>
        <v>3610.8500000000004</v>
      </c>
      <c r="AH75" s="5">
        <f>ثانوى1!AH22</f>
        <v>0</v>
      </c>
      <c r="AI75" s="5">
        <f>ثانوى1!AI22</f>
        <v>324.07650000000001</v>
      </c>
      <c r="AJ75" s="5">
        <f>ثانوى1!AJ22</f>
        <v>0</v>
      </c>
      <c r="AK75" s="5">
        <f>ثانوى1!AK22</f>
        <v>36.008500000000005</v>
      </c>
      <c r="AL75" s="5">
        <f>ثانوى1!AL22</f>
        <v>36.008500000000005</v>
      </c>
      <c r="AM75" s="5">
        <f>ثانوى1!AM22</f>
        <v>7</v>
      </c>
      <c r="AN75" s="5">
        <f>ثانوى1!AN22</f>
        <v>1.7</v>
      </c>
      <c r="AO75" s="5">
        <f>ثانوى1!AO22</f>
        <v>0</v>
      </c>
      <c r="AP75" s="5">
        <f>ثانوى1!AP22</f>
        <v>35.4</v>
      </c>
      <c r="AQ75" s="5">
        <f>ثانوى1!AQ22</f>
        <v>22.35</v>
      </c>
      <c r="AR75" s="5">
        <f>ثانوى1!AR22</f>
        <v>0</v>
      </c>
      <c r="AS75" s="5">
        <f>ثانوى1!AS22</f>
        <v>1.5</v>
      </c>
      <c r="AT75" s="5">
        <f>ثانوى1!AT22</f>
        <v>4.5</v>
      </c>
      <c r="AU75" s="5">
        <f>ثانوى1!AU22</f>
        <v>2</v>
      </c>
      <c r="AV75" s="5">
        <f>ثانوى1!AV22</f>
        <v>0.25</v>
      </c>
      <c r="AW75" s="5">
        <f>ثانوى1!AW22</f>
        <v>3</v>
      </c>
      <c r="AX75" s="5">
        <f>ثانوى1!AX22</f>
        <v>0.5</v>
      </c>
      <c r="AY75" s="5">
        <f>ثانوى1!AY22</f>
        <v>79.9071</v>
      </c>
      <c r="AZ75" s="5">
        <f>ثانوى1!AZ22</f>
        <v>0</v>
      </c>
      <c r="BA75" s="5">
        <f>ثانوى1!BA22</f>
        <v>0</v>
      </c>
      <c r="BB75" s="5">
        <f>ثانوى1!BB22</f>
        <v>0</v>
      </c>
      <c r="BC75" s="5">
        <f>ثانوى1!BC22</f>
        <v>0</v>
      </c>
      <c r="BD75" s="5">
        <f>ثانوى1!BD22</f>
        <v>0</v>
      </c>
      <c r="BE75" s="5">
        <f>ثانوى1!BE22</f>
        <v>0</v>
      </c>
      <c r="BF75" s="5">
        <f>ثانوى1!BF22</f>
        <v>0</v>
      </c>
      <c r="BG75" s="5">
        <f>ثانوى1!BG22</f>
        <v>0</v>
      </c>
      <c r="BH75" s="5">
        <f>ثانوى1!BH22</f>
        <v>0</v>
      </c>
      <c r="BI75" s="5">
        <f>ثانوى1!BI22</f>
        <v>554.20060000000001</v>
      </c>
      <c r="BJ75" s="5">
        <f>ثانوى1!BJ22</f>
        <v>3056.6494000000002</v>
      </c>
      <c r="BK75" s="5" t="str">
        <f>ثانوى1!BK22</f>
        <v>محمود مصطفى محمود</v>
      </c>
      <c r="BL75" s="5" t="str">
        <f>ثانوى1!BL22</f>
        <v>ثانيه</v>
      </c>
      <c r="BM75" s="5" t="str">
        <f>ثانوى1!BO22</f>
        <v>مدرس</v>
      </c>
      <c r="BN75" s="53">
        <f>ثانوى1!BP22</f>
        <v>0</v>
      </c>
      <c r="BO75" s="162">
        <f>ثانوى1!BQ22</f>
        <v>675</v>
      </c>
      <c r="BP75" s="162">
        <f>ثانوى1!BR22</f>
        <v>0</v>
      </c>
      <c r="BQ75" s="160">
        <f t="shared" si="29"/>
        <v>675</v>
      </c>
      <c r="BR75" s="162"/>
    </row>
    <row r="76" spans="2:78" ht="24" customHeight="1">
      <c r="B76" t="str">
        <f t="shared" si="30"/>
        <v>لبنى عبدالرحمن يوسف</v>
      </c>
      <c r="C76" s="1">
        <f>ثانوى1!C23</f>
        <v>246</v>
      </c>
      <c r="D76" s="3">
        <v>57</v>
      </c>
      <c r="E76" s="9"/>
      <c r="F76" s="5">
        <f>ثانوى1!F23</f>
        <v>1025.8599999999999</v>
      </c>
      <c r="G76" s="5">
        <f>ثانوى1!G23</f>
        <v>4.8</v>
      </c>
      <c r="H76" s="5">
        <f>ثانوى1!H23</f>
        <v>4.8</v>
      </c>
      <c r="I76" s="5">
        <f>ثانوى1!I23</f>
        <v>61.5</v>
      </c>
      <c r="J76" s="5">
        <f>ثانوى1!J23</f>
        <v>184.5</v>
      </c>
      <c r="K76" s="5">
        <f>ثانوى1!K23</f>
        <v>123</v>
      </c>
      <c r="L76" s="5">
        <f>ثانوى1!L23</f>
        <v>246</v>
      </c>
      <c r="M76" s="5">
        <f>ثانوى1!M23</f>
        <v>0</v>
      </c>
      <c r="N76" s="28">
        <f>ثانوى1!N23</f>
        <v>400</v>
      </c>
      <c r="O76" s="28">
        <f>ثانوى1!O23</f>
        <v>150</v>
      </c>
      <c r="P76" s="28">
        <f>ثانوى1!P23</f>
        <v>200</v>
      </c>
      <c r="Q76" s="28">
        <f>ثانوى1!Q23</f>
        <v>225</v>
      </c>
      <c r="R76" s="28">
        <f>ثانوى1!R23</f>
        <v>248</v>
      </c>
      <c r="S76" s="28">
        <f>ثانوى1!S23</f>
        <v>75</v>
      </c>
      <c r="T76" s="28">
        <f>ثانوى1!T23</f>
        <v>185</v>
      </c>
      <c r="U76" s="28">
        <f>ثانوى1!U23</f>
        <v>65</v>
      </c>
      <c r="V76" s="28" t="str">
        <f>ثانوى1!V23</f>
        <v/>
      </c>
      <c r="W76" s="28">
        <f>ثانوى1!W23</f>
        <v>2</v>
      </c>
      <c r="X76" s="28">
        <f>ثانوى1!X23</f>
        <v>4</v>
      </c>
      <c r="Y76" s="5">
        <f>ثانوى1!Y23</f>
        <v>0</v>
      </c>
      <c r="Z76" s="5">
        <f>ثانوى1!Z23</f>
        <v>0</v>
      </c>
      <c r="AA76" s="5">
        <f>ثانوى1!AA23</f>
        <v>0</v>
      </c>
      <c r="AB76" s="5">
        <f>ثانوى1!AB23</f>
        <v>0</v>
      </c>
      <c r="AC76" s="5">
        <f>ثانوى1!AC23</f>
        <v>0</v>
      </c>
      <c r="AD76" s="5">
        <f>ثانوى1!AD23</f>
        <v>0</v>
      </c>
      <c r="AE76" s="5">
        <f>ثانوى1!AE23</f>
        <v>0</v>
      </c>
      <c r="AF76" s="5">
        <f>ثانوى1!AF23</f>
        <v>10</v>
      </c>
      <c r="AG76" s="5">
        <f>ثانوى1!AG23</f>
        <v>3214.46</v>
      </c>
      <c r="AH76" s="5">
        <f>ثانوى1!AH23</f>
        <v>0</v>
      </c>
      <c r="AI76" s="5">
        <f>ثانوى1!AI23</f>
        <v>288.40139999999997</v>
      </c>
      <c r="AJ76" s="5">
        <f>ثانوى1!AJ23</f>
        <v>0</v>
      </c>
      <c r="AK76" s="5">
        <f>ثانوى1!AK23</f>
        <v>32.044600000000003</v>
      </c>
      <c r="AL76" s="5">
        <f>ثانوى1!AL23</f>
        <v>32.044600000000003</v>
      </c>
      <c r="AM76" s="5">
        <f>ثانوى1!AM23</f>
        <v>6.5</v>
      </c>
      <c r="AN76" s="5">
        <f>ثانوى1!AN23</f>
        <v>1.3</v>
      </c>
      <c r="AO76" s="5">
        <f>ثانوى1!AO23</f>
        <v>0</v>
      </c>
      <c r="AP76" s="5">
        <f>ثانوى1!AP23</f>
        <v>24.4</v>
      </c>
      <c r="AQ76" s="5">
        <f>ثانوى1!AQ23</f>
        <v>19.8</v>
      </c>
      <c r="AR76" s="5">
        <f>ثانوى1!AR23</f>
        <v>0</v>
      </c>
      <c r="AS76" s="5">
        <f>ثانوى1!AS23</f>
        <v>1.5</v>
      </c>
      <c r="AT76" s="5">
        <f>ثانوى1!AT23</f>
        <v>4.5</v>
      </c>
      <c r="AU76" s="5">
        <f>ثانوى1!AU23</f>
        <v>2</v>
      </c>
      <c r="AV76" s="5">
        <f>ثانوى1!AV23</f>
        <v>0.25</v>
      </c>
      <c r="AW76" s="5">
        <f>ثانوى1!AW23</f>
        <v>3</v>
      </c>
      <c r="AX76" s="5">
        <f>ثانوى1!AX23</f>
        <v>0.5</v>
      </c>
      <c r="AY76" s="5">
        <f>ثانوى1!AY23</f>
        <v>71.810199999999995</v>
      </c>
      <c r="AZ76" s="5">
        <f>ثانوى1!AZ23</f>
        <v>0</v>
      </c>
      <c r="BA76" s="5">
        <f>ثانوى1!BA23</f>
        <v>0</v>
      </c>
      <c r="BB76" s="5">
        <f>ثانوى1!BB23</f>
        <v>0</v>
      </c>
      <c r="BC76" s="5">
        <f>ثانوى1!BC23</f>
        <v>0</v>
      </c>
      <c r="BD76" s="5">
        <f>ثانوى1!BD23</f>
        <v>0</v>
      </c>
      <c r="BE76" s="5">
        <f>ثانوى1!BE23</f>
        <v>0</v>
      </c>
      <c r="BF76" s="5">
        <f>ثانوى1!BF23</f>
        <v>0</v>
      </c>
      <c r="BG76" s="5">
        <f>ثانوى1!BG23</f>
        <v>0</v>
      </c>
      <c r="BH76" s="5">
        <f>ثانوى1!BH23</f>
        <v>0.01</v>
      </c>
      <c r="BI76" s="5">
        <f>ثانوى1!BI23</f>
        <v>488.06079999999997</v>
      </c>
      <c r="BJ76" s="5">
        <f>ثانوى1!BJ23</f>
        <v>2726.3991999999998</v>
      </c>
      <c r="BK76" s="5" t="str">
        <f>ثانوى1!BK23</f>
        <v>لبنى عبدالرحمن يوسف</v>
      </c>
      <c r="BL76" s="5" t="str">
        <f>ثانوى1!BL23</f>
        <v>ثالثه</v>
      </c>
      <c r="BM76" s="5" t="str">
        <f>ثانوى1!BO23</f>
        <v>مدرس</v>
      </c>
      <c r="BN76" s="53">
        <f>ثانوى1!BP23</f>
        <v>0</v>
      </c>
      <c r="BO76" s="162">
        <f>ثانوى1!BQ23</f>
        <v>575</v>
      </c>
      <c r="BP76" s="162">
        <f>ثانوى1!BR23</f>
        <v>0</v>
      </c>
      <c r="BQ76" s="160">
        <f t="shared" si="29"/>
        <v>575</v>
      </c>
      <c r="BR76" s="162"/>
    </row>
    <row r="77" spans="2:78" ht="24" customHeight="1">
      <c r="B77" t="str">
        <f t="shared" si="30"/>
        <v>نجلاء جلال محمود</v>
      </c>
      <c r="C77" s="1">
        <f>ثانوى1!C24</f>
        <v>246</v>
      </c>
      <c r="D77" s="3">
        <v>58</v>
      </c>
      <c r="E77" s="9"/>
      <c r="F77" s="5">
        <f>ثانوى1!F24</f>
        <v>1025.8599999999999</v>
      </c>
      <c r="G77" s="5">
        <f>ثانوى1!G24</f>
        <v>4.8</v>
      </c>
      <c r="H77" s="5">
        <f>ثانوى1!H24</f>
        <v>4.8</v>
      </c>
      <c r="I77" s="5">
        <f>ثانوى1!I24</f>
        <v>61.5</v>
      </c>
      <c r="J77" s="5">
        <f>ثانوى1!J24</f>
        <v>184.5</v>
      </c>
      <c r="K77" s="5">
        <f>ثانوى1!K24</f>
        <v>123</v>
      </c>
      <c r="L77" s="5">
        <f>ثانوى1!L24</f>
        <v>246</v>
      </c>
      <c r="M77" s="5">
        <f>ثانوى1!M24</f>
        <v>0</v>
      </c>
      <c r="N77" s="28">
        <f>ثانوى1!N24</f>
        <v>400</v>
      </c>
      <c r="O77" s="28">
        <f>ثانوى1!O24</f>
        <v>150</v>
      </c>
      <c r="P77" s="28">
        <f>ثانوى1!P24</f>
        <v>200</v>
      </c>
      <c r="Q77" s="28">
        <f>ثانوى1!Q24</f>
        <v>225</v>
      </c>
      <c r="R77" s="28">
        <f>ثانوى1!R24</f>
        <v>248</v>
      </c>
      <c r="S77" s="28">
        <f>ثانوى1!S24</f>
        <v>75</v>
      </c>
      <c r="T77" s="28">
        <f>ثانوى1!T24</f>
        <v>185</v>
      </c>
      <c r="U77" s="28">
        <f>ثانوى1!U24</f>
        <v>65</v>
      </c>
      <c r="V77" s="28" t="str">
        <f>ثانوى1!V24</f>
        <v/>
      </c>
      <c r="W77" s="28">
        <f>ثانوى1!W24</f>
        <v>2</v>
      </c>
      <c r="X77" s="28">
        <f>ثانوى1!X24</f>
        <v>4</v>
      </c>
      <c r="Y77" s="5">
        <f>ثانوى1!Y24</f>
        <v>0</v>
      </c>
      <c r="Z77" s="5">
        <f>ثانوى1!Z24</f>
        <v>0</v>
      </c>
      <c r="AA77" s="5">
        <f>ثانوى1!AA24</f>
        <v>0</v>
      </c>
      <c r="AB77" s="5">
        <f>ثانوى1!AB24</f>
        <v>0</v>
      </c>
      <c r="AC77" s="5">
        <f>ثانوى1!AC24</f>
        <v>0</v>
      </c>
      <c r="AD77" s="5">
        <f>ثانوى1!AD24</f>
        <v>0</v>
      </c>
      <c r="AE77" s="5">
        <f>ثانوى1!AE24</f>
        <v>0</v>
      </c>
      <c r="AF77" s="5">
        <f>ثانوى1!AF24</f>
        <v>10</v>
      </c>
      <c r="AG77" s="5">
        <f>ثانوى1!AG24</f>
        <v>3214.46</v>
      </c>
      <c r="AH77" s="5">
        <f>ثانوى1!AH24</f>
        <v>0</v>
      </c>
      <c r="AI77" s="5">
        <f>ثانوى1!AI24</f>
        <v>288.40139999999997</v>
      </c>
      <c r="AJ77" s="5">
        <f>ثانوى1!AJ24</f>
        <v>0</v>
      </c>
      <c r="AK77" s="5">
        <f>ثانوى1!AK24</f>
        <v>32.044600000000003</v>
      </c>
      <c r="AL77" s="5">
        <f>ثانوى1!AL24</f>
        <v>32.044600000000003</v>
      </c>
      <c r="AM77" s="5">
        <f>ثانوى1!AM24</f>
        <v>6.5</v>
      </c>
      <c r="AN77" s="5">
        <f>ثانوى1!AN24</f>
        <v>1.3</v>
      </c>
      <c r="AO77" s="5">
        <f>ثانوى1!AO24</f>
        <v>0</v>
      </c>
      <c r="AP77" s="5">
        <f>ثانوى1!AP24</f>
        <v>24.4</v>
      </c>
      <c r="AQ77" s="5">
        <f>ثانوى1!AQ24</f>
        <v>19.8</v>
      </c>
      <c r="AR77" s="5">
        <f>ثانوى1!AR24</f>
        <v>0</v>
      </c>
      <c r="AS77" s="5">
        <f>ثانوى1!AS24</f>
        <v>1.5</v>
      </c>
      <c r="AT77" s="5">
        <f>ثانوى1!AT24</f>
        <v>4.5</v>
      </c>
      <c r="AU77" s="5">
        <f>ثانوى1!AU24</f>
        <v>2</v>
      </c>
      <c r="AV77" s="5">
        <f>ثانوى1!AV24</f>
        <v>0.25</v>
      </c>
      <c r="AW77" s="5">
        <f>ثانوى1!AW24</f>
        <v>3</v>
      </c>
      <c r="AX77" s="5">
        <f>ثانوى1!AX24</f>
        <v>0.5</v>
      </c>
      <c r="AY77" s="5">
        <f>ثانوى1!AY24</f>
        <v>71.810199999999995</v>
      </c>
      <c r="AZ77" s="5">
        <f>ثانوى1!AZ24</f>
        <v>0</v>
      </c>
      <c r="BA77" s="5">
        <f>ثانوى1!BA24</f>
        <v>0</v>
      </c>
      <c r="BB77" s="5">
        <f>ثانوى1!BB24</f>
        <v>0</v>
      </c>
      <c r="BC77" s="5">
        <f>ثانوى1!BC24</f>
        <v>0</v>
      </c>
      <c r="BD77" s="5">
        <f>ثانوى1!BD24</f>
        <v>0</v>
      </c>
      <c r="BE77" s="5">
        <f>ثانوى1!BE24</f>
        <v>0</v>
      </c>
      <c r="BF77" s="5">
        <f>ثانوى1!BF24</f>
        <v>0</v>
      </c>
      <c r="BG77" s="5">
        <f>ثانوى1!BG24</f>
        <v>0</v>
      </c>
      <c r="BH77" s="5">
        <f>ثانوى1!BH24</f>
        <v>0.01</v>
      </c>
      <c r="BI77" s="5">
        <f>ثانوى1!BI24</f>
        <v>488.06079999999997</v>
      </c>
      <c r="BJ77" s="5">
        <f>ثانوى1!BJ24</f>
        <v>2726.3991999999998</v>
      </c>
      <c r="BK77" s="5" t="str">
        <f>ثانوى1!BK24</f>
        <v>نجلاء جلال محمود</v>
      </c>
      <c r="BL77" s="5" t="str">
        <f>ثانوى1!BL24</f>
        <v>ثالثه</v>
      </c>
      <c r="BM77" s="5" t="str">
        <f>ثانوى1!BO24</f>
        <v>مدرس</v>
      </c>
      <c r="BN77" s="53">
        <f>ثانوى1!BP24</f>
        <v>0</v>
      </c>
      <c r="BO77" s="162">
        <f>ثانوى1!BQ24</f>
        <v>575</v>
      </c>
      <c r="BP77" s="162">
        <f>ثانوى1!BR24</f>
        <v>0</v>
      </c>
      <c r="BQ77" s="160">
        <f t="shared" si="29"/>
        <v>575</v>
      </c>
      <c r="BR77" s="162"/>
    </row>
    <row r="78" spans="2:78" ht="24" customHeight="1">
      <c r="B78" t="str">
        <f t="shared" si="30"/>
        <v>ام الخير المغازى محمد</v>
      </c>
      <c r="C78" s="1">
        <f>ثانوى1!C25</f>
        <v>262</v>
      </c>
      <c r="D78" s="3">
        <v>59</v>
      </c>
      <c r="E78" s="9"/>
      <c r="F78" s="5">
        <f>ثانوى1!F25</f>
        <v>1161.6199999999999</v>
      </c>
      <c r="G78" s="5">
        <f>ثانوى1!G25</f>
        <v>25.32</v>
      </c>
      <c r="H78" s="5">
        <f>ثانوى1!H25</f>
        <v>26.200000000000003</v>
      </c>
      <c r="I78" s="5">
        <f>ثانوى1!I25</f>
        <v>65.5</v>
      </c>
      <c r="J78" s="5">
        <f>ثانوى1!J25</f>
        <v>131</v>
      </c>
      <c r="K78" s="5">
        <f>ثانوى1!K25</f>
        <v>131</v>
      </c>
      <c r="L78" s="5">
        <f>ثانوى1!L25</f>
        <v>327.5</v>
      </c>
      <c r="M78" s="5">
        <f>ثانوى1!M25</f>
        <v>0</v>
      </c>
      <c r="N78" s="28">
        <f>ثانوى1!N25</f>
        <v>375</v>
      </c>
      <c r="O78" s="28">
        <f>ثانوى1!O25</f>
        <v>150</v>
      </c>
      <c r="P78" s="28">
        <f>ثانوى1!P25</f>
        <v>250</v>
      </c>
      <c r="Q78" s="28">
        <f>ثانوى1!Q25</f>
        <v>275</v>
      </c>
      <c r="R78" s="28">
        <f>ثانوى1!R25</f>
        <v>336</v>
      </c>
      <c r="S78" s="28">
        <f>ثانوى1!S25</f>
        <v>100</v>
      </c>
      <c r="T78" s="28">
        <f>ثانوى1!T25</f>
        <v>165</v>
      </c>
      <c r="U78" s="28">
        <f>ثانوى1!U25</f>
        <v>85</v>
      </c>
      <c r="V78" s="28" t="str">
        <f>ثانوى1!V25</f>
        <v/>
      </c>
      <c r="W78" s="28">
        <f>ثانوى1!W25</f>
        <v>2</v>
      </c>
      <c r="X78" s="28">
        <f>ثانوى1!X25</f>
        <v>4</v>
      </c>
      <c r="Y78" s="5">
        <f>ثانوى1!Y25</f>
        <v>0</v>
      </c>
      <c r="Z78" s="5">
        <f>ثانوى1!Z25</f>
        <v>0</v>
      </c>
      <c r="AA78" s="5">
        <f>ثانوى1!AA25</f>
        <v>0</v>
      </c>
      <c r="AB78" s="5">
        <f>ثانوى1!AB25</f>
        <v>0</v>
      </c>
      <c r="AC78" s="5">
        <f>ثانوى1!AC25</f>
        <v>0</v>
      </c>
      <c r="AD78" s="5">
        <f>ثانوى1!AD25</f>
        <v>0</v>
      </c>
      <c r="AE78" s="5">
        <f>ثانوى1!AE25</f>
        <v>0</v>
      </c>
      <c r="AF78" s="5">
        <f>ثانوى1!AF25</f>
        <v>10</v>
      </c>
      <c r="AG78" s="5">
        <f>ثانوى1!AG25</f>
        <v>3620.14</v>
      </c>
      <c r="AH78" s="5">
        <f>ثانوى1!AH25</f>
        <v>0</v>
      </c>
      <c r="AI78" s="5">
        <f>ثانوى1!AI25</f>
        <v>324.9126</v>
      </c>
      <c r="AJ78" s="5">
        <f>ثانوى1!AJ25</f>
        <v>0</v>
      </c>
      <c r="AK78" s="5">
        <f>ثانوى1!AK25</f>
        <v>36.101399999999998</v>
      </c>
      <c r="AL78" s="5">
        <f>ثانوى1!AL25</f>
        <v>36.101399999999998</v>
      </c>
      <c r="AM78" s="5">
        <f>ثانوى1!AM25</f>
        <v>7</v>
      </c>
      <c r="AN78" s="5">
        <f>ثانوى1!AN25</f>
        <v>1.7</v>
      </c>
      <c r="AO78" s="5">
        <f>ثانوى1!AO25</f>
        <v>0</v>
      </c>
      <c r="AP78" s="5">
        <f>ثانوى1!AP25</f>
        <v>35.799999999999997</v>
      </c>
      <c r="AQ78" s="5">
        <f>ثانوى1!AQ25</f>
        <v>22.35</v>
      </c>
      <c r="AR78" s="5">
        <f>ثانوى1!AR25</f>
        <v>0</v>
      </c>
      <c r="AS78" s="5">
        <f>ثانوى1!AS25</f>
        <v>1.5</v>
      </c>
      <c r="AT78" s="5">
        <f>ثانوى1!AT25</f>
        <v>4.5</v>
      </c>
      <c r="AU78" s="5">
        <f>ثانوى1!AU25</f>
        <v>2</v>
      </c>
      <c r="AV78" s="5">
        <f>ثانوى1!AV25</f>
        <v>0.25</v>
      </c>
      <c r="AW78" s="5">
        <f>ثانوى1!AW25</f>
        <v>3</v>
      </c>
      <c r="AX78" s="5">
        <f>ثانوى1!AX25</f>
        <v>0.5</v>
      </c>
      <c r="AY78" s="5">
        <f>ثانوى1!AY25</f>
        <v>81.313400000000001</v>
      </c>
      <c r="AZ78" s="5">
        <f>ثانوى1!AZ25</f>
        <v>0</v>
      </c>
      <c r="BA78" s="5">
        <f>ثانوى1!BA25</f>
        <v>0</v>
      </c>
      <c r="BB78" s="5">
        <f>ثانوى1!BB25</f>
        <v>0</v>
      </c>
      <c r="BC78" s="5">
        <f>ثانوى1!BC25</f>
        <v>0</v>
      </c>
      <c r="BD78" s="5">
        <f>ثانوى1!BD25</f>
        <v>0</v>
      </c>
      <c r="BE78" s="5">
        <f>ثانوى1!BE25</f>
        <v>0</v>
      </c>
      <c r="BF78" s="5">
        <f>ثانوى1!BF25</f>
        <v>0</v>
      </c>
      <c r="BG78" s="5">
        <f>ثانوى1!BG25</f>
        <v>0</v>
      </c>
      <c r="BH78" s="5">
        <f>ثانوى1!BH25</f>
        <v>0.01</v>
      </c>
      <c r="BI78" s="5">
        <f>ثانوى1!BI25</f>
        <v>557.03880000000004</v>
      </c>
      <c r="BJ78" s="5">
        <f>ثانوى1!BJ25</f>
        <v>3063.1012000000001</v>
      </c>
      <c r="BK78" s="5" t="str">
        <f>ثانوى1!BK25</f>
        <v>ام الخير المغازى محمد</v>
      </c>
      <c r="BL78" s="5" t="str">
        <f>ثانوى1!BL25</f>
        <v>ثانيه</v>
      </c>
      <c r="BM78" s="5" t="str">
        <f>ثانوى1!BO25</f>
        <v>مدرس</v>
      </c>
      <c r="BN78" s="53">
        <f>ثانوى1!BP25</f>
        <v>0</v>
      </c>
      <c r="BO78" s="162">
        <f>ثانوى1!BQ25</f>
        <v>675</v>
      </c>
      <c r="BP78" s="162">
        <f>ثانوى1!BR25</f>
        <v>0</v>
      </c>
      <c r="BQ78" s="160">
        <f t="shared" si="29"/>
        <v>675</v>
      </c>
      <c r="BR78" s="162"/>
    </row>
    <row r="79" spans="2:78" ht="24" customHeight="1">
      <c r="B79" t="str">
        <f>BK79</f>
        <v>السعيد عبدالنبى السيد</v>
      </c>
      <c r="C79" s="1">
        <f>بنك!C10</f>
        <v>579.83000000000004</v>
      </c>
      <c r="D79" s="3">
        <v>60</v>
      </c>
      <c r="E79" s="4"/>
      <c r="F79" s="5">
        <f>بنك!F10</f>
        <v>1830.2</v>
      </c>
      <c r="G79" s="5">
        <f>بنك!G10</f>
        <v>53.9</v>
      </c>
      <c r="H79" s="5">
        <f>بنك!H10</f>
        <v>57.983000000000004</v>
      </c>
      <c r="I79" s="5">
        <f>بنك!I10</f>
        <v>144.95750000000001</v>
      </c>
      <c r="J79" s="5">
        <f>بنك!J10</f>
        <v>144.96</v>
      </c>
      <c r="K79" s="5">
        <f>بنك!K10</f>
        <v>289.91500000000002</v>
      </c>
      <c r="L79" s="5">
        <f>بنك!L10</f>
        <v>1159.6400000000001</v>
      </c>
      <c r="M79" s="5">
        <f>بنك!M10</f>
        <v>0</v>
      </c>
      <c r="N79" s="28">
        <f>بنك!N10</f>
        <v>300</v>
      </c>
      <c r="O79" s="28">
        <f>بنك!O10</f>
        <v>150</v>
      </c>
      <c r="P79" s="28">
        <f>بنك!P10</f>
        <v>325</v>
      </c>
      <c r="Q79" s="28">
        <f>بنك!Q10</f>
        <v>375</v>
      </c>
      <c r="R79" s="28">
        <f>بنك!R10</f>
        <v>0</v>
      </c>
      <c r="S79" s="28">
        <f>بنك!S10</f>
        <v>180</v>
      </c>
      <c r="T79" s="28">
        <f>بنك!T10</f>
        <v>140</v>
      </c>
      <c r="U79" s="28">
        <f>بنك!U10</f>
        <v>155</v>
      </c>
      <c r="V79" s="28" t="str">
        <f>بنك!V10</f>
        <v/>
      </c>
      <c r="W79" s="28">
        <f>بنك!W10</f>
        <v>6</v>
      </c>
      <c r="X79" s="28">
        <f>بنك!X10</f>
        <v>4</v>
      </c>
      <c r="Y79" s="5">
        <f>بنك!Y10</f>
        <v>0</v>
      </c>
      <c r="Z79" s="5">
        <f>بنك!Z10</f>
        <v>0</v>
      </c>
      <c r="AA79" s="5">
        <f>بنك!AA10</f>
        <v>0</v>
      </c>
      <c r="AB79" s="5">
        <f>بنك!AB10</f>
        <v>0</v>
      </c>
      <c r="AC79" s="5">
        <f>بنك!AC10</f>
        <v>0</v>
      </c>
      <c r="AD79" s="5">
        <f>بنك!AD10</f>
        <v>0</v>
      </c>
      <c r="AE79" s="5">
        <f>بنك!AE10</f>
        <v>0</v>
      </c>
      <c r="AF79" s="5">
        <f>بنك!AF10</f>
        <v>10</v>
      </c>
      <c r="AG79" s="5">
        <f>بنك!AG10</f>
        <v>5326.5555000000004</v>
      </c>
      <c r="AH79" s="5">
        <f>بنك!AH10</f>
        <v>0</v>
      </c>
      <c r="AI79" s="5">
        <f>بنك!AI10</f>
        <v>478.48999500000002</v>
      </c>
      <c r="AJ79" s="5">
        <f>بنك!AJ10</f>
        <v>0</v>
      </c>
      <c r="AK79" s="5">
        <f>بنك!AK10</f>
        <v>53.165555000000005</v>
      </c>
      <c r="AL79" s="5">
        <f>بنك!AL10</f>
        <v>53.165555000000005</v>
      </c>
      <c r="AM79" s="5">
        <f>بنك!AM10</f>
        <v>9.5</v>
      </c>
      <c r="AN79" s="5">
        <f>بنك!AN10</f>
        <v>3.1</v>
      </c>
      <c r="AO79" s="5">
        <f>بنك!AO10</f>
        <v>0</v>
      </c>
      <c r="AP79" s="5">
        <f>بنك!AP10</f>
        <v>157</v>
      </c>
      <c r="AQ79" s="5">
        <f>بنك!AQ10</f>
        <v>32.6</v>
      </c>
      <c r="AR79" s="5">
        <f>بنك!AR10</f>
        <v>0</v>
      </c>
      <c r="AS79" s="5">
        <f>بنك!AS10</f>
        <v>2</v>
      </c>
      <c r="AT79" s="5">
        <f>بنك!AT10</f>
        <v>4.5</v>
      </c>
      <c r="AU79" s="5">
        <f>بنك!AU10</f>
        <v>2</v>
      </c>
      <c r="AV79" s="5">
        <f>بنك!AV10</f>
        <v>0.25</v>
      </c>
      <c r="AW79" s="5">
        <f>بنك!AW10</f>
        <v>3</v>
      </c>
      <c r="AX79" s="5">
        <f>بنك!AX10</f>
        <v>0.5</v>
      </c>
      <c r="AY79" s="5">
        <f>بنك!AY10</f>
        <v>128.114</v>
      </c>
      <c r="AZ79" s="5">
        <f>بنك!AZ10</f>
        <v>0</v>
      </c>
      <c r="BA79" s="5">
        <f>بنك!BA10</f>
        <v>0</v>
      </c>
      <c r="BB79" s="5">
        <f>بنك!BB10</f>
        <v>0</v>
      </c>
      <c r="BC79" s="5">
        <f>بنك!BC10</f>
        <v>0</v>
      </c>
      <c r="BD79" s="5">
        <f>بنك!BD10</f>
        <v>0</v>
      </c>
      <c r="BE79" s="5">
        <f>بنك!BE10</f>
        <v>0</v>
      </c>
      <c r="BF79" s="5">
        <f>بنك!BF10</f>
        <v>0</v>
      </c>
      <c r="BG79" s="5">
        <f>بنك!BG10</f>
        <v>0</v>
      </c>
      <c r="BH79" s="5">
        <f>بنك!BH10</f>
        <v>0.02</v>
      </c>
      <c r="BI79" s="5">
        <f>بنك!BI10</f>
        <v>927.40510500000016</v>
      </c>
      <c r="BJ79" s="5">
        <f>بنك!BJ10</f>
        <v>4399.1503950000006</v>
      </c>
      <c r="BK79" s="5" t="str">
        <f>بنك!BK10</f>
        <v>السعيد عبدالنبى السيد</v>
      </c>
      <c r="BL79" s="5" t="str">
        <f>بنك!BL10</f>
        <v>كبير ا</v>
      </c>
      <c r="BM79" s="5" t="str">
        <f>بنك!BM10</f>
        <v>ناصر بشبيش</v>
      </c>
      <c r="BN79" s="53" t="str">
        <f>بنك!BO10</f>
        <v>مدرس</v>
      </c>
      <c r="BO79" s="162">
        <f>بنك!BP10</f>
        <v>0</v>
      </c>
      <c r="BP79" s="162">
        <f>بنك!BQ10</f>
        <v>0</v>
      </c>
      <c r="BQ79" s="160">
        <f t="shared" si="29"/>
        <v>850</v>
      </c>
      <c r="BR79" s="162"/>
      <c r="BS79" s="162" t="str">
        <f>بنك!BT10</f>
        <v>كبير ا</v>
      </c>
      <c r="BT79" s="162">
        <f>بنك!BU10</f>
        <v>0</v>
      </c>
      <c r="BW79" t="s">
        <v>273</v>
      </c>
      <c r="BZ79">
        <v>4399.1499999999996</v>
      </c>
    </row>
    <row r="80" spans="2:78" ht="24" customHeight="1">
      <c r="B80" t="str">
        <f t="shared" ref="B80:B93" si="31">BK80</f>
        <v>فاطمه جابر عباس</v>
      </c>
      <c r="C80" s="1">
        <f>بنك!C11</f>
        <v>690.85</v>
      </c>
      <c r="D80" s="3">
        <v>61</v>
      </c>
      <c r="E80" s="4"/>
      <c r="F80" s="5">
        <f>بنك!F11</f>
        <v>2117.86</v>
      </c>
      <c r="G80" s="5">
        <f>بنك!G11</f>
        <v>64.92</v>
      </c>
      <c r="H80" s="5">
        <f>بنك!H11</f>
        <v>69.085000000000008</v>
      </c>
      <c r="I80" s="5">
        <f>بنك!I11</f>
        <v>172.71250000000001</v>
      </c>
      <c r="J80" s="5">
        <f>بنك!J11</f>
        <v>172.71</v>
      </c>
      <c r="K80" s="5">
        <f>بنك!K11</f>
        <v>345.42500000000001</v>
      </c>
      <c r="L80" s="5">
        <f>بنك!L11</f>
        <v>1381.68</v>
      </c>
      <c r="M80" s="5">
        <f>بنك!M11</f>
        <v>0</v>
      </c>
      <c r="N80" s="28">
        <f>بنك!N11</f>
        <v>300</v>
      </c>
      <c r="O80" s="28">
        <f>بنك!O11</f>
        <v>150</v>
      </c>
      <c r="P80" s="28">
        <f>بنك!P11</f>
        <v>350</v>
      </c>
      <c r="Q80" s="28">
        <f>بنك!Q11</f>
        <v>375</v>
      </c>
      <c r="R80" s="28">
        <f>بنك!R11</f>
        <v>0</v>
      </c>
      <c r="S80" s="28">
        <f>بنك!S11</f>
        <v>180</v>
      </c>
      <c r="T80" s="28">
        <f>بنك!T11</f>
        <v>140</v>
      </c>
      <c r="U80" s="28">
        <f>بنك!U11</f>
        <v>155</v>
      </c>
      <c r="V80" s="28" t="str">
        <f>بنك!V11</f>
        <v/>
      </c>
      <c r="W80" s="28">
        <f>بنك!W11</f>
        <v>2</v>
      </c>
      <c r="X80" s="28">
        <f>بنك!X11</f>
        <v>4</v>
      </c>
      <c r="Y80" s="5">
        <f>بنك!Y11</f>
        <v>0</v>
      </c>
      <c r="Z80" s="5">
        <f>بنك!Z11</f>
        <v>0</v>
      </c>
      <c r="AA80" s="5">
        <f>بنك!AA11</f>
        <v>0</v>
      </c>
      <c r="AB80" s="5">
        <f>بنك!AB11</f>
        <v>0</v>
      </c>
      <c r="AC80" s="5">
        <f>بنك!AC11</f>
        <v>0</v>
      </c>
      <c r="AD80" s="5">
        <f>بنك!AD11</f>
        <v>0</v>
      </c>
      <c r="AE80" s="5">
        <f>بنك!AE11</f>
        <v>0</v>
      </c>
      <c r="AF80" s="5">
        <f>بنك!AF11</f>
        <v>10</v>
      </c>
      <c r="AG80" s="5">
        <f>بنك!AG11</f>
        <v>5990.3925000000008</v>
      </c>
      <c r="AH80" s="5">
        <f>بنك!AH11</f>
        <v>0</v>
      </c>
      <c r="AI80" s="5">
        <f>بنك!AI11</f>
        <v>538.2353250000001</v>
      </c>
      <c r="AJ80" s="5">
        <f>بنك!AJ11</f>
        <v>0</v>
      </c>
      <c r="AK80" s="5">
        <f>بنك!AK11</f>
        <v>59.803925000000007</v>
      </c>
      <c r="AL80" s="5">
        <f>بنك!AL11</f>
        <v>59.803925000000007</v>
      </c>
      <c r="AM80" s="5">
        <f>بنك!AM11</f>
        <v>9.5</v>
      </c>
      <c r="AN80" s="5">
        <f>بنك!AN11</f>
        <v>3.1</v>
      </c>
      <c r="AO80" s="5">
        <f>بنك!AO11</f>
        <v>6.07</v>
      </c>
      <c r="AP80" s="5">
        <f>بنك!AP11</f>
        <v>191.3</v>
      </c>
      <c r="AQ80" s="5">
        <f>بنك!AQ11</f>
        <v>36.5</v>
      </c>
      <c r="AR80" s="5">
        <f>بنك!AR11</f>
        <v>0</v>
      </c>
      <c r="AS80" s="5">
        <f>بنك!AS11</f>
        <v>2.5</v>
      </c>
      <c r="AT80" s="5">
        <f>بنك!AT11</f>
        <v>4.5</v>
      </c>
      <c r="AU80" s="5">
        <f>بنك!AU11</f>
        <v>2</v>
      </c>
      <c r="AV80" s="5">
        <f>بنك!AV11</f>
        <v>0.25</v>
      </c>
      <c r="AW80" s="5">
        <f>بنك!AW11</f>
        <v>3</v>
      </c>
      <c r="AX80" s="5">
        <f>بنك!AX11</f>
        <v>0.5</v>
      </c>
      <c r="AY80" s="5">
        <f>بنك!AY11</f>
        <v>148.25020000000004</v>
      </c>
      <c r="AZ80" s="5">
        <f>بنك!AZ11</f>
        <v>0</v>
      </c>
      <c r="BA80" s="5">
        <f>بنك!BA11</f>
        <v>0</v>
      </c>
      <c r="BB80" s="5">
        <f>بنك!BB11</f>
        <v>0</v>
      </c>
      <c r="BC80" s="5">
        <f>بنك!BC11</f>
        <v>0</v>
      </c>
      <c r="BD80" s="5">
        <f>بنك!BD11</f>
        <v>0</v>
      </c>
      <c r="BE80" s="5">
        <f>بنك!BE11</f>
        <v>0</v>
      </c>
      <c r="BF80" s="5">
        <f>بنك!BF11</f>
        <v>0</v>
      </c>
      <c r="BG80" s="5">
        <f>بنك!BG11</f>
        <v>0</v>
      </c>
      <c r="BH80" s="5">
        <f>بنك!BH11</f>
        <v>0.03</v>
      </c>
      <c r="BI80" s="5">
        <f>بنك!BI11</f>
        <v>1065.3433750000002</v>
      </c>
      <c r="BJ80" s="5">
        <f>بنك!BJ11</f>
        <v>4925.0491250000005</v>
      </c>
      <c r="BK80" s="5" t="str">
        <f>بنك!BK11</f>
        <v>فاطمه جابر عباس</v>
      </c>
      <c r="BL80" s="5" t="str">
        <f>بنك!BL11</f>
        <v>كبير ا</v>
      </c>
      <c r="BM80" s="5" t="str">
        <f>بنك!BM11</f>
        <v>القاهرة المحلة</v>
      </c>
      <c r="BN80" s="53" t="str">
        <f>بنك!BO11</f>
        <v>مدرس</v>
      </c>
      <c r="BO80" s="162">
        <f>بنك!BP11</f>
        <v>0</v>
      </c>
      <c r="BP80" s="162">
        <f>بنك!BQ11</f>
        <v>0</v>
      </c>
      <c r="BQ80" s="160">
        <f t="shared" si="29"/>
        <v>875</v>
      </c>
      <c r="BR80" s="162"/>
      <c r="BS80" s="162" t="str">
        <f>بنك!BT11</f>
        <v>كبير</v>
      </c>
      <c r="BT80" s="162">
        <f>بنك!BU11</f>
        <v>0</v>
      </c>
      <c r="BW80" t="s">
        <v>274</v>
      </c>
      <c r="BZ80">
        <v>3892.75</v>
      </c>
    </row>
    <row r="81" spans="1:78" ht="24" customHeight="1">
      <c r="B81" t="str">
        <f t="shared" si="31"/>
        <v>رجاء صلاح محمد</v>
      </c>
      <c r="C81" s="1">
        <f>بنك!C12</f>
        <v>486.69</v>
      </c>
      <c r="D81" s="3">
        <v>62</v>
      </c>
      <c r="E81" s="4"/>
      <c r="F81" s="5">
        <f>بنك!F12</f>
        <v>1612.06</v>
      </c>
      <c r="G81" s="5">
        <f>بنك!G12</f>
        <v>45.76</v>
      </c>
      <c r="H81" s="5">
        <f>بنك!H12</f>
        <v>48.669000000000004</v>
      </c>
      <c r="I81" s="5">
        <f>بنك!I12</f>
        <v>121.6725</v>
      </c>
      <c r="J81" s="5">
        <f>بنك!J12</f>
        <v>121.67</v>
      </c>
      <c r="K81" s="5">
        <f>بنك!K12</f>
        <v>243.345</v>
      </c>
      <c r="L81" s="5">
        <f>بنك!L12</f>
        <v>851.7</v>
      </c>
      <c r="M81" s="5">
        <f>بنك!M12</f>
        <v>0</v>
      </c>
      <c r="N81" s="28">
        <f>بنك!N12</f>
        <v>325</v>
      </c>
      <c r="O81" s="28">
        <f>بنك!O12</f>
        <v>150</v>
      </c>
      <c r="P81" s="28">
        <f>بنك!P12</f>
        <v>325</v>
      </c>
      <c r="Q81" s="28">
        <f>بنك!Q12</f>
        <v>350</v>
      </c>
      <c r="R81" s="28">
        <f>بنك!R12</f>
        <v>0</v>
      </c>
      <c r="S81" s="28">
        <f>بنك!S12</f>
        <v>165</v>
      </c>
      <c r="T81" s="28">
        <f>بنك!T12</f>
        <v>145</v>
      </c>
      <c r="U81" s="28">
        <f>بنك!U12</f>
        <v>140</v>
      </c>
      <c r="V81" s="28" t="str">
        <f>بنك!V12</f>
        <v/>
      </c>
      <c r="W81" s="28">
        <f>بنك!W12</f>
        <v>2</v>
      </c>
      <c r="X81" s="28">
        <f>بنك!X12</f>
        <v>4</v>
      </c>
      <c r="Y81" s="5">
        <f>بنك!Y12</f>
        <v>121.67</v>
      </c>
      <c r="Z81" s="5">
        <f>بنك!Z12</f>
        <v>0</v>
      </c>
      <c r="AA81" s="5">
        <f>بنك!AA12</f>
        <v>0</v>
      </c>
      <c r="AB81" s="5">
        <f>بنك!AB12</f>
        <v>0</v>
      </c>
      <c r="AC81" s="5">
        <f>بنك!AC12</f>
        <v>0</v>
      </c>
      <c r="AD81" s="5">
        <f>بنك!AD12</f>
        <v>0</v>
      </c>
      <c r="AE81" s="5">
        <f>بنك!AE12</f>
        <v>0</v>
      </c>
      <c r="AF81" s="5">
        <f>بنك!AF12</f>
        <v>10</v>
      </c>
      <c r="AG81" s="5">
        <f>بنك!AG12</f>
        <v>4782.5465000000004</v>
      </c>
      <c r="AH81" s="5">
        <f>بنك!AH12</f>
        <v>0</v>
      </c>
      <c r="AI81" s="5">
        <f>بنك!AI12</f>
        <v>429.52918500000004</v>
      </c>
      <c r="AJ81" s="5">
        <f>بنك!AJ12</f>
        <v>0</v>
      </c>
      <c r="AK81" s="5">
        <f>بنك!AK12</f>
        <v>47.725465000000007</v>
      </c>
      <c r="AL81" s="5">
        <f>بنك!AL12</f>
        <v>47.725465000000007</v>
      </c>
      <c r="AM81" s="5">
        <f>بنك!AM12</f>
        <v>9</v>
      </c>
      <c r="AN81" s="5">
        <f>بنك!AN12</f>
        <v>2.8</v>
      </c>
      <c r="AO81" s="5">
        <f>بنك!AO12</f>
        <v>0</v>
      </c>
      <c r="AP81" s="5">
        <f>بنك!AP12</f>
        <v>129</v>
      </c>
      <c r="AQ81" s="5">
        <f>بنك!AQ12</f>
        <v>29.4</v>
      </c>
      <c r="AR81" s="5">
        <f>بنك!AR12</f>
        <v>0</v>
      </c>
      <c r="AS81" s="5">
        <f>بنك!AS12</f>
        <v>2</v>
      </c>
      <c r="AT81" s="5">
        <f>بنك!AT12</f>
        <v>4.5</v>
      </c>
      <c r="AU81" s="5">
        <f>بنك!AU12</f>
        <v>2</v>
      </c>
      <c r="AV81" s="5">
        <f>بنك!AV12</f>
        <v>0.25</v>
      </c>
      <c r="AW81" s="5">
        <f>بنك!AW12</f>
        <v>3</v>
      </c>
      <c r="AX81" s="5">
        <f>بنك!AX12</f>
        <v>0.5</v>
      </c>
      <c r="AY81" s="5">
        <f>بنك!AY12</f>
        <v>112.8442</v>
      </c>
      <c r="AZ81" s="5">
        <f>بنك!AZ12</f>
        <v>0</v>
      </c>
      <c r="BA81" s="5">
        <f>بنك!BA12</f>
        <v>0</v>
      </c>
      <c r="BB81" s="5">
        <f>بنك!BB12</f>
        <v>0</v>
      </c>
      <c r="BC81" s="5">
        <f>بنك!BC12</f>
        <v>0</v>
      </c>
      <c r="BD81" s="5">
        <f>بنك!BD12</f>
        <v>0</v>
      </c>
      <c r="BE81" s="5">
        <f>بنك!BE12</f>
        <v>0</v>
      </c>
      <c r="BF81" s="5">
        <f>بنك!BF12</f>
        <v>0</v>
      </c>
      <c r="BG81" s="5">
        <f>بنك!BG12</f>
        <v>0</v>
      </c>
      <c r="BH81" s="5">
        <f>بنك!BH12</f>
        <v>0.02</v>
      </c>
      <c r="BI81" s="5">
        <f>بنك!BI12</f>
        <v>820.29431499999998</v>
      </c>
      <c r="BJ81" s="5">
        <f>بنك!BJ12</f>
        <v>3962.2521850000003</v>
      </c>
      <c r="BK81" s="5" t="str">
        <f>بنك!BK12</f>
        <v>رجاء صلاح محمد</v>
      </c>
      <c r="BL81" s="5" t="str">
        <f>بنك!BL12</f>
        <v>كبير</v>
      </c>
      <c r="BM81" s="5" t="str">
        <f>بنك!BM12</f>
        <v>الاسكندرية - نبروه</v>
      </c>
      <c r="BN81" s="53" t="str">
        <f>بنك!BO12</f>
        <v>مدرس</v>
      </c>
      <c r="BO81" s="162">
        <f>بنك!BP12</f>
        <v>0</v>
      </c>
      <c r="BP81" s="162">
        <f>بنك!BQ12</f>
        <v>0</v>
      </c>
      <c r="BQ81" s="160">
        <f t="shared" si="29"/>
        <v>825</v>
      </c>
      <c r="BR81" s="162"/>
      <c r="BS81" s="162" t="str">
        <f>بنك!BT12</f>
        <v>اولى</v>
      </c>
      <c r="BT81" s="162">
        <f>بنك!BU12</f>
        <v>0</v>
      </c>
      <c r="BW81" t="s">
        <v>275</v>
      </c>
      <c r="BZ81">
        <v>3069.1</v>
      </c>
    </row>
    <row r="82" spans="1:78" ht="24" customHeight="1">
      <c r="B82" t="str">
        <f t="shared" si="31"/>
        <v>السيد بدير السيد</v>
      </c>
      <c r="C82" s="1">
        <f>بنك!C13</f>
        <v>487.09</v>
      </c>
      <c r="D82" s="3">
        <v>63</v>
      </c>
      <c r="E82" s="4"/>
      <c r="F82" s="5">
        <f>بنك!F13</f>
        <v>1612.98</v>
      </c>
      <c r="G82" s="5">
        <f>بنك!G13</f>
        <v>45.8</v>
      </c>
      <c r="H82" s="5">
        <f>بنك!H13</f>
        <v>48.709000000000003</v>
      </c>
      <c r="I82" s="5">
        <f>بنك!I13</f>
        <v>121.77249999999999</v>
      </c>
      <c r="J82" s="5">
        <f>بنك!J13</f>
        <v>121.77</v>
      </c>
      <c r="K82" s="5">
        <f>بنك!K13</f>
        <v>243.54499999999999</v>
      </c>
      <c r="L82" s="5">
        <f>بنك!L13</f>
        <v>852.4</v>
      </c>
      <c r="M82" s="5">
        <f>بنك!M13</f>
        <v>0</v>
      </c>
      <c r="N82" s="28">
        <f>بنك!N13</f>
        <v>325</v>
      </c>
      <c r="O82" s="28">
        <f>بنك!O13</f>
        <v>150</v>
      </c>
      <c r="P82" s="28">
        <f>بنك!P13</f>
        <v>325</v>
      </c>
      <c r="Q82" s="28">
        <f>بنك!Q13</f>
        <v>350</v>
      </c>
      <c r="R82" s="28">
        <f>بنك!R13</f>
        <v>0</v>
      </c>
      <c r="S82" s="28">
        <f>بنك!S13</f>
        <v>165</v>
      </c>
      <c r="T82" s="28">
        <f>بنك!T13</f>
        <v>145</v>
      </c>
      <c r="U82" s="28">
        <f>بنك!U13</f>
        <v>140</v>
      </c>
      <c r="V82" s="28" t="str">
        <f>بنك!V13</f>
        <v/>
      </c>
      <c r="W82" s="28">
        <f>بنك!W13</f>
        <v>6</v>
      </c>
      <c r="X82" s="28">
        <f>بنك!X13</f>
        <v>4</v>
      </c>
      <c r="Y82" s="5">
        <f>بنك!Y13</f>
        <v>0</v>
      </c>
      <c r="Z82" s="5">
        <f>بنك!Z13</f>
        <v>0</v>
      </c>
      <c r="AA82" s="5">
        <f>بنك!AA13</f>
        <v>0</v>
      </c>
      <c r="AB82" s="5">
        <f>بنك!AB13</f>
        <v>0</v>
      </c>
      <c r="AC82" s="5">
        <f>بنك!AC13</f>
        <v>0</v>
      </c>
      <c r="AD82" s="5">
        <f>بنك!AD13</f>
        <v>0</v>
      </c>
      <c r="AE82" s="5">
        <f>بنك!AE13</f>
        <v>0</v>
      </c>
      <c r="AF82" s="5">
        <f>بنك!AF13</f>
        <v>10</v>
      </c>
      <c r="AG82" s="5">
        <f>بنك!AG13</f>
        <v>4666.9765000000007</v>
      </c>
      <c r="AH82" s="5">
        <f>بنك!AH13</f>
        <v>0</v>
      </c>
      <c r="AI82" s="5">
        <f>بنك!AI13</f>
        <v>419.12788500000005</v>
      </c>
      <c r="AJ82" s="5">
        <f>بنك!AJ13</f>
        <v>0</v>
      </c>
      <c r="AK82" s="5">
        <f>بنك!AK13</f>
        <v>46.569765000000011</v>
      </c>
      <c r="AL82" s="5">
        <f>بنك!AL13</f>
        <v>46.569765000000011</v>
      </c>
      <c r="AM82" s="5">
        <f>بنك!AM13</f>
        <v>9</v>
      </c>
      <c r="AN82" s="5">
        <f>بنك!AN13</f>
        <v>2.8</v>
      </c>
      <c r="AO82" s="5">
        <f>بنك!AO13</f>
        <v>0</v>
      </c>
      <c r="AP82" s="5">
        <f>بنك!AP13</f>
        <v>96.5</v>
      </c>
      <c r="AQ82" s="5">
        <f>بنك!AQ13</f>
        <v>28.5</v>
      </c>
      <c r="AR82" s="5">
        <f>بنك!AR13</f>
        <v>0</v>
      </c>
      <c r="AS82" s="5">
        <f>بنك!AS13</f>
        <v>2</v>
      </c>
      <c r="AT82" s="5">
        <f>بنك!AT13</f>
        <v>4.5</v>
      </c>
      <c r="AU82" s="5">
        <f>بنك!AU13</f>
        <v>2</v>
      </c>
      <c r="AV82" s="5">
        <f>بنك!AV13</f>
        <v>0.25</v>
      </c>
      <c r="AW82" s="5">
        <f>بنك!AW13</f>
        <v>3</v>
      </c>
      <c r="AX82" s="5">
        <f>بنك!AX13</f>
        <v>0.5</v>
      </c>
      <c r="AY82" s="5">
        <f>بنك!AY13</f>
        <v>112.90860000000001</v>
      </c>
      <c r="AZ82" s="5">
        <f>بنك!AZ13</f>
        <v>0</v>
      </c>
      <c r="BA82" s="5">
        <f>بنك!BA13</f>
        <v>0</v>
      </c>
      <c r="BB82" s="5">
        <f>بنك!BB13</f>
        <v>0</v>
      </c>
      <c r="BC82" s="5">
        <f>بنك!BC13</f>
        <v>0</v>
      </c>
      <c r="BD82" s="5">
        <f>بنك!BD13</f>
        <v>0</v>
      </c>
      <c r="BE82" s="5">
        <f>بنك!BE13</f>
        <v>0</v>
      </c>
      <c r="BF82" s="5">
        <f>بنك!BF13</f>
        <v>0</v>
      </c>
      <c r="BG82" s="5">
        <f>بنك!BG13</f>
        <v>0</v>
      </c>
      <c r="BH82" s="5">
        <f>بنك!BH13</f>
        <v>0</v>
      </c>
      <c r="BI82" s="5">
        <f>بنك!BI13</f>
        <v>774.22601499999996</v>
      </c>
      <c r="BJ82" s="5">
        <f>بنك!BJ13</f>
        <v>3892.7504850000005</v>
      </c>
      <c r="BK82" s="5" t="str">
        <f>بنك!BK13</f>
        <v>السيد بدير السيد</v>
      </c>
      <c r="BL82" s="5" t="str">
        <f>بنك!BL13</f>
        <v>كبير</v>
      </c>
      <c r="BM82" s="5" t="str">
        <f>بنك!BM13</f>
        <v>ناصر -بشبيش</v>
      </c>
      <c r="BN82" s="53" t="str">
        <f>بنك!BO13</f>
        <v>مدرس</v>
      </c>
      <c r="BO82" s="162">
        <f>بنك!BP13</f>
        <v>0</v>
      </c>
      <c r="BP82" s="162">
        <f>بنك!BQ13</f>
        <v>0</v>
      </c>
      <c r="BQ82" s="160">
        <f t="shared" si="29"/>
        <v>825</v>
      </c>
      <c r="BR82" s="162"/>
      <c r="BS82" s="162" t="str">
        <f>بنك!BT13</f>
        <v>ثانيه</v>
      </c>
      <c r="BT82" s="162">
        <f>بنك!BU13</f>
        <v>0</v>
      </c>
      <c r="BW82" t="s">
        <v>276</v>
      </c>
      <c r="BZ82">
        <v>2962.25</v>
      </c>
    </row>
    <row r="83" spans="1:78" ht="24" customHeight="1">
      <c r="B83" t="str">
        <f t="shared" si="31"/>
        <v>نعيمه المغازى طه</v>
      </c>
      <c r="C83" s="1">
        <f>بنك!C14</f>
        <v>548.27</v>
      </c>
      <c r="D83" s="3">
        <v>64</v>
      </c>
      <c r="E83" s="4"/>
      <c r="F83" s="5">
        <f>بنك!F14</f>
        <v>1767.69</v>
      </c>
      <c r="G83" s="5">
        <f>بنك!G14</f>
        <v>51.53</v>
      </c>
      <c r="H83" s="5">
        <f>بنك!H14</f>
        <v>54.826999999999998</v>
      </c>
      <c r="I83" s="5">
        <f>بنك!I14</f>
        <v>137.0675</v>
      </c>
      <c r="J83" s="5">
        <f>بنك!J14</f>
        <v>137.07</v>
      </c>
      <c r="K83" s="5">
        <f>بنك!K14</f>
        <v>274.13499999999999</v>
      </c>
      <c r="L83" s="5">
        <f>بنك!L14</f>
        <v>959.45</v>
      </c>
      <c r="M83" s="5">
        <f>بنك!M14</f>
        <v>0</v>
      </c>
      <c r="N83" s="28">
        <f>بنك!N14</f>
        <v>325</v>
      </c>
      <c r="O83" s="28">
        <f>بنك!O14</f>
        <v>150</v>
      </c>
      <c r="P83" s="28">
        <f>بنك!P14</f>
        <v>325</v>
      </c>
      <c r="Q83" s="28">
        <f>بنك!Q14</f>
        <v>350</v>
      </c>
      <c r="R83" s="28">
        <f>بنك!R14</f>
        <v>0</v>
      </c>
      <c r="S83" s="28">
        <f>بنك!S14</f>
        <v>165</v>
      </c>
      <c r="T83" s="28">
        <f>بنك!T14</f>
        <v>145</v>
      </c>
      <c r="U83" s="28">
        <f>بنك!U14</f>
        <v>140</v>
      </c>
      <c r="V83" s="28" t="str">
        <f>بنك!V14</f>
        <v/>
      </c>
      <c r="W83" s="28">
        <f>بنك!W14</f>
        <v>2</v>
      </c>
      <c r="X83" s="28">
        <f>بنك!X14</f>
        <v>4</v>
      </c>
      <c r="Y83" s="5">
        <f>بنك!Y14</f>
        <v>0</v>
      </c>
      <c r="Z83" s="5">
        <f>بنك!Z14</f>
        <v>0</v>
      </c>
      <c r="AA83" s="5">
        <f>بنك!AA14</f>
        <v>0</v>
      </c>
      <c r="AB83" s="5">
        <f>بنك!AB14</f>
        <v>0</v>
      </c>
      <c r="AC83" s="5">
        <f>بنك!AC14</f>
        <v>0</v>
      </c>
      <c r="AD83" s="5">
        <f>بنك!AD14</f>
        <v>0</v>
      </c>
      <c r="AE83" s="5">
        <f>بنك!AE14</f>
        <v>0</v>
      </c>
      <c r="AF83" s="5">
        <f>بنك!AF14</f>
        <v>10</v>
      </c>
      <c r="AG83" s="5">
        <f>بنك!AG14</f>
        <v>4997.7695000000003</v>
      </c>
      <c r="AH83" s="5">
        <f>بنك!AH14</f>
        <v>0</v>
      </c>
      <c r="AI83" s="5">
        <f>بنك!AI14</f>
        <v>448.89925500000004</v>
      </c>
      <c r="AJ83" s="5">
        <f>بنك!AJ14</f>
        <v>0</v>
      </c>
      <c r="AK83" s="5">
        <f>بنك!AK14</f>
        <v>49.877695000000003</v>
      </c>
      <c r="AL83" s="5">
        <f>بنك!AL14</f>
        <v>49.877695000000003</v>
      </c>
      <c r="AM83" s="5">
        <f>بنك!AM14</f>
        <v>9</v>
      </c>
      <c r="AN83" s="5">
        <f>بنك!AN14</f>
        <v>2.8</v>
      </c>
      <c r="AO83" s="5">
        <f>بنك!AO14</f>
        <v>0</v>
      </c>
      <c r="AP83" s="5">
        <f>بنك!AP14</f>
        <v>139.6</v>
      </c>
      <c r="AQ83" s="5">
        <f>بنك!AQ14</f>
        <v>30.4</v>
      </c>
      <c r="AR83" s="5">
        <f>بنك!AR14</f>
        <v>0</v>
      </c>
      <c r="AS83" s="5">
        <f>بنك!AS14</f>
        <v>2</v>
      </c>
      <c r="AT83" s="5">
        <f>بنك!AT14</f>
        <v>4.5</v>
      </c>
      <c r="AU83" s="5">
        <f>بنك!AU14</f>
        <v>2</v>
      </c>
      <c r="AV83" s="5">
        <f>بنك!AV14</f>
        <v>0.25</v>
      </c>
      <c r="AW83" s="5">
        <f>بنك!AW14</f>
        <v>3</v>
      </c>
      <c r="AX83" s="5">
        <f>بنك!AX14</f>
        <v>0.5</v>
      </c>
      <c r="AY83" s="5">
        <f>بنك!AY14</f>
        <v>123.73830000000001</v>
      </c>
      <c r="AZ83" s="5">
        <f>بنك!AZ14</f>
        <v>0</v>
      </c>
      <c r="BA83" s="5">
        <f>بنك!BA14</f>
        <v>0</v>
      </c>
      <c r="BB83" s="5">
        <f>بنك!BB14</f>
        <v>0</v>
      </c>
      <c r="BC83" s="5">
        <f>بنك!BC14</f>
        <v>0</v>
      </c>
      <c r="BD83" s="5">
        <f>بنك!BD14</f>
        <v>0</v>
      </c>
      <c r="BE83" s="5">
        <f>بنك!BE14</f>
        <v>0</v>
      </c>
      <c r="BF83" s="5">
        <f>بنك!BF14</f>
        <v>0</v>
      </c>
      <c r="BG83" s="5">
        <f>بنك!BG14</f>
        <v>0</v>
      </c>
      <c r="BH83" s="5">
        <f>بنك!BH14</f>
        <v>0.03</v>
      </c>
      <c r="BI83" s="5">
        <f>بنك!BI14</f>
        <v>866.47294499999998</v>
      </c>
      <c r="BJ83" s="5">
        <f>بنك!BJ14</f>
        <v>4131.2965550000008</v>
      </c>
      <c r="BK83" s="5" t="str">
        <f>بنك!BK14</f>
        <v>نعيمه المغازى طه</v>
      </c>
      <c r="BL83" s="5" t="str">
        <f>بنك!BL14</f>
        <v>كبير</v>
      </c>
      <c r="BM83" s="5" t="str">
        <f>بنك!BM14</f>
        <v>مصر</v>
      </c>
      <c r="BN83" s="53" t="str">
        <f>بنك!BO14</f>
        <v>مدرس</v>
      </c>
      <c r="BO83" s="162">
        <f>بنك!BP14</f>
        <v>0</v>
      </c>
      <c r="BP83" s="162">
        <f>بنك!BQ14</f>
        <v>0</v>
      </c>
      <c r="BQ83" s="160">
        <f t="shared" si="29"/>
        <v>825</v>
      </c>
      <c r="BR83" s="162"/>
      <c r="BS83" s="162" t="str">
        <f>بنك!BT14</f>
        <v>ثالثه</v>
      </c>
      <c r="BT83" s="162">
        <f>بنك!BU14</f>
        <v>0</v>
      </c>
      <c r="BW83" t="s">
        <v>277</v>
      </c>
      <c r="BZ83">
        <v>3675.25</v>
      </c>
    </row>
    <row r="84" spans="1:78" ht="24" customHeight="1">
      <c r="B84" t="str">
        <f t="shared" si="31"/>
        <v>حنان راشد بركات</v>
      </c>
      <c r="C84" s="1">
        <f>بنك!C15</f>
        <v>462.97</v>
      </c>
      <c r="D84" s="3">
        <v>65</v>
      </c>
      <c r="E84" s="4"/>
      <c r="F84" s="5">
        <f>بنك!F15</f>
        <v>1557.13</v>
      </c>
      <c r="G84" s="5">
        <f>بنك!G15</f>
        <v>43.01</v>
      </c>
      <c r="H84" s="5">
        <f>بنك!H15</f>
        <v>46.297000000000004</v>
      </c>
      <c r="I84" s="5">
        <f>بنك!I15</f>
        <v>115.74250000000001</v>
      </c>
      <c r="J84" s="5">
        <f>بنك!J15</f>
        <v>115.74</v>
      </c>
      <c r="K84" s="5">
        <f>بنك!K15</f>
        <v>231.48500000000001</v>
      </c>
      <c r="L84" s="5">
        <f>بنك!L15</f>
        <v>810.19</v>
      </c>
      <c r="M84" s="5">
        <f>بنك!M15</f>
        <v>0</v>
      </c>
      <c r="N84" s="28">
        <f>بنك!N15</f>
        <v>325</v>
      </c>
      <c r="O84" s="28">
        <f>بنك!O15</f>
        <v>150</v>
      </c>
      <c r="P84" s="28">
        <f>بنك!P15</f>
        <v>300</v>
      </c>
      <c r="Q84" s="28">
        <f>بنك!Q15</f>
        <v>350</v>
      </c>
      <c r="R84" s="28">
        <f>بنك!R15</f>
        <v>0</v>
      </c>
      <c r="S84" s="28">
        <f>بنك!S15</f>
        <v>165</v>
      </c>
      <c r="T84" s="28">
        <f>بنك!T15</f>
        <v>145</v>
      </c>
      <c r="U84" s="28">
        <f>بنك!U15</f>
        <v>140</v>
      </c>
      <c r="V84" s="28" t="str">
        <f>بنك!V15</f>
        <v/>
      </c>
      <c r="W84" s="28">
        <f>بنك!W15</f>
        <v>2</v>
      </c>
      <c r="X84" s="28">
        <f>بنك!X15</f>
        <v>4</v>
      </c>
      <c r="Y84" s="5">
        <f>بنك!Y15</f>
        <v>0</v>
      </c>
      <c r="Z84" s="5">
        <f>بنك!Z15</f>
        <v>0</v>
      </c>
      <c r="AA84" s="5">
        <f>بنك!AA15</f>
        <v>0</v>
      </c>
      <c r="AB84" s="5">
        <f>بنك!AB15</f>
        <v>0</v>
      </c>
      <c r="AC84" s="5">
        <f>بنك!AC15</f>
        <v>0</v>
      </c>
      <c r="AD84" s="5">
        <f>بنك!AD15</f>
        <v>0</v>
      </c>
      <c r="AE84" s="5">
        <f>بنك!AE15</f>
        <v>0</v>
      </c>
      <c r="AF84" s="5">
        <f>بنك!AF15</f>
        <v>10</v>
      </c>
      <c r="AG84" s="5">
        <f>بنك!AG15</f>
        <v>4510.5945000000002</v>
      </c>
      <c r="AH84" s="5">
        <f>بنك!AH15</f>
        <v>0</v>
      </c>
      <c r="AI84" s="5">
        <f>بنك!AI15</f>
        <v>405.05350499999997</v>
      </c>
      <c r="AJ84" s="5">
        <f>بنك!AJ15</f>
        <v>0</v>
      </c>
      <c r="AK84" s="5">
        <f>بنك!AK15</f>
        <v>45.005945000000004</v>
      </c>
      <c r="AL84" s="5">
        <f>بنك!AL15</f>
        <v>45.005945000000004</v>
      </c>
      <c r="AM84" s="5">
        <f>بنك!AM15</f>
        <v>9</v>
      </c>
      <c r="AN84" s="5">
        <f>بنك!AN15</f>
        <v>2.8</v>
      </c>
      <c r="AO84" s="5">
        <f>بنك!AO15</f>
        <v>0</v>
      </c>
      <c r="AP84" s="5">
        <f>بنك!AP15</f>
        <v>89.7</v>
      </c>
      <c r="AQ84" s="5">
        <f>بنك!AQ15</f>
        <v>27.5</v>
      </c>
      <c r="AR84" s="5">
        <f>بنك!AR15</f>
        <v>0</v>
      </c>
      <c r="AS84" s="5">
        <f>بنك!AS15</f>
        <v>2</v>
      </c>
      <c r="AT84" s="5">
        <f>بنك!AT15</f>
        <v>4.5</v>
      </c>
      <c r="AU84" s="5">
        <f>بنك!AU15</f>
        <v>2</v>
      </c>
      <c r="AV84" s="5">
        <f>بنك!AV15</f>
        <v>0.25</v>
      </c>
      <c r="AW84" s="5">
        <f>بنك!AW15</f>
        <v>3</v>
      </c>
      <c r="AX84" s="5">
        <f>بنك!AX15</f>
        <v>0.5</v>
      </c>
      <c r="AY84" s="5">
        <f>بنك!AY15</f>
        <v>108.99910000000001</v>
      </c>
      <c r="AZ84" s="5">
        <f>بنك!AZ15</f>
        <v>0</v>
      </c>
      <c r="BA84" s="5">
        <f>بنك!BA15</f>
        <v>0</v>
      </c>
      <c r="BB84" s="5">
        <f>بنك!BB15</f>
        <v>0</v>
      </c>
      <c r="BC84" s="5">
        <f>بنك!BC15</f>
        <v>0</v>
      </c>
      <c r="BD84" s="5">
        <f>بنك!BD15</f>
        <v>0</v>
      </c>
      <c r="BE84" s="5">
        <f>بنك!BE15</f>
        <v>0</v>
      </c>
      <c r="BF84" s="5">
        <f>بنك!BF15</f>
        <v>0</v>
      </c>
      <c r="BG84" s="5">
        <f>بنك!BG15</f>
        <v>0</v>
      </c>
      <c r="BH84" s="5">
        <f>بنك!BH15</f>
        <v>0.03</v>
      </c>
      <c r="BI84" s="5">
        <f>بنك!BI15</f>
        <v>745.34449499999994</v>
      </c>
      <c r="BJ84" s="5">
        <f>بنك!BJ15</f>
        <v>3765.2500050000003</v>
      </c>
      <c r="BK84" s="5" t="str">
        <f>بنك!BK15</f>
        <v>حنان راشد بركات</v>
      </c>
      <c r="BL84" s="5" t="str">
        <f>بنك!BL15</f>
        <v>كبير</v>
      </c>
      <c r="BM84" s="5" t="str">
        <f>بنك!BM15</f>
        <v>القاهرة المحلة</v>
      </c>
      <c r="BN84" s="53" t="str">
        <f>بنك!BO15</f>
        <v>مدرس</v>
      </c>
      <c r="BO84" s="162">
        <f>بنك!BP15</f>
        <v>0</v>
      </c>
      <c r="BP84" s="162">
        <f>بنك!BQ15</f>
        <v>0</v>
      </c>
      <c r="BQ84" s="160">
        <f t="shared" si="29"/>
        <v>800</v>
      </c>
      <c r="BR84" s="162"/>
      <c r="BS84" s="162" t="str">
        <f>بنك!BT15</f>
        <v>رابعه</v>
      </c>
      <c r="BT84" s="162">
        <f>بنك!BU15</f>
        <v>0</v>
      </c>
      <c r="BW84" t="s">
        <v>278</v>
      </c>
      <c r="BZ84">
        <v>3962.25</v>
      </c>
    </row>
    <row r="85" spans="1:78" ht="24" customHeight="1">
      <c r="B85" t="str">
        <f t="shared" si="31"/>
        <v>نجلاء فتحى عبدالمتعال</v>
      </c>
      <c r="C85" s="1">
        <f>بنك!C16</f>
        <v>461.58</v>
      </c>
      <c r="D85" s="3">
        <v>66</v>
      </c>
      <c r="E85" s="4"/>
      <c r="F85" s="5">
        <f>بنك!F16</f>
        <v>1553.93</v>
      </c>
      <c r="G85" s="5">
        <f>بنك!G16</f>
        <v>42.87</v>
      </c>
      <c r="H85" s="5">
        <f>بنك!H16</f>
        <v>46.158000000000001</v>
      </c>
      <c r="I85" s="5">
        <f>بنك!I16</f>
        <v>115.395</v>
      </c>
      <c r="J85" s="5">
        <f>بنك!J16</f>
        <v>115.4</v>
      </c>
      <c r="K85" s="5">
        <f>بنك!K16</f>
        <v>230.79</v>
      </c>
      <c r="L85" s="5">
        <f>بنك!L16</f>
        <v>808.12</v>
      </c>
      <c r="M85" s="5">
        <f>بنك!M16</f>
        <v>0</v>
      </c>
      <c r="N85" s="28">
        <f>بنك!N16</f>
        <v>325</v>
      </c>
      <c r="O85" s="28">
        <f>بنك!O16</f>
        <v>150</v>
      </c>
      <c r="P85" s="28">
        <f>بنك!P16</f>
        <v>300</v>
      </c>
      <c r="Q85" s="28">
        <f>بنك!Q16</f>
        <v>350</v>
      </c>
      <c r="R85" s="28">
        <f>بنك!R16</f>
        <v>0</v>
      </c>
      <c r="S85" s="28">
        <f>بنك!S16</f>
        <v>165</v>
      </c>
      <c r="T85" s="28">
        <f>بنك!T16</f>
        <v>145</v>
      </c>
      <c r="U85" s="28">
        <f>بنك!U16</f>
        <v>140</v>
      </c>
      <c r="V85" s="28" t="str">
        <f>بنك!V16</f>
        <v/>
      </c>
      <c r="W85" s="28">
        <f>بنك!W16</f>
        <v>2</v>
      </c>
      <c r="X85" s="28">
        <f>بنك!X16</f>
        <v>4</v>
      </c>
      <c r="Y85" s="5">
        <f>بنك!Y16</f>
        <v>0</v>
      </c>
      <c r="Z85" s="5">
        <f>بنك!Z16</f>
        <v>0</v>
      </c>
      <c r="AA85" s="5">
        <f>بنك!AA16</f>
        <v>0</v>
      </c>
      <c r="AB85" s="5">
        <f>بنك!AB16</f>
        <v>0</v>
      </c>
      <c r="AC85" s="5">
        <f>بنك!AC16</f>
        <v>0</v>
      </c>
      <c r="AD85" s="5">
        <f>بنك!AD16</f>
        <v>0</v>
      </c>
      <c r="AE85" s="5">
        <f>بنك!AE16</f>
        <v>0</v>
      </c>
      <c r="AF85" s="5">
        <f>بنك!AF16</f>
        <v>10</v>
      </c>
      <c r="AG85" s="5">
        <f>بنك!AG16</f>
        <v>4503.6630000000005</v>
      </c>
      <c r="AH85" s="5">
        <f>بنك!AH16</f>
        <v>0</v>
      </c>
      <c r="AI85" s="5">
        <f>بنك!AI16</f>
        <v>404.42967000000004</v>
      </c>
      <c r="AJ85" s="5">
        <f>بنك!AJ16</f>
        <v>0</v>
      </c>
      <c r="AK85" s="5">
        <f>بنك!AK16</f>
        <v>44.936630000000008</v>
      </c>
      <c r="AL85" s="5">
        <f>بنك!AL16</f>
        <v>44.936630000000008</v>
      </c>
      <c r="AM85" s="5">
        <f>بنك!AM16</f>
        <v>9</v>
      </c>
      <c r="AN85" s="5">
        <f>بنك!AN16</f>
        <v>2.8</v>
      </c>
      <c r="AO85" s="5">
        <f>بنك!AO16</f>
        <v>0</v>
      </c>
      <c r="AP85" s="5">
        <f>بنك!AP16</f>
        <v>89.7</v>
      </c>
      <c r="AQ85" s="5">
        <f>بنك!AQ16</f>
        <v>27.5</v>
      </c>
      <c r="AR85" s="5">
        <f>بنك!AR16</f>
        <v>0</v>
      </c>
      <c r="AS85" s="5">
        <f>بنك!AS16</f>
        <v>2</v>
      </c>
      <c r="AT85" s="5">
        <f>بنك!AT16</f>
        <v>4.5</v>
      </c>
      <c r="AU85" s="5">
        <f>بنك!AU16</f>
        <v>2</v>
      </c>
      <c r="AV85" s="5">
        <f>بنك!AV16</f>
        <v>0.25</v>
      </c>
      <c r="AW85" s="5">
        <f>بنك!AW16</f>
        <v>3</v>
      </c>
      <c r="AX85" s="5">
        <f>بنك!AX16</f>
        <v>0.5</v>
      </c>
      <c r="AY85" s="5">
        <f>بنك!AY16</f>
        <v>108.77510000000001</v>
      </c>
      <c r="AZ85" s="5">
        <f>بنك!AZ16</f>
        <v>0</v>
      </c>
      <c r="BA85" s="5">
        <f>بنك!BA16</f>
        <v>0</v>
      </c>
      <c r="BB85" s="5">
        <f>بنك!BB16</f>
        <v>0</v>
      </c>
      <c r="BC85" s="5">
        <f>بنك!BC16</f>
        <v>0</v>
      </c>
      <c r="BD85" s="5">
        <f>بنك!BD16</f>
        <v>0</v>
      </c>
      <c r="BE85" s="5">
        <f>بنك!BE16</f>
        <v>0</v>
      </c>
      <c r="BF85" s="5">
        <f>بنك!BF16</f>
        <v>0</v>
      </c>
      <c r="BG85" s="5">
        <f>بنك!BG16</f>
        <v>0</v>
      </c>
      <c r="BH85" s="5">
        <f>بنك!BH16</f>
        <v>0.03</v>
      </c>
      <c r="BI85" s="5">
        <f>بنك!BI16</f>
        <v>744.3580300000001</v>
      </c>
      <c r="BJ85" s="5">
        <f>بنك!BJ16</f>
        <v>3759.3049700000001</v>
      </c>
      <c r="BK85" s="5" t="str">
        <f>بنك!BK16</f>
        <v>نجلاء فتحى عبدالمتعال</v>
      </c>
      <c r="BL85" s="5" t="str">
        <f>بنك!BL16</f>
        <v>كبير</v>
      </c>
      <c r="BM85" s="5" t="str">
        <f>بنك!BM16</f>
        <v>ناصر -بشبيش</v>
      </c>
      <c r="BN85" s="53" t="str">
        <f>بنك!BO16</f>
        <v>مدرس</v>
      </c>
      <c r="BO85" s="162">
        <f>بنك!BP16</f>
        <v>0</v>
      </c>
      <c r="BP85" s="162">
        <f>بنك!BQ16</f>
        <v>0</v>
      </c>
      <c r="BQ85" s="160">
        <f t="shared" si="29"/>
        <v>800</v>
      </c>
      <c r="BR85" s="162"/>
      <c r="BS85" s="162" t="str">
        <f>بنك!BT16</f>
        <v>خامسه</v>
      </c>
      <c r="BT85" s="162">
        <f>بنك!BU16</f>
        <v>0</v>
      </c>
      <c r="BW85" t="s">
        <v>129</v>
      </c>
      <c r="BZ85">
        <v>3445.25</v>
      </c>
    </row>
    <row r="86" spans="1:78" ht="24" customHeight="1">
      <c r="B86" t="str">
        <f t="shared" si="31"/>
        <v>رحاب فؤاد مجاهد</v>
      </c>
      <c r="C86" s="1">
        <f>بنك!C17</f>
        <v>359.64</v>
      </c>
      <c r="D86" s="3">
        <v>67</v>
      </c>
      <c r="E86" s="4"/>
      <c r="F86" s="5">
        <f>بنك!F17</f>
        <v>1352.59</v>
      </c>
      <c r="G86" s="5">
        <f>بنك!G17</f>
        <v>33.81</v>
      </c>
      <c r="H86" s="5">
        <f>بنك!H17</f>
        <v>35.963999999999999</v>
      </c>
      <c r="I86" s="5">
        <f>بنك!I17</f>
        <v>89.91</v>
      </c>
      <c r="J86" s="5">
        <f>بنك!J17</f>
        <v>89.91</v>
      </c>
      <c r="K86" s="5">
        <f>بنك!K17</f>
        <v>179.82</v>
      </c>
      <c r="L86" s="5">
        <f>بنك!L17</f>
        <v>539.46</v>
      </c>
      <c r="M86" s="5">
        <f>بنك!M17</f>
        <v>0</v>
      </c>
      <c r="N86" s="28">
        <f>بنك!N17</f>
        <v>350</v>
      </c>
      <c r="O86" s="28">
        <f>بنك!O17</f>
        <v>150</v>
      </c>
      <c r="P86" s="28">
        <f>بنك!P17</f>
        <v>300</v>
      </c>
      <c r="Q86" s="28">
        <f>بنك!Q17</f>
        <v>325</v>
      </c>
      <c r="R86" s="28">
        <f>بنك!R17</f>
        <v>274</v>
      </c>
      <c r="S86" s="28">
        <f>بنك!S17</f>
        <v>125</v>
      </c>
      <c r="T86" s="28">
        <f>بنك!T17</f>
        <v>150</v>
      </c>
      <c r="U86" s="28">
        <f>بنك!U17</f>
        <v>120</v>
      </c>
      <c r="V86" s="28" t="str">
        <f>بنك!V17</f>
        <v/>
      </c>
      <c r="W86" s="28">
        <f>بنك!W17</f>
        <v>2</v>
      </c>
      <c r="X86" s="28">
        <f>بنك!X17</f>
        <v>4</v>
      </c>
      <c r="Y86" s="5">
        <f>بنك!Y17</f>
        <v>0</v>
      </c>
      <c r="Z86" s="5">
        <f>بنك!Z17</f>
        <v>0</v>
      </c>
      <c r="AA86" s="5">
        <f>بنك!AA17</f>
        <v>0</v>
      </c>
      <c r="AB86" s="5">
        <f>بنك!AB17</f>
        <v>0</v>
      </c>
      <c r="AC86" s="5">
        <f>بنك!AC17</f>
        <v>0</v>
      </c>
      <c r="AD86" s="5">
        <f>بنك!AD17</f>
        <v>0</v>
      </c>
      <c r="AE86" s="5">
        <f>بنك!AE17</f>
        <v>0</v>
      </c>
      <c r="AF86" s="5">
        <f>بنك!AF17</f>
        <v>10</v>
      </c>
      <c r="AG86" s="5">
        <f>بنك!AG17</f>
        <v>4131.4639999999999</v>
      </c>
      <c r="AH86" s="5">
        <f>بنك!AH17</f>
        <v>0</v>
      </c>
      <c r="AI86" s="5">
        <f>بنك!AI17</f>
        <v>370.93176</v>
      </c>
      <c r="AJ86" s="5">
        <f>بنك!AJ17</f>
        <v>0</v>
      </c>
      <c r="AK86" s="5">
        <f>بنك!AK17</f>
        <v>41.214640000000003</v>
      </c>
      <c r="AL86" s="5">
        <f>بنك!AL17</f>
        <v>41.214640000000003</v>
      </c>
      <c r="AM86" s="5">
        <f>بنك!AM17</f>
        <v>7.9</v>
      </c>
      <c r="AN86" s="5">
        <f>بنك!AN17</f>
        <v>2.4</v>
      </c>
      <c r="AO86" s="5">
        <f>بنك!AO17</f>
        <v>4.8899999999999997</v>
      </c>
      <c r="AP86" s="5">
        <f>بنك!AP17</f>
        <v>78.099999999999994</v>
      </c>
      <c r="AQ86" s="5">
        <f>بنك!AQ17</f>
        <v>25.5</v>
      </c>
      <c r="AR86" s="5">
        <f>بنك!AR17</f>
        <v>0</v>
      </c>
      <c r="AS86" s="5">
        <f>بنك!AS17</f>
        <v>2</v>
      </c>
      <c r="AT86" s="5">
        <f>بنك!AT17</f>
        <v>4.5</v>
      </c>
      <c r="AU86" s="5">
        <f>بنك!AU17</f>
        <v>2</v>
      </c>
      <c r="AV86" s="5">
        <f>بنك!AV17</f>
        <v>0.25</v>
      </c>
      <c r="AW86" s="5">
        <f>بنك!AW17</f>
        <v>3</v>
      </c>
      <c r="AX86" s="5">
        <f>بنك!AX17</f>
        <v>0.5</v>
      </c>
      <c r="AY86" s="5">
        <f>بنك!AY17</f>
        <v>94.681300000000007</v>
      </c>
      <c r="AZ86" s="5">
        <f>بنك!AZ17</f>
        <v>0</v>
      </c>
      <c r="BA86" s="5">
        <f>بنك!BA17</f>
        <v>0</v>
      </c>
      <c r="BB86" s="5">
        <f>بنك!BB17</f>
        <v>0</v>
      </c>
      <c r="BC86" s="5">
        <f>بنك!BC17</f>
        <v>0</v>
      </c>
      <c r="BD86" s="5">
        <f>بنك!BD17</f>
        <v>0</v>
      </c>
      <c r="BE86" s="5">
        <f>بنك!BE17</f>
        <v>7.1</v>
      </c>
      <c r="BF86" s="5">
        <f>بنك!BF17</f>
        <v>0</v>
      </c>
      <c r="BG86" s="5">
        <f>بنك!BG17</f>
        <v>0</v>
      </c>
      <c r="BH86" s="5">
        <f>بنك!BH17</f>
        <v>0.03</v>
      </c>
      <c r="BI86" s="5">
        <f>بنك!BI17</f>
        <v>686.21233999999993</v>
      </c>
      <c r="BJ86" s="5">
        <f>بنك!BJ17</f>
        <v>3445.2516599999999</v>
      </c>
      <c r="BK86" s="5" t="str">
        <f>بنك!BK17</f>
        <v>رحاب فؤاد مجاهد</v>
      </c>
      <c r="BL86" s="5" t="str">
        <f>بنك!BL17</f>
        <v>اولى</v>
      </c>
      <c r="BM86" s="5" t="str">
        <f>بنك!BM17</f>
        <v>ناصر -بشبيش</v>
      </c>
      <c r="BN86" s="53" t="str">
        <f>بنك!BO17</f>
        <v>مدرس</v>
      </c>
      <c r="BO86" s="162">
        <f>بنك!BP17</f>
        <v>0</v>
      </c>
      <c r="BP86" s="162">
        <f>بنك!BQ17</f>
        <v>0</v>
      </c>
      <c r="BQ86" s="160">
        <f t="shared" si="29"/>
        <v>775</v>
      </c>
      <c r="BR86" s="162"/>
      <c r="BS86" s="162" t="str">
        <f>بنك!BT17</f>
        <v>سادسه</v>
      </c>
      <c r="BT86" s="162">
        <f>بنك!BU17</f>
        <v>0</v>
      </c>
      <c r="BW86" t="s">
        <v>279</v>
      </c>
      <c r="BZ86">
        <v>3956.6</v>
      </c>
    </row>
    <row r="87" spans="1:78" ht="24" customHeight="1">
      <c r="B87" t="str">
        <f t="shared" si="31"/>
        <v>محمد ابوالنجا محمد</v>
      </c>
      <c r="C87" s="1">
        <f>بنك!C18</f>
        <v>512.70000000000005</v>
      </c>
      <c r="D87" s="3">
        <v>68</v>
      </c>
      <c r="E87" s="4"/>
      <c r="F87" s="5">
        <f>بنك!F18</f>
        <v>1660.81</v>
      </c>
      <c r="G87" s="5">
        <f>بنك!G18</f>
        <v>48.19</v>
      </c>
      <c r="H87" s="5">
        <f>بنك!H18</f>
        <v>51.27000000000001</v>
      </c>
      <c r="I87" s="5">
        <f>بنك!I18</f>
        <v>128.17500000000001</v>
      </c>
      <c r="J87" s="5">
        <f>بنك!J18</f>
        <v>128.18</v>
      </c>
      <c r="K87" s="5">
        <f>بنك!K18</f>
        <v>256.35000000000002</v>
      </c>
      <c r="L87" s="5">
        <f>بنك!L18</f>
        <v>769.08</v>
      </c>
      <c r="M87" s="5">
        <f>بنك!M18</f>
        <v>0</v>
      </c>
      <c r="N87" s="28">
        <f>بنك!N18</f>
        <v>350</v>
      </c>
      <c r="O87" s="28">
        <f>بنك!O18</f>
        <v>150</v>
      </c>
      <c r="P87" s="28">
        <f>بنك!P18</f>
        <v>300</v>
      </c>
      <c r="Q87" s="28">
        <f>بنك!Q18</f>
        <v>325</v>
      </c>
      <c r="R87" s="28">
        <f>بنك!R18</f>
        <v>0</v>
      </c>
      <c r="S87" s="28">
        <f>بنك!S18</f>
        <v>125</v>
      </c>
      <c r="T87" s="28">
        <f>بنك!T18</f>
        <v>150</v>
      </c>
      <c r="U87" s="28">
        <f>بنك!U18</f>
        <v>120</v>
      </c>
      <c r="V87" s="28" t="str">
        <f>بنك!V18</f>
        <v/>
      </c>
      <c r="W87" s="28">
        <f>بنك!W18</f>
        <v>6</v>
      </c>
      <c r="X87" s="28">
        <f>بنك!X18</f>
        <v>4</v>
      </c>
      <c r="Y87" s="5">
        <f>بنك!Y18</f>
        <v>0</v>
      </c>
      <c r="Z87" s="5">
        <f>بنك!Z18</f>
        <v>0</v>
      </c>
      <c r="AA87" s="5">
        <f>بنك!AA18</f>
        <v>0</v>
      </c>
      <c r="AB87" s="5">
        <f>بنك!AB18</f>
        <v>0</v>
      </c>
      <c r="AC87" s="5">
        <f>بنك!AC18</f>
        <v>0</v>
      </c>
      <c r="AD87" s="5">
        <f>بنك!AD18</f>
        <v>0</v>
      </c>
      <c r="AE87" s="5">
        <f>بنك!AE18</f>
        <v>0</v>
      </c>
      <c r="AF87" s="5">
        <f>بنك!AF18</f>
        <v>10</v>
      </c>
      <c r="AG87" s="5">
        <f>بنك!AG18</f>
        <v>4582.0550000000003</v>
      </c>
      <c r="AH87" s="5">
        <f>بنك!AH18</f>
        <v>0</v>
      </c>
      <c r="AI87" s="5">
        <f>بنك!AI18</f>
        <v>411.48495000000003</v>
      </c>
      <c r="AJ87" s="5">
        <f>بنك!AJ18</f>
        <v>0</v>
      </c>
      <c r="AK87" s="5">
        <f>بنك!AK18</f>
        <v>45.720550000000003</v>
      </c>
      <c r="AL87" s="5">
        <f>بنك!AL18</f>
        <v>45.720550000000003</v>
      </c>
      <c r="AM87" s="5">
        <f>بنك!AM18</f>
        <v>7.9</v>
      </c>
      <c r="AN87" s="5">
        <f>بنك!AN18</f>
        <v>2.4</v>
      </c>
      <c r="AO87" s="5">
        <f>بنك!AO18</f>
        <v>0</v>
      </c>
      <c r="AP87" s="5">
        <f>بنك!AP18</f>
        <v>92.6</v>
      </c>
      <c r="AQ87" s="5">
        <f>بنك!AQ18</f>
        <v>27.7</v>
      </c>
      <c r="AR87" s="5">
        <f>بنك!AR18</f>
        <v>0</v>
      </c>
      <c r="AS87" s="5">
        <f>بنك!AS18</f>
        <v>2</v>
      </c>
      <c r="AT87" s="5">
        <f>بنك!AT18</f>
        <v>4.5</v>
      </c>
      <c r="AU87" s="5">
        <f>بنك!AU18</f>
        <v>2</v>
      </c>
      <c r="AV87" s="5">
        <f>بنك!AV18</f>
        <v>0.25</v>
      </c>
      <c r="AW87" s="5">
        <f>بنك!AW18</f>
        <v>3</v>
      </c>
      <c r="AX87" s="5">
        <f>بنك!AX18</f>
        <v>0.5</v>
      </c>
      <c r="AY87" s="5">
        <f>بنك!AY18</f>
        <v>116.25670000000001</v>
      </c>
      <c r="AZ87" s="5">
        <f>بنك!AZ18</f>
        <v>0</v>
      </c>
      <c r="BA87" s="5">
        <f>بنك!BA18</f>
        <v>0</v>
      </c>
      <c r="BB87" s="5">
        <f>بنك!BB18</f>
        <v>0</v>
      </c>
      <c r="BC87" s="5">
        <f>بنك!BC18</f>
        <v>0</v>
      </c>
      <c r="BD87" s="5">
        <f>بنك!BD18</f>
        <v>0</v>
      </c>
      <c r="BE87" s="5">
        <f>بنك!BE18</f>
        <v>0</v>
      </c>
      <c r="BF87" s="5">
        <f>بنك!BF18</f>
        <v>0</v>
      </c>
      <c r="BG87" s="5">
        <f>بنك!BG18</f>
        <v>0</v>
      </c>
      <c r="BH87" s="5">
        <f>بنك!BH18</f>
        <v>0.02</v>
      </c>
      <c r="BI87" s="5">
        <f>بنك!BI18</f>
        <v>762.05275000000006</v>
      </c>
      <c r="BJ87" s="5">
        <f>بنك!BJ18</f>
        <v>3820.0022500000005</v>
      </c>
      <c r="BK87" s="5" t="str">
        <f>بنك!BK18</f>
        <v>محمد ابوالنجا محمد</v>
      </c>
      <c r="BL87" s="5" t="str">
        <f>بنك!BL18</f>
        <v>اولى</v>
      </c>
      <c r="BM87" s="5" t="str">
        <f>بنك!BM18</f>
        <v>فيصل الإسلامى</v>
      </c>
      <c r="BN87" s="53" t="str">
        <f>بنك!BO18</f>
        <v>مدرس</v>
      </c>
      <c r="BO87" s="162">
        <f>بنك!BP18</f>
        <v>0</v>
      </c>
      <c r="BP87" s="162">
        <f>بنك!BQ18</f>
        <v>0</v>
      </c>
      <c r="BQ87" s="160">
        <f t="shared" si="29"/>
        <v>775</v>
      </c>
      <c r="BR87" s="162"/>
      <c r="BS87" s="162">
        <f>بنك!BT18</f>
        <v>0</v>
      </c>
      <c r="BT87" s="162">
        <f>بنك!BU18</f>
        <v>0</v>
      </c>
      <c r="BW87" t="s">
        <v>280</v>
      </c>
      <c r="BZ87">
        <v>3612.9</v>
      </c>
    </row>
    <row r="88" spans="1:78" ht="24" customHeight="1">
      <c r="B88" t="str">
        <f t="shared" si="31"/>
        <v>محمد فتحى بدر</v>
      </c>
      <c r="C88" s="1">
        <f>بنك!C19</f>
        <v>246</v>
      </c>
      <c r="D88" s="3">
        <v>69</v>
      </c>
      <c r="E88" s="4"/>
      <c r="F88" s="5">
        <f>بنك!F19</f>
        <v>1041.6300000000001</v>
      </c>
      <c r="G88" s="5">
        <f>بنك!G19</f>
        <v>24.12</v>
      </c>
      <c r="H88" s="5">
        <f>بنك!H19</f>
        <v>24.6</v>
      </c>
      <c r="I88" s="5">
        <f>بنك!I19</f>
        <v>61.5</v>
      </c>
      <c r="J88" s="5">
        <f>بنك!J19</f>
        <v>123</v>
      </c>
      <c r="K88" s="5">
        <f>بنك!K19</f>
        <v>123</v>
      </c>
      <c r="L88" s="5">
        <f>بنك!L19</f>
        <v>307.5</v>
      </c>
      <c r="M88" s="5">
        <f>بنك!M19</f>
        <v>40</v>
      </c>
      <c r="N88" s="28">
        <f>بنك!N19</f>
        <v>375</v>
      </c>
      <c r="O88" s="28">
        <f>بنك!O19</f>
        <v>150</v>
      </c>
      <c r="P88" s="28">
        <f>بنك!P19</f>
        <v>200</v>
      </c>
      <c r="Q88" s="28">
        <f>بنك!Q19</f>
        <v>275</v>
      </c>
      <c r="R88" s="28">
        <f>بنك!R19</f>
        <v>189</v>
      </c>
      <c r="S88" s="28">
        <f>بنك!S19</f>
        <v>100</v>
      </c>
      <c r="T88" s="28">
        <f>بنك!T19</f>
        <v>165</v>
      </c>
      <c r="U88" s="28">
        <f>بنك!U19</f>
        <v>85</v>
      </c>
      <c r="V88" s="28" t="str">
        <f>بنك!V19</f>
        <v/>
      </c>
      <c r="W88" s="28">
        <f>بنك!W19</f>
        <v>4</v>
      </c>
      <c r="X88" s="28">
        <f>بنك!X19</f>
        <v>4</v>
      </c>
      <c r="Y88" s="5">
        <f>بنك!Y19</f>
        <v>0</v>
      </c>
      <c r="Z88" s="5">
        <f>بنك!Z19</f>
        <v>0</v>
      </c>
      <c r="AA88" s="5">
        <f>بنك!AA19</f>
        <v>0</v>
      </c>
      <c r="AB88" s="5">
        <f>بنك!AB19</f>
        <v>0</v>
      </c>
      <c r="AC88" s="5">
        <f>بنك!AC19</f>
        <v>0</v>
      </c>
      <c r="AD88" s="5">
        <f>بنك!AD19</f>
        <v>0</v>
      </c>
      <c r="AE88" s="5">
        <f>بنك!AE19</f>
        <v>0</v>
      </c>
      <c r="AF88" s="5">
        <f>بنك!AF19</f>
        <v>10</v>
      </c>
      <c r="AG88" s="5">
        <f>بنك!AG19</f>
        <v>3302.35</v>
      </c>
      <c r="AH88" s="5">
        <f>بنك!AH19</f>
        <v>0</v>
      </c>
      <c r="AI88" s="5">
        <f>بنك!AI19</f>
        <v>296.31149999999997</v>
      </c>
      <c r="AJ88" s="5">
        <f>بنك!AJ19</f>
        <v>0</v>
      </c>
      <c r="AK88" s="5">
        <f>بنك!AK19</f>
        <v>32.923499999999997</v>
      </c>
      <c r="AL88" s="5">
        <f>بنك!AL19</f>
        <v>32.923499999999997</v>
      </c>
      <c r="AM88" s="5">
        <f>بنك!AM19</f>
        <v>7</v>
      </c>
      <c r="AN88" s="5">
        <f>بنك!AN19</f>
        <v>1.7</v>
      </c>
      <c r="AO88" s="5">
        <f>بنك!AO19</f>
        <v>0</v>
      </c>
      <c r="AP88" s="5">
        <f>بنك!AP19</f>
        <v>26.7</v>
      </c>
      <c r="AQ88" s="5">
        <f>بنك!AQ19</f>
        <v>20.399999999999999</v>
      </c>
      <c r="AR88" s="5">
        <f>بنك!AR19</f>
        <v>0</v>
      </c>
      <c r="AS88" s="5">
        <f>بنك!AS19</f>
        <v>1.5</v>
      </c>
      <c r="AT88" s="5">
        <f>بنك!AT19</f>
        <v>4.5</v>
      </c>
      <c r="AU88" s="5">
        <f>بنك!AU19</f>
        <v>2</v>
      </c>
      <c r="AV88" s="5">
        <f>بنك!AV19</f>
        <v>0.25</v>
      </c>
      <c r="AW88" s="5">
        <f>بنك!AW19</f>
        <v>3</v>
      </c>
      <c r="AX88" s="5">
        <f>بنك!AX19</f>
        <v>0.5</v>
      </c>
      <c r="AY88" s="5">
        <f>بنك!AY19</f>
        <v>72.914100000000019</v>
      </c>
      <c r="AZ88" s="5">
        <f>بنك!AZ19</f>
        <v>0</v>
      </c>
      <c r="BA88" s="5">
        <f>بنك!BA19</f>
        <v>0</v>
      </c>
      <c r="BB88" s="5">
        <f>بنك!BB19</f>
        <v>0</v>
      </c>
      <c r="BC88" s="5">
        <f>بنك!BC19</f>
        <v>0</v>
      </c>
      <c r="BD88" s="5">
        <f>بنك!BD19</f>
        <v>0</v>
      </c>
      <c r="BE88" s="5">
        <f>بنك!BE19</f>
        <v>0</v>
      </c>
      <c r="BF88" s="5">
        <f>بنك!BF19</f>
        <v>0</v>
      </c>
      <c r="BG88" s="5">
        <f>بنك!BG19</f>
        <v>0</v>
      </c>
      <c r="BH88" s="5">
        <f>بنك!BH19</f>
        <v>0.03</v>
      </c>
      <c r="BI88" s="5">
        <f>بنك!BI19</f>
        <v>502.65259999999989</v>
      </c>
      <c r="BJ88" s="5">
        <f>بنك!BJ19</f>
        <v>2799.6974</v>
      </c>
      <c r="BK88" s="5" t="str">
        <f>بنك!BK19</f>
        <v>محمد فتحى بدر</v>
      </c>
      <c r="BL88" s="5" t="str">
        <f>بنك!BL19</f>
        <v>ثانيه</v>
      </c>
      <c r="BM88" s="5" t="str">
        <f>بنك!BM19</f>
        <v>الأهلى</v>
      </c>
      <c r="BN88" s="53" t="str">
        <f>بنك!BO19</f>
        <v>مدرس</v>
      </c>
      <c r="BO88" s="162">
        <f>بنك!BP19</f>
        <v>0</v>
      </c>
      <c r="BP88" s="162">
        <f>بنك!BQ19</f>
        <v>0</v>
      </c>
      <c r="BQ88" s="160">
        <f t="shared" si="29"/>
        <v>625</v>
      </c>
      <c r="BR88" s="162"/>
      <c r="BS88" s="162">
        <f>بنك!BT19</f>
        <v>0</v>
      </c>
      <c r="BT88" s="162">
        <f>بنك!BU19</f>
        <v>0</v>
      </c>
      <c r="BW88" t="s">
        <v>281</v>
      </c>
      <c r="BZ88">
        <v>2958.9</v>
      </c>
    </row>
    <row r="89" spans="1:78" ht="24" customHeight="1">
      <c r="B89" t="str">
        <f t="shared" si="31"/>
        <v>ايمان محمد ابراهيم</v>
      </c>
      <c r="C89" s="1">
        <f>بنك!C20</f>
        <v>258</v>
      </c>
      <c r="D89" s="3">
        <v>70</v>
      </c>
      <c r="E89" s="4"/>
      <c r="F89" s="5">
        <f>بنك!F20</f>
        <v>1154.67</v>
      </c>
      <c r="G89" s="5">
        <f>بنك!G20</f>
        <v>24.92</v>
      </c>
      <c r="H89" s="5">
        <f>بنك!H20</f>
        <v>25.8</v>
      </c>
      <c r="I89" s="5">
        <f>بنك!I20</f>
        <v>64.5</v>
      </c>
      <c r="J89" s="5">
        <f>بنك!J20</f>
        <v>129</v>
      </c>
      <c r="K89" s="5">
        <f>بنك!K20</f>
        <v>129</v>
      </c>
      <c r="L89" s="5">
        <f>بنك!L20</f>
        <v>322.5</v>
      </c>
      <c r="M89" s="5">
        <f>بنك!M20</f>
        <v>0</v>
      </c>
      <c r="N89" s="28">
        <f>بنك!N20</f>
        <v>375</v>
      </c>
      <c r="O89" s="28">
        <f>بنك!O20</f>
        <v>150</v>
      </c>
      <c r="P89" s="28">
        <f>بنك!P20</f>
        <v>250</v>
      </c>
      <c r="Q89" s="28">
        <f>بنك!Q20</f>
        <v>275</v>
      </c>
      <c r="R89" s="28">
        <f>بنك!R20</f>
        <v>360</v>
      </c>
      <c r="S89" s="28">
        <f>بنك!S20</f>
        <v>100</v>
      </c>
      <c r="T89" s="28">
        <f>بنك!T20</f>
        <v>165</v>
      </c>
      <c r="U89" s="28">
        <f>بنك!U20</f>
        <v>85</v>
      </c>
      <c r="V89" s="28" t="str">
        <f>بنك!V20</f>
        <v/>
      </c>
      <c r="W89" s="28">
        <f>بنك!W20</f>
        <v>2</v>
      </c>
      <c r="X89" s="28">
        <f>بنك!X20</f>
        <v>4</v>
      </c>
      <c r="Y89" s="5">
        <f>بنك!Y20</f>
        <v>0</v>
      </c>
      <c r="Z89" s="5">
        <f>بنك!Z20</f>
        <v>0</v>
      </c>
      <c r="AA89" s="5">
        <f>بنك!AA20</f>
        <v>0</v>
      </c>
      <c r="AB89" s="5">
        <f>بنك!AB20</f>
        <v>0</v>
      </c>
      <c r="AC89" s="5">
        <f>بنك!AC20</f>
        <v>0</v>
      </c>
      <c r="AD89" s="5">
        <f>بنك!AD20</f>
        <v>0</v>
      </c>
      <c r="AE89" s="5">
        <f>بنك!AE20</f>
        <v>0</v>
      </c>
      <c r="AF89" s="5">
        <f>بنك!AF20</f>
        <v>10</v>
      </c>
      <c r="AG89" s="5">
        <f>بنك!AG20</f>
        <v>3626.3900000000003</v>
      </c>
      <c r="AH89" s="5">
        <f>بنك!AH20</f>
        <v>0</v>
      </c>
      <c r="AI89" s="5">
        <f>بنك!AI20</f>
        <v>325.4751</v>
      </c>
      <c r="AJ89" s="5">
        <f>بنك!AJ20</f>
        <v>0</v>
      </c>
      <c r="AK89" s="5">
        <f>بنك!AK20</f>
        <v>36.163900000000005</v>
      </c>
      <c r="AL89" s="5">
        <f>بنك!AL20</f>
        <v>36.163900000000005</v>
      </c>
      <c r="AM89" s="5">
        <f>بنك!AM20</f>
        <v>7</v>
      </c>
      <c r="AN89" s="5">
        <f>بنك!AN20</f>
        <v>1.7</v>
      </c>
      <c r="AO89" s="5">
        <f>بنك!AO20</f>
        <v>0</v>
      </c>
      <c r="AP89" s="5">
        <f>بنك!AP20</f>
        <v>35.799999999999997</v>
      </c>
      <c r="AQ89" s="5">
        <f>بنك!AQ20</f>
        <v>22.4</v>
      </c>
      <c r="AR89" s="5">
        <f>بنك!AR20</f>
        <v>0</v>
      </c>
      <c r="AS89" s="5">
        <f>بنك!AS20</f>
        <v>1.5</v>
      </c>
      <c r="AT89" s="5">
        <f>بنك!AT20</f>
        <v>4.5</v>
      </c>
      <c r="AU89" s="5">
        <f>بنك!AU20</f>
        <v>2</v>
      </c>
      <c r="AV89" s="5">
        <f>بنك!AV20</f>
        <v>0.25</v>
      </c>
      <c r="AW89" s="5">
        <f>بنك!AW20</f>
        <v>3</v>
      </c>
      <c r="AX89" s="5">
        <f>بنك!AX20</f>
        <v>0.5</v>
      </c>
      <c r="AY89" s="5">
        <f>بنك!AY20</f>
        <v>80.826900000000009</v>
      </c>
      <c r="AZ89" s="5">
        <f>بنك!AZ20</f>
        <v>0</v>
      </c>
      <c r="BA89" s="5">
        <f>بنك!BA20</f>
        <v>0</v>
      </c>
      <c r="BB89" s="5">
        <f>بنك!BB20</f>
        <v>0</v>
      </c>
      <c r="BC89" s="5">
        <f>بنك!BC20</f>
        <v>0</v>
      </c>
      <c r="BD89" s="5">
        <f>بنك!BD20</f>
        <v>0</v>
      </c>
      <c r="BE89" s="5">
        <f>بنك!BE20</f>
        <v>0</v>
      </c>
      <c r="BF89" s="5">
        <f>بنك!BF20</f>
        <v>0</v>
      </c>
      <c r="BG89" s="5">
        <f>بنك!BG20</f>
        <v>0</v>
      </c>
      <c r="BH89" s="5">
        <f>بنك!BH20</f>
        <v>0.01</v>
      </c>
      <c r="BI89" s="5">
        <f>بنك!BI20</f>
        <v>557.28980000000001</v>
      </c>
      <c r="BJ89" s="5">
        <f>بنك!BJ20</f>
        <v>3069.1002000000003</v>
      </c>
      <c r="BK89" s="5" t="str">
        <f>بنك!BK20</f>
        <v>ايمان محمد ابراهيم</v>
      </c>
      <c r="BL89" s="5" t="str">
        <f>بنك!BL20</f>
        <v>ثانيه</v>
      </c>
      <c r="BM89" s="5" t="str">
        <f>بنك!BM20</f>
        <v>مصر</v>
      </c>
      <c r="BN89" s="53" t="str">
        <f>بنك!BO20</f>
        <v>مدرس</v>
      </c>
      <c r="BO89" s="162">
        <f>بنك!BP20</f>
        <v>0</v>
      </c>
      <c r="BP89" s="162">
        <f>بنك!BQ20</f>
        <v>0</v>
      </c>
      <c r="BQ89" s="160">
        <f t="shared" si="29"/>
        <v>675</v>
      </c>
      <c r="BR89" s="162"/>
      <c r="BS89" s="162">
        <f>بنك!BT20</f>
        <v>0</v>
      </c>
      <c r="BT89" s="162">
        <f>بنك!BU20</f>
        <v>0</v>
      </c>
      <c r="BW89" t="s">
        <v>282</v>
      </c>
      <c r="BZ89">
        <v>4925.05</v>
      </c>
    </row>
    <row r="90" spans="1:78" ht="24" customHeight="1">
      <c r="A90">
        <v>945.29</v>
      </c>
      <c r="B90" t="str">
        <f t="shared" si="31"/>
        <v xml:space="preserve">عبدالحليم انور صالح </v>
      </c>
      <c r="C90" s="1">
        <f>بنك!C21</f>
        <v>0</v>
      </c>
      <c r="D90" s="3">
        <v>71</v>
      </c>
      <c r="E90" s="4"/>
      <c r="F90" s="5">
        <f>بنك!F21</f>
        <v>0</v>
      </c>
      <c r="G90" s="5">
        <f>بنك!G21</f>
        <v>0</v>
      </c>
      <c r="H90" s="5" t="str">
        <f>بنك!H21</f>
        <v/>
      </c>
      <c r="I90" s="5" t="str">
        <f>بنك!I21</f>
        <v/>
      </c>
      <c r="J90" s="5" t="str">
        <f>بنك!J21</f>
        <v/>
      </c>
      <c r="K90" s="5" t="str">
        <f>بنك!K21</f>
        <v/>
      </c>
      <c r="L90" s="5">
        <f>بنك!L21</f>
        <v>0</v>
      </c>
      <c r="M90" s="5">
        <f>بنك!M21</f>
        <v>0</v>
      </c>
      <c r="N90" s="28" t="str">
        <f>بنك!N21</f>
        <v/>
      </c>
      <c r="O90" s="28">
        <f>بنك!O21</f>
        <v>150</v>
      </c>
      <c r="P90" s="28">
        <f>بنك!P21</f>
        <v>300</v>
      </c>
      <c r="Q90" s="28">
        <f>بنك!Q21</f>
        <v>325</v>
      </c>
      <c r="R90" s="28">
        <f>بنك!R21</f>
        <v>0</v>
      </c>
      <c r="S90" s="28" t="str">
        <f>بنك!S21</f>
        <v/>
      </c>
      <c r="T90" s="28" t="str">
        <f>بنك!T21</f>
        <v/>
      </c>
      <c r="U90" s="28" t="str">
        <f>بنك!U21</f>
        <v/>
      </c>
      <c r="V90" s="28">
        <f>بنك!V21</f>
        <v>85</v>
      </c>
      <c r="W90" s="28">
        <f>بنك!W21</f>
        <v>0</v>
      </c>
      <c r="X90" s="28">
        <f>بنك!X21</f>
        <v>0</v>
      </c>
      <c r="Y90" s="5">
        <f>بنك!Y21</f>
        <v>0</v>
      </c>
      <c r="Z90" s="5">
        <f>بنك!Z21</f>
        <v>2886.61</v>
      </c>
      <c r="AA90" s="5">
        <f>بنك!AA21</f>
        <v>344.91</v>
      </c>
      <c r="AB90" s="5">
        <f>بنك!AB21</f>
        <v>73.33</v>
      </c>
      <c r="AC90" s="5">
        <f>بنك!AC21</f>
        <v>0</v>
      </c>
      <c r="AD90" s="5">
        <f>بنك!AD21</f>
        <v>0</v>
      </c>
      <c r="AE90" s="5">
        <f>بنك!AE21</f>
        <v>0</v>
      </c>
      <c r="AF90" s="5">
        <f>بنك!AF21</f>
        <v>0</v>
      </c>
      <c r="AG90" s="5">
        <f>بنك!AG21</f>
        <v>4164.8500000000004</v>
      </c>
      <c r="AH90" s="5">
        <f>بنك!AH21</f>
        <v>0</v>
      </c>
      <c r="AI90" s="5">
        <f>بنك!AI21</f>
        <v>374.8365</v>
      </c>
      <c r="AJ90" s="5">
        <f>بنك!AJ21</f>
        <v>0</v>
      </c>
      <c r="AK90" s="5">
        <f>بنك!AK21</f>
        <v>41.648500000000006</v>
      </c>
      <c r="AL90" s="5">
        <f>بنك!AL21</f>
        <v>41.648500000000006</v>
      </c>
      <c r="AM90" s="5">
        <f>بنك!AM21</f>
        <v>5</v>
      </c>
      <c r="AN90" s="5" t="str">
        <f>بنك!AN21</f>
        <v/>
      </c>
      <c r="AO90" s="5">
        <f>بنك!AO21</f>
        <v>0</v>
      </c>
      <c r="AP90" s="5">
        <f>بنك!AP21</f>
        <v>47.5</v>
      </c>
      <c r="AQ90" s="5">
        <f>بنك!AQ21</f>
        <v>30.3</v>
      </c>
      <c r="AR90" s="5">
        <f>بنك!AR21</f>
        <v>0</v>
      </c>
      <c r="AS90" s="5">
        <f>بنك!AS21</f>
        <v>2</v>
      </c>
      <c r="AT90" s="5" t="str">
        <f>بنك!AT21</f>
        <v/>
      </c>
      <c r="AU90" s="5" t="str">
        <f>بنك!AU21</f>
        <v/>
      </c>
      <c r="AV90" s="5" t="str">
        <f>بنك!AV21</f>
        <v/>
      </c>
      <c r="AW90" s="5" t="str">
        <f>بنك!AW21</f>
        <v/>
      </c>
      <c r="AX90" s="5" t="str">
        <f>بنك!AX21</f>
        <v/>
      </c>
      <c r="AY90" s="5" t="str">
        <f>بنك!AY21</f>
        <v/>
      </c>
      <c r="AZ90" s="5">
        <f>بنك!AZ21</f>
        <v>9</v>
      </c>
      <c r="BA90" s="5">
        <f>بنك!BA21</f>
        <v>0</v>
      </c>
      <c r="BB90" s="5">
        <f>بنك!BB21</f>
        <v>0</v>
      </c>
      <c r="BC90" s="5">
        <f>بنك!BC21</f>
        <v>0</v>
      </c>
      <c r="BD90" s="5">
        <f>بنك!BD21</f>
        <v>0</v>
      </c>
      <c r="BE90" s="5">
        <f>بنك!BE21</f>
        <v>0</v>
      </c>
      <c r="BF90" s="5">
        <f>بنك!BF21</f>
        <v>0</v>
      </c>
      <c r="BG90" s="5">
        <f>بنك!BG21</f>
        <v>0</v>
      </c>
      <c r="BH90" s="5">
        <f>بنك!BH21</f>
        <v>0.02</v>
      </c>
      <c r="BI90" s="5">
        <f>بنك!BI21</f>
        <v>551.95349999999996</v>
      </c>
      <c r="BJ90" s="5">
        <f>بنك!BJ21</f>
        <v>3612.8965000000003</v>
      </c>
      <c r="BK90" s="5" t="str">
        <f>بنك!BK21</f>
        <v xml:space="preserve">عبدالحليم انور صالح </v>
      </c>
      <c r="BL90" s="5" t="str">
        <f>بنك!BL21</f>
        <v>اولى</v>
      </c>
      <c r="BM90" s="5" t="str">
        <f>بنك!BM21</f>
        <v>الأهلى</v>
      </c>
      <c r="BN90" s="53">
        <f>بنك!BO21</f>
        <v>0</v>
      </c>
      <c r="BO90" s="162">
        <f>بنك!BP21</f>
        <v>0</v>
      </c>
      <c r="BP90" s="162">
        <f>بنك!BQ21</f>
        <v>0</v>
      </c>
      <c r="BQ90" s="160">
        <f t="shared" si="29"/>
        <v>775</v>
      </c>
      <c r="BR90" s="162">
        <v>945.29</v>
      </c>
      <c r="BS90" s="162">
        <f>بنك!BT21</f>
        <v>0</v>
      </c>
      <c r="BT90" s="162">
        <f>بنك!BU21</f>
        <v>0</v>
      </c>
      <c r="BW90" t="s">
        <v>283</v>
      </c>
      <c r="BZ90">
        <v>3820</v>
      </c>
    </row>
    <row r="91" spans="1:78" ht="24" customHeight="1">
      <c r="A91">
        <v>593.88</v>
      </c>
      <c r="B91" t="str">
        <f t="shared" si="31"/>
        <v>رمضان الصباحى السعداوى</v>
      </c>
      <c r="C91" s="1">
        <f>بنك!C22</f>
        <v>0</v>
      </c>
      <c r="D91" s="3">
        <v>72</v>
      </c>
      <c r="E91" s="4"/>
      <c r="F91" s="5">
        <f>بنك!F22</f>
        <v>0</v>
      </c>
      <c r="G91" s="5">
        <f>بنك!G22</f>
        <v>0</v>
      </c>
      <c r="H91" s="5" t="str">
        <f>بنك!H22</f>
        <v/>
      </c>
      <c r="I91" s="5" t="str">
        <f>بنك!I22</f>
        <v/>
      </c>
      <c r="J91" s="5" t="str">
        <f>بنك!J22</f>
        <v/>
      </c>
      <c r="K91" s="5" t="str">
        <f>بنك!K22</f>
        <v/>
      </c>
      <c r="L91" s="5">
        <f>بنك!L22</f>
        <v>0</v>
      </c>
      <c r="M91" s="5">
        <f>بنك!M22</f>
        <v>0</v>
      </c>
      <c r="N91" s="28" t="str">
        <f>بنك!N22</f>
        <v/>
      </c>
      <c r="O91" s="28">
        <f>بنك!O22</f>
        <v>150</v>
      </c>
      <c r="P91" s="28">
        <f>بنك!P22</f>
        <v>250</v>
      </c>
      <c r="Q91" s="28">
        <f>بنك!Q22</f>
        <v>275</v>
      </c>
      <c r="R91" s="28">
        <f>بنك!R22</f>
        <v>144</v>
      </c>
      <c r="S91" s="28" t="str">
        <f>بنك!S22</f>
        <v/>
      </c>
      <c r="T91" s="28" t="str">
        <f>بنك!T22</f>
        <v/>
      </c>
      <c r="U91" s="28" t="str">
        <f>بنك!U22</f>
        <v/>
      </c>
      <c r="V91" s="28">
        <f>بنك!V22</f>
        <v>65</v>
      </c>
      <c r="W91" s="28">
        <f>بنك!W22</f>
        <v>0</v>
      </c>
      <c r="X91" s="28">
        <f>بنك!X22</f>
        <v>0</v>
      </c>
      <c r="Y91" s="5">
        <f>بنك!Y22</f>
        <v>0</v>
      </c>
      <c r="Z91" s="5">
        <f>بنك!Z22</f>
        <v>2276</v>
      </c>
      <c r="AA91" s="5">
        <f>بنك!AA22</f>
        <v>216.69</v>
      </c>
      <c r="AB91" s="5">
        <f>بنك!AB22</f>
        <v>47.78</v>
      </c>
      <c r="AC91" s="5">
        <f>بنك!AC22</f>
        <v>0</v>
      </c>
      <c r="AD91" s="5">
        <f>بنك!AD22</f>
        <v>0</v>
      </c>
      <c r="AE91" s="5">
        <f>بنك!AE22</f>
        <v>0</v>
      </c>
      <c r="AF91" s="5">
        <f>بنك!AF22</f>
        <v>0</v>
      </c>
      <c r="AG91" s="5">
        <f>بنك!AG22</f>
        <v>3424.4700000000003</v>
      </c>
      <c r="AH91" s="5">
        <f>بنك!AH22</f>
        <v>0</v>
      </c>
      <c r="AI91" s="5">
        <f>بنك!AI22</f>
        <v>308.20230000000004</v>
      </c>
      <c r="AJ91" s="5">
        <f>بنك!AJ22</f>
        <v>18.52</v>
      </c>
      <c r="AK91" s="5">
        <f>بنك!AK22</f>
        <v>34.244700000000002</v>
      </c>
      <c r="AL91" s="5">
        <f>بنك!AL22</f>
        <v>34.244700000000002</v>
      </c>
      <c r="AM91" s="5">
        <f>بنك!AM22</f>
        <v>5</v>
      </c>
      <c r="AN91" s="5" t="str">
        <f>بنك!AN22</f>
        <v/>
      </c>
      <c r="AO91" s="5">
        <f>بنك!AO22</f>
        <v>0</v>
      </c>
      <c r="AP91" s="5">
        <f>بنك!AP22</f>
        <v>32.200000000000003</v>
      </c>
      <c r="AQ91" s="5">
        <f>بنك!AQ22</f>
        <v>24.95</v>
      </c>
      <c r="AR91" s="5">
        <f>بنك!AR22</f>
        <v>0</v>
      </c>
      <c r="AS91" s="5">
        <f>بنك!AS22</f>
        <v>1.5</v>
      </c>
      <c r="AT91" s="5" t="str">
        <f>بنك!AT22</f>
        <v/>
      </c>
      <c r="AU91" s="5" t="str">
        <f>بنك!AU22</f>
        <v/>
      </c>
      <c r="AV91" s="5" t="str">
        <f>بنك!AV22</f>
        <v/>
      </c>
      <c r="AW91" s="5" t="str">
        <f>بنك!AW22</f>
        <v/>
      </c>
      <c r="AX91" s="5" t="str">
        <f>بنك!AX22</f>
        <v/>
      </c>
      <c r="AY91" s="5" t="str">
        <f>بنك!AY22</f>
        <v/>
      </c>
      <c r="AZ91" s="5">
        <f>بنك!AZ22</f>
        <v>9</v>
      </c>
      <c r="BA91" s="5">
        <f>بنك!BA22</f>
        <v>0</v>
      </c>
      <c r="BB91" s="5">
        <f>بنك!BB22</f>
        <v>0</v>
      </c>
      <c r="BC91" s="5">
        <f>بنك!BC22</f>
        <v>0</v>
      </c>
      <c r="BD91" s="5">
        <f>بنك!BD22</f>
        <v>0</v>
      </c>
      <c r="BE91" s="5">
        <f>بنك!BE22</f>
        <v>0</v>
      </c>
      <c r="BF91" s="5">
        <f>بنك!BF22</f>
        <v>0</v>
      </c>
      <c r="BG91" s="5">
        <f>بنك!BG22</f>
        <v>0</v>
      </c>
      <c r="BH91" s="5">
        <f>بنك!BH22</f>
        <v>0.01</v>
      </c>
      <c r="BI91" s="5">
        <f>بنك!BI22</f>
        <v>467.87170000000003</v>
      </c>
      <c r="BJ91" s="5">
        <f>بنك!BJ22</f>
        <v>2956.5983000000001</v>
      </c>
      <c r="BK91" s="5" t="str">
        <f>بنك!BK22</f>
        <v>رمضان الصباحى السعداوى</v>
      </c>
      <c r="BL91" s="5" t="str">
        <f>بنك!BL22</f>
        <v>ثانيه</v>
      </c>
      <c r="BM91" s="5" t="str">
        <f>بنك!BM22</f>
        <v>ناصر -بشبيش</v>
      </c>
      <c r="BN91" s="53">
        <f>بنك!BO22</f>
        <v>0</v>
      </c>
      <c r="BO91" s="162">
        <f>بنك!BP22</f>
        <v>0</v>
      </c>
      <c r="BP91" s="162">
        <f>بنك!BQ22</f>
        <v>0</v>
      </c>
      <c r="BQ91" s="160">
        <f t="shared" si="29"/>
        <v>675</v>
      </c>
      <c r="BR91" s="162">
        <v>593.88</v>
      </c>
      <c r="BS91" s="162">
        <f>بنك!BT22</f>
        <v>0</v>
      </c>
      <c r="BT91" s="162">
        <f>بنك!BU22</f>
        <v>0</v>
      </c>
      <c r="BW91" t="s">
        <v>284</v>
      </c>
      <c r="BZ91">
        <v>2799.7</v>
      </c>
    </row>
    <row r="92" spans="1:78" ht="24" customHeight="1">
      <c r="A92">
        <v>676.45</v>
      </c>
      <c r="B92" t="str">
        <f t="shared" si="31"/>
        <v>حسن شان غازى سليمان</v>
      </c>
      <c r="C92" s="1">
        <f>بنك!C23</f>
        <v>0</v>
      </c>
      <c r="D92" s="3">
        <v>73</v>
      </c>
      <c r="E92" s="9"/>
      <c r="F92" s="5">
        <f>بنك!F23</f>
        <v>0</v>
      </c>
      <c r="G92" s="5">
        <f>بنك!G23</f>
        <v>0</v>
      </c>
      <c r="H92" s="5" t="str">
        <f>بنك!H23</f>
        <v/>
      </c>
      <c r="I92" s="5" t="str">
        <f>بنك!I23</f>
        <v/>
      </c>
      <c r="J92" s="5" t="str">
        <f>بنك!J23</f>
        <v/>
      </c>
      <c r="K92" s="5" t="str">
        <f>بنك!K23</f>
        <v/>
      </c>
      <c r="L92" s="5">
        <f>بنك!L23</f>
        <v>0</v>
      </c>
      <c r="M92" s="5">
        <f>بنك!M23</f>
        <v>0</v>
      </c>
      <c r="N92" s="28" t="str">
        <f>بنك!N23</f>
        <v/>
      </c>
      <c r="O92" s="28">
        <f>بنك!O23</f>
        <v>150</v>
      </c>
      <c r="P92" s="28">
        <f>بنك!P23</f>
        <v>200</v>
      </c>
      <c r="Q92" s="28">
        <f>بنك!Q23</f>
        <v>225</v>
      </c>
      <c r="R92" s="28">
        <f>بنك!R23</f>
        <v>0</v>
      </c>
      <c r="S92" s="28" t="str">
        <f>بنك!S23</f>
        <v/>
      </c>
      <c r="T92" s="28" t="str">
        <f>بنك!T23</f>
        <v/>
      </c>
      <c r="U92" s="28" t="str">
        <f>بنك!U23</f>
        <v/>
      </c>
      <c r="V92" s="28">
        <f>بنك!V23</f>
        <v>55</v>
      </c>
      <c r="W92" s="28">
        <f>بنك!W23</f>
        <v>0</v>
      </c>
      <c r="X92" s="28">
        <f>بنك!X23</f>
        <v>0</v>
      </c>
      <c r="Y92" s="5">
        <f>بنك!Y23</f>
        <v>0</v>
      </c>
      <c r="Z92" s="5">
        <f>بنك!Z23</f>
        <v>2469.4699999999998</v>
      </c>
      <c r="AA92" s="5">
        <f>بنك!AA23</f>
        <v>246.82</v>
      </c>
      <c r="AB92" s="5">
        <f>بنك!AB23</f>
        <v>53.33</v>
      </c>
      <c r="AC92" s="5">
        <f>بنك!AC23</f>
        <v>0</v>
      </c>
      <c r="AD92" s="5">
        <f>بنك!AD23</f>
        <v>0</v>
      </c>
      <c r="AE92" s="5">
        <f>بنك!AE23</f>
        <v>0</v>
      </c>
      <c r="AF92" s="5">
        <f>بنك!AF23</f>
        <v>0</v>
      </c>
      <c r="AG92" s="5">
        <f>بنك!AG23</f>
        <v>3399.62</v>
      </c>
      <c r="AH92" s="5">
        <f>بنك!AH23</f>
        <v>0</v>
      </c>
      <c r="AI92" s="5">
        <f>بنك!AI23</f>
        <v>305.9658</v>
      </c>
      <c r="AJ92" s="5">
        <f>بنك!AJ23</f>
        <v>0</v>
      </c>
      <c r="AK92" s="5">
        <f>بنك!AK23</f>
        <v>33.996200000000002</v>
      </c>
      <c r="AL92" s="5">
        <f>بنك!AL23</f>
        <v>33.996200000000002</v>
      </c>
      <c r="AM92" s="5">
        <f>بنك!AM23</f>
        <v>5</v>
      </c>
      <c r="AN92" s="5" t="str">
        <f>بنك!AN23</f>
        <v/>
      </c>
      <c r="AO92" s="5">
        <f>بنك!AO23</f>
        <v>0</v>
      </c>
      <c r="AP92" s="5">
        <f>بنك!AP23</f>
        <v>32.200000000000003</v>
      </c>
      <c r="AQ92" s="5">
        <f>بنك!AQ23</f>
        <v>24.7</v>
      </c>
      <c r="AR92" s="5">
        <f>بنك!AR23</f>
        <v>0</v>
      </c>
      <c r="AS92" s="5">
        <f>بنك!AS23</f>
        <v>1.5</v>
      </c>
      <c r="AT92" s="5" t="str">
        <f>بنك!AT23</f>
        <v/>
      </c>
      <c r="AU92" s="5" t="str">
        <f>بنك!AU23</f>
        <v/>
      </c>
      <c r="AV92" s="5" t="str">
        <f>بنك!AV23</f>
        <v/>
      </c>
      <c r="AW92" s="5" t="str">
        <f>بنك!AW23</f>
        <v/>
      </c>
      <c r="AX92" s="5" t="str">
        <f>بنك!AX23</f>
        <v/>
      </c>
      <c r="AY92" s="5" t="str">
        <f>بنك!AY23</f>
        <v/>
      </c>
      <c r="AZ92" s="5">
        <f>بنك!AZ23</f>
        <v>0</v>
      </c>
      <c r="BA92" s="5">
        <f>بنك!BA23</f>
        <v>0</v>
      </c>
      <c r="BB92" s="5">
        <f>بنك!BB23</f>
        <v>0</v>
      </c>
      <c r="BC92" s="5">
        <f>بنك!BC23</f>
        <v>0</v>
      </c>
      <c r="BD92" s="5">
        <f>بنك!BD23</f>
        <v>0</v>
      </c>
      <c r="BE92" s="5">
        <f>بنك!BE23</f>
        <v>0</v>
      </c>
      <c r="BF92" s="5">
        <f>بنك!BF23</f>
        <v>0</v>
      </c>
      <c r="BG92" s="5">
        <f>بنك!BG23</f>
        <v>0</v>
      </c>
      <c r="BH92" s="5">
        <f>بنك!BH23</f>
        <v>0.01</v>
      </c>
      <c r="BI92" s="5">
        <f>بنك!BI23</f>
        <v>437.36819999999994</v>
      </c>
      <c r="BJ92" s="5">
        <f>بنك!BJ23</f>
        <v>2962.2518</v>
      </c>
      <c r="BK92" s="5" t="str">
        <f>بنك!BK23</f>
        <v>حسن شان غازى سليمان</v>
      </c>
      <c r="BL92" s="5" t="str">
        <f>بنك!BL23</f>
        <v>ثالثه</v>
      </c>
      <c r="BM92" s="5" t="str">
        <f>بنك!BM23</f>
        <v>ناصر -بشبيش</v>
      </c>
      <c r="BN92" s="53">
        <f>بنك!BO23</f>
        <v>0</v>
      </c>
      <c r="BO92" s="162">
        <f>بنك!BP23</f>
        <v>0</v>
      </c>
      <c r="BP92" s="162">
        <f>بنك!BQ23</f>
        <v>0</v>
      </c>
      <c r="BQ92" s="160">
        <f t="shared" si="29"/>
        <v>575</v>
      </c>
      <c r="BR92" s="162">
        <v>676.45</v>
      </c>
      <c r="BS92" s="162">
        <f>بنك!BT23</f>
        <v>0</v>
      </c>
      <c r="BT92" s="162">
        <f>بنك!BU23</f>
        <v>0</v>
      </c>
      <c r="BW92" t="s">
        <v>285</v>
      </c>
      <c r="BZ92">
        <v>3759.3</v>
      </c>
    </row>
    <row r="93" spans="1:78" ht="24" customHeight="1">
      <c r="A93">
        <v>678.27</v>
      </c>
      <c r="B93" t="str">
        <f t="shared" si="31"/>
        <v>عبدالحميد عبدالمنعم عبدالحليم</v>
      </c>
      <c r="C93" s="1">
        <f>بنك!C24</f>
        <v>0</v>
      </c>
      <c r="D93" s="3">
        <v>74</v>
      </c>
      <c r="E93" s="9"/>
      <c r="F93" s="5">
        <f>بنك!F24</f>
        <v>0</v>
      </c>
      <c r="G93" s="5">
        <f>بنك!G24</f>
        <v>0</v>
      </c>
      <c r="H93" s="5" t="str">
        <f>بنك!H24</f>
        <v/>
      </c>
      <c r="I93" s="5" t="str">
        <f>بنك!I24</f>
        <v/>
      </c>
      <c r="J93" s="5" t="str">
        <f>بنك!J24</f>
        <v/>
      </c>
      <c r="K93" s="5" t="str">
        <f>بنك!K24</f>
        <v/>
      </c>
      <c r="L93" s="5">
        <f>بنك!L24</f>
        <v>0</v>
      </c>
      <c r="M93" s="5">
        <f>بنك!M24</f>
        <v>0</v>
      </c>
      <c r="N93" s="28" t="str">
        <f>بنك!N24</f>
        <v/>
      </c>
      <c r="O93" s="28">
        <f>بنك!O24</f>
        <v>150</v>
      </c>
      <c r="P93" s="28">
        <f>بنك!P24</f>
        <v>200</v>
      </c>
      <c r="Q93" s="28">
        <f>بنك!Q24</f>
        <v>225</v>
      </c>
      <c r="R93" s="28">
        <f>بنك!R24</f>
        <v>0</v>
      </c>
      <c r="S93" s="28" t="str">
        <f>بنك!S24</f>
        <v/>
      </c>
      <c r="T93" s="28" t="str">
        <f>بنك!T24</f>
        <v/>
      </c>
      <c r="U93" s="28" t="str">
        <f>بنك!U24</f>
        <v/>
      </c>
      <c r="V93" s="28">
        <f>بنك!V24</f>
        <v>55</v>
      </c>
      <c r="W93" s="28">
        <f>بنك!W24</f>
        <v>0</v>
      </c>
      <c r="X93" s="28">
        <f>بنك!X24</f>
        <v>0</v>
      </c>
      <c r="Y93" s="5">
        <f>بنك!Y24</f>
        <v>0</v>
      </c>
      <c r="Z93" s="5">
        <f>بنك!Z24</f>
        <v>2474.16</v>
      </c>
      <c r="AA93" s="5">
        <f>بنك!AA24</f>
        <v>247.48</v>
      </c>
      <c r="AB93" s="5">
        <f>بنك!AB24</f>
        <v>54.44</v>
      </c>
      <c r="AC93" s="5">
        <f>بنك!AC24</f>
        <v>0</v>
      </c>
      <c r="AD93" s="5">
        <f>بنك!AD24</f>
        <v>0</v>
      </c>
      <c r="AE93" s="5">
        <f>بنك!AE24</f>
        <v>0</v>
      </c>
      <c r="AF93" s="5">
        <f>بنك!AF24</f>
        <v>0</v>
      </c>
      <c r="AG93" s="5">
        <f>بنك!AG24</f>
        <v>3406.08</v>
      </c>
      <c r="AH93" s="5">
        <f>بنك!AH24</f>
        <v>0</v>
      </c>
      <c r="AI93" s="5">
        <f>بنك!AI24</f>
        <v>306.54719999999998</v>
      </c>
      <c r="AJ93" s="5">
        <f>بنك!AJ24</f>
        <v>3.55</v>
      </c>
      <c r="AK93" s="5">
        <f>بنك!AK24</f>
        <v>34.0608</v>
      </c>
      <c r="AL93" s="5">
        <f>بنك!AL24</f>
        <v>34.0608</v>
      </c>
      <c r="AM93" s="5">
        <f>بنك!AM24</f>
        <v>5</v>
      </c>
      <c r="AN93" s="5" t="str">
        <f>بنك!AN24</f>
        <v/>
      </c>
      <c r="AO93" s="5">
        <f>بنك!AO24</f>
        <v>0</v>
      </c>
      <c r="AP93" s="5">
        <f>بنك!AP24</f>
        <v>37.700000000000003</v>
      </c>
      <c r="AQ93" s="5">
        <f>بنك!AQ24</f>
        <v>24.75</v>
      </c>
      <c r="AR93" s="5">
        <f>بنك!AR24</f>
        <v>0</v>
      </c>
      <c r="AS93" s="5">
        <f>بنك!AS24</f>
        <v>1.5</v>
      </c>
      <c r="AT93" s="5" t="str">
        <f>بنك!AT24</f>
        <v/>
      </c>
      <c r="AU93" s="5" t="str">
        <f>بنك!AU24</f>
        <v/>
      </c>
      <c r="AV93" s="5" t="str">
        <f>بنك!AV24</f>
        <v/>
      </c>
      <c r="AW93" s="5" t="str">
        <f>بنك!AW24</f>
        <v/>
      </c>
      <c r="AX93" s="5" t="str">
        <f>بنك!AX24</f>
        <v/>
      </c>
      <c r="AY93" s="5" t="str">
        <f>بنك!AY24</f>
        <v/>
      </c>
      <c r="AZ93" s="5">
        <f>بنك!AZ24</f>
        <v>0</v>
      </c>
      <c r="BA93" s="5">
        <f>بنك!BA24</f>
        <v>0</v>
      </c>
      <c r="BB93" s="5">
        <f>بنك!BB24</f>
        <v>0</v>
      </c>
      <c r="BC93" s="5">
        <f>بنك!BC24</f>
        <v>0</v>
      </c>
      <c r="BD93" s="5">
        <f>بنك!BD24</f>
        <v>0</v>
      </c>
      <c r="BE93" s="5">
        <f>بنك!BE24</f>
        <v>0</v>
      </c>
      <c r="BF93" s="5">
        <f>بنك!BF24</f>
        <v>0</v>
      </c>
      <c r="BG93" s="5">
        <f>بنك!BG24</f>
        <v>0</v>
      </c>
      <c r="BH93" s="5">
        <f>بنك!BH24</f>
        <v>0.01</v>
      </c>
      <c r="BI93" s="5">
        <f>بنك!BI24</f>
        <v>447.17879999999997</v>
      </c>
      <c r="BJ93" s="5">
        <f>بنك!BJ24</f>
        <v>2958.9011999999998</v>
      </c>
      <c r="BK93" s="5" t="str">
        <f>بنك!BK24</f>
        <v>عبدالحميد عبدالمنعم عبدالحليم</v>
      </c>
      <c r="BL93" s="5" t="str">
        <f>بنك!BL24</f>
        <v>ثالثه</v>
      </c>
      <c r="BM93" s="5" t="str">
        <f>بنك!BM24</f>
        <v>ناصر -بشبيش</v>
      </c>
      <c r="BN93" s="53">
        <f>بنك!BO24</f>
        <v>0</v>
      </c>
      <c r="BO93" s="162">
        <f>بنك!BP24</f>
        <v>0</v>
      </c>
      <c r="BP93" s="162">
        <f>بنك!BQ24</f>
        <v>0</v>
      </c>
      <c r="BQ93" s="160">
        <f t="shared" si="29"/>
        <v>575</v>
      </c>
      <c r="BR93" s="162">
        <v>678.27</v>
      </c>
      <c r="BS93" s="162">
        <f>بنك!BT24</f>
        <v>0</v>
      </c>
      <c r="BT93" s="162">
        <f>بنك!BU24</f>
        <v>0</v>
      </c>
      <c r="BW93" t="s">
        <v>286</v>
      </c>
      <c r="BZ93">
        <v>4131.3</v>
      </c>
    </row>
    <row r="94" spans="1:78">
      <c r="C94" s="1">
        <f>بنك!C25</f>
        <v>0</v>
      </c>
    </row>
  </sheetData>
  <mergeCells count="12">
    <mergeCell ref="BN7:BN9"/>
    <mergeCell ref="D7:D9"/>
    <mergeCell ref="E7:E9"/>
    <mergeCell ref="F7:F8"/>
    <mergeCell ref="G7:AF7"/>
    <mergeCell ref="AH7:AQ7"/>
    <mergeCell ref="AR7:BH7"/>
    <mergeCell ref="BI7:BI8"/>
    <mergeCell ref="BJ7:BJ8"/>
    <mergeCell ref="BK7:BK9"/>
    <mergeCell ref="BL7:BL9"/>
    <mergeCell ref="BM7:BM9"/>
  </mergeCells>
  <dataValidations disablePrompts="1" count="1">
    <dataValidation type="list" allowBlank="1" showInputMessage="1" showErrorMessage="1" sqref="BL10:BL34">
      <formula1>$BT$10:$BT$17</formula1>
    </dataValidation>
  </dataValidations>
  <printOptions horizontalCentered="1"/>
  <pageMargins left="0" right="0" top="0.25" bottom="0" header="0.3" footer="0.3"/>
  <pageSetup paperSize="9" scale="72" orientation="landscape" r:id="rId1"/>
  <colBreaks count="2" manualBreakCount="2">
    <brk id="25" min="5" max="34" man="1"/>
    <brk id="44" min="5" max="34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rightToLeft="1" view="pageBreakPreview" topLeftCell="A22" zoomScale="60" zoomScaleNormal="100" workbookViewId="0">
      <selection activeCell="G11" sqref="G11"/>
    </sheetView>
  </sheetViews>
  <sheetFormatPr defaultRowHeight="15"/>
  <cols>
    <col min="1" max="1" width="5.28515625" customWidth="1"/>
    <col min="2" max="2" width="19.85546875" bestFit="1" customWidth="1"/>
    <col min="3" max="3" width="6.42578125" customWidth="1"/>
    <col min="4" max="6" width="5.7109375" customWidth="1"/>
    <col min="7" max="7" width="4.28515625" customWidth="1"/>
    <col min="8" max="8" width="24.85546875" customWidth="1"/>
    <col min="9" max="9" width="7.85546875" customWidth="1"/>
  </cols>
  <sheetData>
    <row r="1" spans="1:9" ht="18.75">
      <c r="A1" s="16" t="s">
        <v>269</v>
      </c>
      <c r="B1" s="16"/>
      <c r="C1" s="16"/>
      <c r="D1" s="16"/>
      <c r="E1" s="16"/>
      <c r="F1" s="16"/>
      <c r="G1" s="16" t="s">
        <v>269</v>
      </c>
      <c r="H1" s="16"/>
      <c r="I1" s="16"/>
    </row>
    <row r="2" spans="1:9" ht="18.75">
      <c r="A2" s="16" t="s">
        <v>139</v>
      </c>
      <c r="B2" s="16"/>
      <c r="C2" s="16"/>
      <c r="D2" s="16"/>
      <c r="E2" s="16"/>
      <c r="F2" s="16"/>
      <c r="G2" s="16" t="s">
        <v>139</v>
      </c>
      <c r="H2" s="16"/>
      <c r="I2" s="16"/>
    </row>
    <row r="3" spans="1:9" ht="18.75">
      <c r="A3" s="16"/>
      <c r="B3" s="16"/>
      <c r="C3" s="16"/>
      <c r="D3" s="16"/>
      <c r="E3" s="16"/>
      <c r="F3" s="16"/>
      <c r="G3" s="16"/>
      <c r="H3" s="16"/>
      <c r="I3" s="16"/>
    </row>
    <row r="4" spans="1:9" ht="18.75">
      <c r="A4" s="16" t="s">
        <v>348</v>
      </c>
      <c r="B4" s="16"/>
      <c r="C4" s="16"/>
      <c r="D4" s="16"/>
      <c r="E4" s="16"/>
      <c r="F4" s="16"/>
      <c r="G4" s="16" t="s">
        <v>350</v>
      </c>
      <c r="H4" s="16"/>
      <c r="I4" s="16"/>
    </row>
    <row r="5" spans="1:9" ht="18.75">
      <c r="A5" s="16" t="s">
        <v>349</v>
      </c>
      <c r="B5" s="16"/>
      <c r="C5" s="16"/>
      <c r="D5" s="16"/>
      <c r="E5" s="16"/>
      <c r="F5" s="16"/>
      <c r="G5" s="16" t="s">
        <v>349</v>
      </c>
      <c r="H5" s="16"/>
      <c r="I5" s="16"/>
    </row>
    <row r="6" spans="1:9" ht="18.75">
      <c r="A6" s="16"/>
      <c r="B6" s="16"/>
      <c r="C6" s="16"/>
      <c r="D6" s="16"/>
      <c r="E6" s="16"/>
      <c r="F6" s="16"/>
      <c r="G6" s="16"/>
      <c r="H6" s="16"/>
      <c r="I6" s="16"/>
    </row>
    <row r="7" spans="1:9" ht="75">
      <c r="A7" s="87" t="s">
        <v>270</v>
      </c>
      <c r="B7" s="87" t="s">
        <v>40</v>
      </c>
      <c r="C7" s="88" t="s">
        <v>297</v>
      </c>
      <c r="D7" s="18"/>
      <c r="E7" s="18"/>
      <c r="F7" s="18"/>
      <c r="G7" s="87" t="s">
        <v>270</v>
      </c>
      <c r="H7" s="87" t="s">
        <v>40</v>
      </c>
      <c r="I7" s="88" t="s">
        <v>298</v>
      </c>
    </row>
    <row r="8" spans="1:9" ht="18.75">
      <c r="A8" s="75">
        <v>1</v>
      </c>
      <c r="B8" s="75" t="s">
        <v>87</v>
      </c>
      <c r="C8" s="75">
        <v>9</v>
      </c>
      <c r="D8" s="16"/>
      <c r="E8" s="16"/>
      <c r="F8" s="16"/>
      <c r="G8" s="75">
        <v>1</v>
      </c>
      <c r="H8" s="75" t="s">
        <v>272</v>
      </c>
      <c r="I8" s="75">
        <v>70</v>
      </c>
    </row>
    <row r="9" spans="1:9" ht="18.75">
      <c r="A9" s="75">
        <v>2</v>
      </c>
      <c r="B9" s="75" t="s">
        <v>44</v>
      </c>
      <c r="C9" s="75">
        <v>9</v>
      </c>
      <c r="D9" s="16"/>
      <c r="E9" s="16"/>
      <c r="F9" s="16"/>
      <c r="G9" s="75"/>
      <c r="H9" s="75"/>
      <c r="I9" s="75"/>
    </row>
    <row r="10" spans="1:9" ht="18.75">
      <c r="A10" s="75">
        <v>3</v>
      </c>
      <c r="B10" s="75" t="s">
        <v>105</v>
      </c>
      <c r="C10" s="75">
        <v>9</v>
      </c>
      <c r="D10" s="16"/>
      <c r="E10" s="16"/>
      <c r="F10" s="16"/>
      <c r="G10" s="75"/>
      <c r="H10" s="75"/>
      <c r="I10" s="75"/>
    </row>
    <row r="11" spans="1:9" ht="18.75">
      <c r="A11" s="75">
        <v>4</v>
      </c>
      <c r="B11" s="75" t="s">
        <v>133</v>
      </c>
      <c r="C11" s="75">
        <v>9</v>
      </c>
      <c r="D11" s="16"/>
      <c r="E11" s="16"/>
      <c r="F11" s="16"/>
      <c r="G11" s="75"/>
      <c r="H11" s="75"/>
      <c r="I11" s="75"/>
    </row>
    <row r="12" spans="1:9" ht="18.75">
      <c r="A12" s="75">
        <v>5</v>
      </c>
      <c r="B12" s="75" t="s">
        <v>134</v>
      </c>
      <c r="C12" s="75">
        <v>9</v>
      </c>
      <c r="D12" s="16"/>
      <c r="E12" s="16"/>
      <c r="F12" s="16"/>
      <c r="G12" s="75"/>
      <c r="H12" s="75"/>
      <c r="I12" s="75"/>
    </row>
    <row r="13" spans="1:9" ht="18.75">
      <c r="A13" s="75"/>
      <c r="B13" s="75"/>
      <c r="C13" s="75"/>
      <c r="D13" s="16"/>
      <c r="E13" s="16"/>
      <c r="F13" s="16"/>
      <c r="G13" s="75"/>
      <c r="H13" s="75"/>
      <c r="I13" s="75"/>
    </row>
    <row r="14" spans="1:9" ht="18.75">
      <c r="A14" s="306" t="s">
        <v>193</v>
      </c>
      <c r="B14" s="307"/>
      <c r="C14" s="75">
        <v>45</v>
      </c>
      <c r="D14" s="16"/>
      <c r="E14" s="16"/>
      <c r="F14" s="16"/>
      <c r="G14" s="306" t="s">
        <v>193</v>
      </c>
      <c r="H14" s="307"/>
      <c r="I14" s="75">
        <v>70</v>
      </c>
    </row>
    <row r="15" spans="1:9" ht="49.5" customHeight="1">
      <c r="A15" s="16"/>
      <c r="B15" s="16"/>
      <c r="C15" s="16"/>
      <c r="D15" s="16"/>
      <c r="E15" s="16"/>
      <c r="F15" s="16"/>
      <c r="G15" s="16"/>
      <c r="H15" s="16"/>
      <c r="I15" s="16"/>
    </row>
    <row r="16" spans="1:9" ht="18.75">
      <c r="A16" s="16" t="s">
        <v>269</v>
      </c>
      <c r="B16" s="16"/>
      <c r="C16" s="16"/>
      <c r="D16" s="16"/>
      <c r="E16" s="16"/>
      <c r="F16" s="16"/>
      <c r="G16" s="16" t="s">
        <v>269</v>
      </c>
      <c r="H16" s="16"/>
      <c r="I16" s="16"/>
    </row>
    <row r="17" spans="1:18" ht="18.75">
      <c r="A17" s="16" t="s">
        <v>139</v>
      </c>
      <c r="B17" s="16"/>
      <c r="C17" s="16"/>
      <c r="D17" s="16"/>
      <c r="E17" s="16"/>
      <c r="F17" s="16"/>
      <c r="G17" s="16" t="s">
        <v>139</v>
      </c>
      <c r="H17" s="16"/>
      <c r="I17" s="16"/>
    </row>
    <row r="18" spans="1:18" ht="18.75">
      <c r="A18" s="16"/>
      <c r="B18" s="16"/>
      <c r="C18" s="16"/>
      <c r="D18" s="16"/>
      <c r="E18" s="16"/>
      <c r="F18" s="16"/>
      <c r="G18" s="16"/>
      <c r="H18" s="16"/>
      <c r="I18" s="16"/>
    </row>
    <row r="19" spans="1:18" ht="18.75">
      <c r="A19" s="16" t="s">
        <v>351</v>
      </c>
      <c r="B19" s="16"/>
      <c r="C19" s="16"/>
      <c r="D19" s="16"/>
      <c r="E19" s="16"/>
      <c r="F19" s="16"/>
      <c r="G19" s="16" t="s">
        <v>352</v>
      </c>
      <c r="H19" s="16"/>
      <c r="I19" s="16"/>
    </row>
    <row r="20" spans="1:18" ht="18.75">
      <c r="A20" s="16" t="s">
        <v>349</v>
      </c>
      <c r="B20" s="16"/>
      <c r="C20" s="16"/>
      <c r="D20" s="16"/>
      <c r="E20" s="16"/>
      <c r="F20" s="16"/>
      <c r="G20" s="16" t="s">
        <v>353</v>
      </c>
      <c r="H20" s="16"/>
      <c r="I20" s="16"/>
    </row>
    <row r="21" spans="1:18" ht="18.75">
      <c r="A21" s="16"/>
      <c r="B21" s="16"/>
      <c r="C21" s="16"/>
      <c r="D21" s="16"/>
      <c r="E21" s="16"/>
      <c r="F21" s="16"/>
      <c r="G21" s="16"/>
      <c r="H21" s="16"/>
      <c r="I21" s="16"/>
    </row>
    <row r="22" spans="1:18" ht="75">
      <c r="A22" s="87" t="s">
        <v>270</v>
      </c>
      <c r="B22" s="87" t="s">
        <v>40</v>
      </c>
      <c r="C22" s="88" t="s">
        <v>298</v>
      </c>
      <c r="D22" s="18"/>
      <c r="E22" s="18"/>
      <c r="F22" s="18"/>
      <c r="G22" s="87" t="s">
        <v>270</v>
      </c>
      <c r="H22" s="87" t="s">
        <v>40</v>
      </c>
      <c r="I22" s="88" t="s">
        <v>298</v>
      </c>
      <c r="R22" t="s">
        <v>271</v>
      </c>
    </row>
    <row r="23" spans="1:18" ht="18.75">
      <c r="A23" s="75">
        <v>1</v>
      </c>
      <c r="B23" s="75" t="s">
        <v>129</v>
      </c>
      <c r="C23" s="75">
        <v>7.1</v>
      </c>
      <c r="D23" s="16"/>
      <c r="E23" s="16"/>
      <c r="F23" s="16"/>
      <c r="G23" s="75">
        <v>1</v>
      </c>
      <c r="H23" s="75" t="s">
        <v>80</v>
      </c>
      <c r="I23" s="75">
        <v>90</v>
      </c>
    </row>
    <row r="24" spans="1:18" ht="18.75">
      <c r="A24" s="75"/>
      <c r="B24" s="75"/>
      <c r="C24" s="75"/>
      <c r="D24" s="16"/>
      <c r="E24" s="16"/>
      <c r="F24" s="16"/>
      <c r="G24" s="75">
        <v>2</v>
      </c>
      <c r="H24" s="75" t="s">
        <v>45</v>
      </c>
      <c r="I24" s="75">
        <v>13.26</v>
      </c>
    </row>
    <row r="25" spans="1:18" ht="18.75">
      <c r="A25" s="75"/>
      <c r="B25" s="75"/>
      <c r="C25" s="75"/>
      <c r="D25" s="16"/>
      <c r="E25" s="16"/>
      <c r="F25" s="16"/>
      <c r="G25" s="75"/>
      <c r="H25" s="75"/>
      <c r="I25" s="75"/>
    </row>
    <row r="26" spans="1:18" ht="18.75">
      <c r="A26" s="75"/>
      <c r="B26" s="75"/>
      <c r="C26" s="75"/>
      <c r="D26" s="16"/>
      <c r="E26" s="16"/>
      <c r="F26" s="16"/>
      <c r="G26" s="75"/>
      <c r="H26" s="75"/>
      <c r="I26" s="75"/>
    </row>
    <row r="27" spans="1:18" ht="18.75">
      <c r="A27" s="306" t="s">
        <v>193</v>
      </c>
      <c r="B27" s="307"/>
      <c r="C27" s="75">
        <v>7.1</v>
      </c>
      <c r="D27" s="16"/>
      <c r="E27" s="16"/>
      <c r="F27" s="16"/>
      <c r="G27" s="306" t="s">
        <v>193</v>
      </c>
      <c r="H27" s="307"/>
      <c r="I27" s="75">
        <f>SUM(I23:I26)</f>
        <v>103.26</v>
      </c>
    </row>
    <row r="28" spans="1:18" ht="78" customHeight="1">
      <c r="A28" s="16"/>
      <c r="B28" s="16"/>
      <c r="C28" s="16"/>
      <c r="D28" s="16"/>
      <c r="E28" s="16"/>
      <c r="F28" s="16"/>
      <c r="G28" s="16"/>
      <c r="H28" s="16"/>
      <c r="I28" s="16"/>
    </row>
    <row r="29" spans="1:18" ht="18.75">
      <c r="A29" s="16" t="s">
        <v>269</v>
      </c>
      <c r="B29" s="16"/>
      <c r="C29" s="16"/>
      <c r="D29" s="16"/>
      <c r="E29" s="16"/>
      <c r="F29" s="16"/>
      <c r="G29" s="16"/>
      <c r="H29" s="16"/>
      <c r="I29" s="16"/>
    </row>
    <row r="30" spans="1:18" ht="18.75">
      <c r="A30" s="16" t="s">
        <v>139</v>
      </c>
      <c r="B30" s="16"/>
      <c r="C30" s="16"/>
      <c r="D30" s="16"/>
      <c r="E30" s="16"/>
      <c r="F30" s="16"/>
      <c r="G30" s="16"/>
      <c r="H30" s="16"/>
      <c r="I30" s="16"/>
    </row>
    <row r="31" spans="1:18" ht="18.75">
      <c r="A31" s="16"/>
      <c r="B31" s="16"/>
      <c r="C31" s="16"/>
      <c r="D31" s="16"/>
      <c r="E31" s="16"/>
      <c r="F31" s="16"/>
      <c r="G31" s="16"/>
      <c r="H31" s="16"/>
      <c r="I31" s="16"/>
    </row>
    <row r="32" spans="1:18" ht="18.75">
      <c r="A32" s="16" t="s">
        <v>354</v>
      </c>
      <c r="B32" s="16"/>
      <c r="C32" s="16"/>
      <c r="D32" s="16"/>
      <c r="E32" s="16"/>
      <c r="F32" s="16"/>
      <c r="G32" s="16"/>
      <c r="H32" s="16"/>
      <c r="I32" s="16"/>
    </row>
    <row r="33" spans="1:9" ht="18.75">
      <c r="A33" s="16" t="s">
        <v>349</v>
      </c>
      <c r="B33" s="16"/>
      <c r="C33" s="16"/>
      <c r="D33" s="16"/>
      <c r="E33" s="16"/>
      <c r="F33" s="16"/>
      <c r="G33" s="16"/>
      <c r="H33" s="16"/>
      <c r="I33" s="16"/>
    </row>
    <row r="34" spans="1:9" ht="18.75">
      <c r="A34" s="16"/>
      <c r="B34" s="16"/>
      <c r="C34" s="16"/>
      <c r="D34" s="16"/>
      <c r="E34" s="16"/>
      <c r="F34" s="16"/>
      <c r="G34" s="16"/>
      <c r="H34" s="16"/>
      <c r="I34" s="16"/>
    </row>
    <row r="35" spans="1:9" ht="75">
      <c r="A35" s="87" t="s">
        <v>270</v>
      </c>
      <c r="B35" s="87" t="s">
        <v>40</v>
      </c>
      <c r="C35" s="88" t="s">
        <v>298</v>
      </c>
      <c r="D35" s="18"/>
      <c r="E35" s="18"/>
      <c r="F35" s="18"/>
      <c r="G35" s="87"/>
      <c r="H35" s="87"/>
      <c r="I35" s="88"/>
    </row>
    <row r="36" spans="1:9" ht="18.75">
      <c r="A36" s="75">
        <v>1</v>
      </c>
      <c r="B36" s="75" t="s">
        <v>80</v>
      </c>
      <c r="C36" s="75">
        <v>250</v>
      </c>
      <c r="D36" s="16"/>
      <c r="E36" s="16"/>
      <c r="F36" s="16"/>
      <c r="G36" s="75"/>
      <c r="H36" s="75"/>
      <c r="I36" s="75"/>
    </row>
    <row r="37" spans="1:9" ht="18.75">
      <c r="A37" s="75"/>
      <c r="B37" s="75"/>
      <c r="C37" s="75"/>
      <c r="D37" s="16"/>
      <c r="E37" s="16"/>
      <c r="F37" s="16"/>
      <c r="G37" s="75"/>
      <c r="H37" s="75"/>
      <c r="I37" s="75"/>
    </row>
    <row r="38" spans="1:9" ht="18.75">
      <c r="A38" s="75"/>
      <c r="B38" s="75"/>
      <c r="C38" s="75"/>
      <c r="D38" s="16"/>
      <c r="E38" s="16"/>
      <c r="F38" s="16"/>
      <c r="G38" s="75"/>
      <c r="H38" s="75"/>
      <c r="I38" s="75"/>
    </row>
    <row r="39" spans="1:9" ht="18.75">
      <c r="A39" s="306" t="s">
        <v>193</v>
      </c>
      <c r="B39" s="307"/>
      <c r="C39" s="75">
        <v>250</v>
      </c>
      <c r="D39" s="16"/>
      <c r="E39" s="16"/>
      <c r="F39" s="16"/>
      <c r="G39" s="75"/>
      <c r="H39" s="75"/>
      <c r="I39" s="75"/>
    </row>
    <row r="40" spans="1:9" ht="18.75">
      <c r="A40" s="16"/>
      <c r="B40" s="16"/>
      <c r="C40" s="16"/>
      <c r="D40" s="16"/>
      <c r="E40" s="16"/>
      <c r="F40" s="16"/>
      <c r="G40" s="16"/>
      <c r="H40" s="16"/>
      <c r="I40" s="16"/>
    </row>
  </sheetData>
  <mergeCells count="5">
    <mergeCell ref="G14:H14"/>
    <mergeCell ref="A14:B14"/>
    <mergeCell ref="A27:B27"/>
    <mergeCell ref="G27:H27"/>
    <mergeCell ref="A39:B39"/>
  </mergeCells>
  <printOptions horizontalCentered="1"/>
  <pageMargins left="0" right="0" top="0.25" bottom="0" header="0.3" footer="0.3"/>
  <pageSetup scale="93" orientation="portrait" r:id="rId1"/>
  <colBreaks count="1" manualBreakCount="1">
    <brk id="9" max="4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rightToLeft="1" view="pageBreakPreview" zoomScale="60" zoomScaleNormal="100" workbookViewId="0">
      <selection activeCell="I11" sqref="I11"/>
    </sheetView>
  </sheetViews>
  <sheetFormatPr defaultRowHeight="15"/>
  <cols>
    <col min="1" max="1" width="11.85546875" customWidth="1"/>
  </cols>
  <sheetData>
    <row r="1" spans="1:11" ht="132" customHeight="1"/>
    <row r="2" spans="1:11" ht="18">
      <c r="A2" s="308" t="s">
        <v>334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</row>
    <row r="3" spans="1:11" ht="18">
      <c r="A3" s="308" t="s">
        <v>335</v>
      </c>
      <c r="B3" s="303"/>
      <c r="C3" s="303"/>
      <c r="D3" s="303"/>
      <c r="E3" s="303"/>
      <c r="F3" s="303"/>
      <c r="G3" s="303"/>
      <c r="H3" s="303"/>
      <c r="I3" s="303"/>
      <c r="J3" s="303"/>
      <c r="K3" s="303"/>
    </row>
    <row r="4" spans="1:11" ht="18">
      <c r="A4" s="308" t="s">
        <v>336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</row>
    <row r="5" spans="1:11" ht="18">
      <c r="A5" s="308" t="s">
        <v>337</v>
      </c>
      <c r="B5" s="303"/>
      <c r="C5" s="303"/>
      <c r="D5" s="303"/>
      <c r="E5" s="303"/>
      <c r="F5" s="303"/>
      <c r="G5" s="303"/>
      <c r="H5" s="303"/>
      <c r="I5" s="303"/>
      <c r="J5" s="303"/>
      <c r="K5" s="303"/>
    </row>
    <row r="6" spans="1:11" ht="18">
      <c r="A6" s="308" t="s">
        <v>338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</row>
    <row r="7" spans="1:11" ht="18.75">
      <c r="A7" s="133"/>
      <c r="B7" s="134"/>
      <c r="C7" s="134"/>
      <c r="D7" s="134"/>
      <c r="E7" s="134"/>
      <c r="F7" s="134"/>
      <c r="G7" s="135"/>
      <c r="H7" s="135"/>
      <c r="I7" s="135"/>
      <c r="J7" s="135"/>
      <c r="K7" s="136"/>
    </row>
    <row r="8" spans="1:11" ht="18.75">
      <c r="A8" s="133"/>
      <c r="B8" s="134"/>
      <c r="C8" s="134"/>
      <c r="D8" s="134"/>
      <c r="E8" s="134"/>
      <c r="F8" s="134"/>
      <c r="G8" s="135"/>
      <c r="H8" s="135"/>
      <c r="I8" s="135"/>
      <c r="J8" s="135"/>
      <c r="K8" s="136"/>
    </row>
    <row r="9" spans="1:11" ht="18.75">
      <c r="A9" s="133"/>
      <c r="B9" s="134"/>
      <c r="C9" s="134"/>
      <c r="D9" s="136"/>
      <c r="E9" s="134"/>
      <c r="F9" s="134"/>
      <c r="G9" s="135"/>
      <c r="H9" s="134" t="s">
        <v>329</v>
      </c>
      <c r="I9" s="135"/>
      <c r="J9" s="135"/>
      <c r="K9" s="136"/>
    </row>
    <row r="10" spans="1:11" ht="18.75">
      <c r="A10" s="133"/>
      <c r="B10" s="134"/>
      <c r="C10" s="134"/>
      <c r="D10" s="136"/>
      <c r="E10" s="134"/>
      <c r="F10" s="134"/>
      <c r="G10" s="135"/>
      <c r="H10" s="134"/>
      <c r="I10" s="135"/>
      <c r="J10" s="135"/>
      <c r="K10" s="136"/>
    </row>
    <row r="11" spans="1:11" ht="18.75">
      <c r="A11" s="133"/>
      <c r="B11" s="134"/>
      <c r="C11" s="134"/>
      <c r="D11" s="136"/>
      <c r="E11" s="134"/>
      <c r="F11" s="134"/>
      <c r="G11" s="135"/>
      <c r="H11" s="134"/>
      <c r="I11" s="135"/>
      <c r="J11" s="135"/>
      <c r="K11" s="136"/>
    </row>
    <row r="12" spans="1:11" ht="18.75">
      <c r="A12" s="133"/>
      <c r="B12" s="134"/>
      <c r="C12" s="134"/>
      <c r="D12" s="136"/>
      <c r="E12" s="134"/>
      <c r="F12" s="134"/>
      <c r="G12" s="135"/>
      <c r="H12" s="134"/>
      <c r="I12" s="135"/>
      <c r="J12" s="135"/>
      <c r="K12" s="136"/>
    </row>
    <row r="13" spans="1:11" ht="18.75">
      <c r="A13" s="133"/>
      <c r="B13" s="134"/>
      <c r="C13" s="134"/>
      <c r="D13" s="134"/>
      <c r="E13" s="134"/>
      <c r="F13" s="134"/>
      <c r="G13" s="135"/>
      <c r="H13" s="135"/>
      <c r="I13" s="135"/>
      <c r="J13" s="135"/>
      <c r="K13" s="136"/>
    </row>
    <row r="14" spans="1:11" ht="18">
      <c r="A14" s="308" t="s">
        <v>341</v>
      </c>
      <c r="B14" s="303"/>
      <c r="C14" s="303"/>
      <c r="D14" s="303"/>
      <c r="E14" s="303"/>
      <c r="F14" s="303"/>
      <c r="G14" s="303"/>
      <c r="H14" s="303"/>
      <c r="I14" s="303"/>
      <c r="J14" s="303"/>
      <c r="K14" s="303"/>
    </row>
    <row r="15" spans="1:11" ht="18">
      <c r="A15" s="308" t="s">
        <v>342</v>
      </c>
      <c r="B15" s="303"/>
      <c r="C15" s="303"/>
      <c r="D15" s="303"/>
      <c r="E15" s="303"/>
      <c r="F15" s="303"/>
      <c r="G15" s="303"/>
      <c r="H15" s="303"/>
      <c r="I15" s="303"/>
      <c r="J15" s="303"/>
      <c r="K15" s="303"/>
    </row>
    <row r="16" spans="1:11" ht="18">
      <c r="A16" s="308" t="s">
        <v>343</v>
      </c>
      <c r="B16" s="303"/>
      <c r="C16" s="303"/>
      <c r="D16" s="303"/>
      <c r="E16" s="303"/>
      <c r="F16" s="303"/>
      <c r="G16" s="303"/>
      <c r="H16" s="303"/>
      <c r="I16" s="303"/>
      <c r="J16" s="303"/>
      <c r="K16" s="303"/>
    </row>
    <row r="17" spans="1:16" ht="18.75">
      <c r="A17" s="133"/>
      <c r="B17" s="134"/>
      <c r="C17" s="134"/>
      <c r="D17" s="134"/>
      <c r="E17" s="134"/>
      <c r="F17" s="134"/>
      <c r="G17" s="135"/>
      <c r="H17" s="135"/>
      <c r="I17" s="135"/>
      <c r="J17" s="135"/>
      <c r="K17" s="136"/>
    </row>
    <row r="18" spans="1:16" ht="18.75">
      <c r="A18" s="133"/>
      <c r="B18" s="134"/>
      <c r="C18" s="134"/>
      <c r="D18" s="136"/>
      <c r="E18" s="134"/>
      <c r="F18" s="134"/>
      <c r="G18" s="135"/>
      <c r="H18" s="134" t="s">
        <v>330</v>
      </c>
      <c r="I18" s="135"/>
      <c r="J18" s="135"/>
      <c r="K18" s="136"/>
    </row>
    <row r="19" spans="1:16" ht="18.75">
      <c r="A19" s="133"/>
      <c r="B19" s="134"/>
      <c r="C19" s="134"/>
      <c r="D19" s="136"/>
      <c r="E19" s="134"/>
      <c r="F19" s="134"/>
      <c r="G19" s="135"/>
      <c r="H19" s="134"/>
      <c r="I19" s="135"/>
      <c r="J19" s="135"/>
      <c r="K19" s="136"/>
    </row>
    <row r="20" spans="1:16" ht="18.75">
      <c r="A20" s="133"/>
      <c r="B20" s="134"/>
      <c r="C20" s="134"/>
      <c r="D20" s="136"/>
      <c r="E20" s="134"/>
      <c r="F20" s="134"/>
      <c r="G20" s="135"/>
      <c r="H20" s="134"/>
      <c r="I20" s="135"/>
      <c r="J20" s="135"/>
      <c r="K20" s="136"/>
    </row>
    <row r="21" spans="1:16" ht="18.75">
      <c r="A21" s="133"/>
      <c r="B21" s="134"/>
      <c r="C21" s="134"/>
      <c r="D21" s="136"/>
      <c r="E21" s="134"/>
      <c r="F21" s="134"/>
      <c r="G21" s="135"/>
      <c r="H21" s="134"/>
      <c r="I21" s="135"/>
      <c r="J21" s="135"/>
      <c r="K21" s="136"/>
    </row>
    <row r="22" spans="1:16" ht="18.75">
      <c r="A22" s="133"/>
      <c r="B22" s="134"/>
      <c r="C22" s="134"/>
      <c r="D22" s="134"/>
      <c r="E22" s="134"/>
      <c r="F22" s="134"/>
      <c r="G22" s="135"/>
      <c r="H22" s="135"/>
      <c r="I22" s="135"/>
      <c r="J22" s="135"/>
      <c r="K22" s="136"/>
    </row>
    <row r="23" spans="1:16" ht="18">
      <c r="A23" s="308" t="s">
        <v>339</v>
      </c>
      <c r="B23" s="303"/>
      <c r="C23" s="303"/>
      <c r="D23" s="303"/>
      <c r="E23" s="303"/>
      <c r="F23" s="303"/>
      <c r="G23" s="303"/>
      <c r="H23" s="303"/>
      <c r="I23" s="303"/>
      <c r="J23" s="303"/>
      <c r="K23" s="303"/>
    </row>
    <row r="24" spans="1:16" ht="18">
      <c r="A24" s="308" t="s">
        <v>344</v>
      </c>
      <c r="B24" s="303"/>
      <c r="C24" s="303"/>
      <c r="D24" s="303"/>
      <c r="E24" s="303"/>
      <c r="F24" s="303"/>
      <c r="G24" s="303"/>
      <c r="H24" s="303"/>
      <c r="I24" s="303"/>
      <c r="J24" s="303"/>
      <c r="K24" s="303"/>
    </row>
    <row r="25" spans="1:16" ht="18">
      <c r="A25" s="308" t="s">
        <v>345</v>
      </c>
      <c r="B25" s="303"/>
      <c r="C25" s="303"/>
      <c r="D25" s="303"/>
      <c r="E25" s="303"/>
      <c r="F25" s="303"/>
      <c r="G25" s="303"/>
      <c r="H25" s="303"/>
      <c r="I25" s="303"/>
      <c r="J25" s="303"/>
      <c r="K25" s="303"/>
    </row>
    <row r="26" spans="1:16" ht="18">
      <c r="A26" s="308" t="s">
        <v>340</v>
      </c>
      <c r="B26" s="303"/>
      <c r="C26" s="303"/>
      <c r="D26" s="303"/>
      <c r="E26" s="303"/>
      <c r="F26" s="303"/>
      <c r="G26" s="303"/>
      <c r="H26" s="303"/>
      <c r="I26" s="303"/>
      <c r="J26" s="303"/>
      <c r="K26" s="303"/>
    </row>
    <row r="27" spans="1:16" ht="18">
      <c r="A27" s="308" t="s">
        <v>333</v>
      </c>
      <c r="B27" s="303"/>
      <c r="C27" s="303"/>
      <c r="D27" s="303"/>
      <c r="E27" s="303"/>
      <c r="F27" s="303"/>
      <c r="G27" s="303"/>
      <c r="H27" s="303"/>
      <c r="I27" s="303"/>
      <c r="J27" s="303"/>
      <c r="K27" s="303"/>
    </row>
    <row r="28" spans="1:16" ht="37.5" customHeight="1">
      <c r="G28" s="133" t="s">
        <v>332</v>
      </c>
      <c r="H28" s="134"/>
      <c r="I28" s="134"/>
      <c r="J28" s="134"/>
      <c r="K28" s="134"/>
      <c r="L28" s="134"/>
      <c r="M28" s="135"/>
      <c r="N28" s="135"/>
      <c r="O28" s="135"/>
      <c r="P28" s="135"/>
    </row>
    <row r="29" spans="1:16" ht="29.25" customHeight="1">
      <c r="A29" s="132"/>
      <c r="B29" s="130"/>
      <c r="C29" s="130"/>
      <c r="E29" s="130"/>
      <c r="F29" s="130"/>
      <c r="G29" s="131"/>
      <c r="H29" s="130" t="s">
        <v>331</v>
      </c>
      <c r="I29" s="131"/>
      <c r="J29" s="131"/>
    </row>
    <row r="30" spans="1:16" ht="18.75">
      <c r="A30" s="131"/>
      <c r="B30" s="131"/>
      <c r="C30" s="131"/>
      <c r="D30" s="131"/>
      <c r="E30" s="131"/>
      <c r="F30" s="131"/>
      <c r="G30" s="131"/>
      <c r="H30" s="131"/>
      <c r="I30" s="131"/>
      <c r="J30" s="131"/>
    </row>
  </sheetData>
  <mergeCells count="13">
    <mergeCell ref="A26:K26"/>
    <mergeCell ref="A27:K27"/>
    <mergeCell ref="A2:K2"/>
    <mergeCell ref="A3:K3"/>
    <mergeCell ref="A4:K4"/>
    <mergeCell ref="A5:K5"/>
    <mergeCell ref="A6:K6"/>
    <mergeCell ref="A14:K14"/>
    <mergeCell ref="A25:K25"/>
    <mergeCell ref="A15:K15"/>
    <mergeCell ref="A16:K16"/>
    <mergeCell ref="A23:K23"/>
    <mergeCell ref="A24:K24"/>
  </mergeCells>
  <printOptions horizontalCentered="1"/>
  <pageMargins left="0" right="0" top="0.74803149606299213" bottom="0.74803149606299213" header="0.31496062992125984" footer="0.31496062992125984"/>
  <pageSetup paperSize="9" scale="9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U35"/>
  <sheetViews>
    <sheetView showZeros="0" rightToLeft="1" view="pageBreakPreview" topLeftCell="A5" zoomScale="60" zoomScaleNormal="100" workbookViewId="0">
      <pane xSplit="3" ySplit="5" topLeftCell="AS25" activePane="bottomRight" state="frozen"/>
      <selection activeCell="A5" sqref="A5"/>
      <selection pane="topRight" activeCell="C5" sqref="C5"/>
      <selection pane="bottomLeft" activeCell="A9" sqref="A9"/>
      <selection pane="bottomRight" activeCell="BU11" sqref="BU11"/>
    </sheetView>
  </sheetViews>
  <sheetFormatPr defaultRowHeight="15"/>
  <cols>
    <col min="2" max="2" width="19" bestFit="1" customWidth="1"/>
    <col min="3" max="3" width="10.5703125" customWidth="1"/>
    <col min="4" max="4" width="5.85546875" customWidth="1"/>
    <col min="5" max="5" width="9.42578125" customWidth="1"/>
    <col min="6" max="6" width="12" bestFit="1" customWidth="1"/>
    <col min="7" max="9" width="10.85546875" bestFit="1" customWidth="1"/>
    <col min="10" max="10" width="11.140625" bestFit="1" customWidth="1"/>
    <col min="11" max="11" width="10.5703125" bestFit="1" customWidth="1"/>
    <col min="12" max="12" width="12.28515625" bestFit="1" customWidth="1"/>
    <col min="13" max="13" width="7.7109375" customWidth="1"/>
    <col min="14" max="14" width="8" bestFit="1" customWidth="1"/>
    <col min="15" max="22" width="7.7109375" customWidth="1"/>
    <col min="23" max="23" width="6.140625" customWidth="1"/>
    <col min="24" max="24" width="6" customWidth="1"/>
    <col min="25" max="25" width="9.140625" bestFit="1" customWidth="1"/>
    <col min="26" max="26" width="12" style="1" bestFit="1" customWidth="1"/>
    <col min="27" max="27" width="10.5703125" style="1" bestFit="1" customWidth="1"/>
    <col min="28" max="28" width="9.42578125" style="1" bestFit="1" customWidth="1"/>
    <col min="29" max="29" width="9.85546875" bestFit="1" customWidth="1"/>
    <col min="30" max="31" width="9.140625" bestFit="1" customWidth="1"/>
    <col min="32" max="32" width="8.28515625" customWidth="1"/>
    <col min="33" max="33" width="12.28515625" style="1" bestFit="1" customWidth="1"/>
    <col min="34" max="34" width="10.5703125" customWidth="1"/>
    <col min="35" max="35" width="10.85546875" style="1" bestFit="1" customWidth="1"/>
    <col min="36" max="36" width="10.28515625" customWidth="1"/>
    <col min="37" max="38" width="9.42578125" style="1" bestFit="1" customWidth="1"/>
    <col min="39" max="39" width="8" bestFit="1" customWidth="1"/>
    <col min="40" max="40" width="9.140625" bestFit="1" customWidth="1"/>
    <col min="41" max="41" width="7.7109375" style="1" customWidth="1"/>
    <col min="42" max="42" width="10.85546875" style="1" bestFit="1" customWidth="1"/>
    <col min="43" max="43" width="9.140625" style="1" bestFit="1" customWidth="1"/>
    <col min="44" max="44" width="7.7109375" customWidth="1"/>
    <col min="45" max="45" width="9.140625" bestFit="1" customWidth="1"/>
    <col min="46" max="46" width="8" bestFit="1" customWidth="1"/>
    <col min="47" max="47" width="9.140625" customWidth="1"/>
    <col min="48" max="48" width="10.140625" customWidth="1"/>
    <col min="49" max="49" width="7.7109375" customWidth="1"/>
    <col min="50" max="50" width="9.140625" customWidth="1"/>
    <col min="51" max="53" width="9.42578125" bestFit="1" customWidth="1"/>
    <col min="54" max="54" width="7.7109375" customWidth="1"/>
    <col min="55" max="55" width="9.42578125" customWidth="1"/>
    <col min="56" max="57" width="7.7109375" customWidth="1"/>
    <col min="58" max="58" width="10.140625" bestFit="1" customWidth="1"/>
    <col min="59" max="59" width="10.140625" customWidth="1"/>
    <col min="60" max="60" width="7.7109375" customWidth="1"/>
    <col min="61" max="61" width="13.85546875" style="1" customWidth="1"/>
    <col min="62" max="62" width="12" style="1" bestFit="1" customWidth="1"/>
    <col min="63" max="63" width="33" bestFit="1" customWidth="1"/>
    <col min="64" max="64" width="8" bestFit="1" customWidth="1"/>
    <col min="65" max="66" width="8" hidden="1" customWidth="1"/>
    <col min="69" max="69" width="9.140625" customWidth="1"/>
  </cols>
  <sheetData>
    <row r="5" spans="1:73">
      <c r="A5">
        <v>1</v>
      </c>
      <c r="B5">
        <v>2</v>
      </c>
      <c r="C5">
        <v>3</v>
      </c>
      <c r="D5">
        <v>4</v>
      </c>
      <c r="E5">
        <v>5</v>
      </c>
      <c r="F5">
        <v>6</v>
      </c>
      <c r="G5">
        <v>7</v>
      </c>
      <c r="H5">
        <v>8</v>
      </c>
      <c r="I5">
        <v>9</v>
      </c>
      <c r="J5">
        <v>10</v>
      </c>
      <c r="K5">
        <v>11</v>
      </c>
      <c r="L5">
        <v>12</v>
      </c>
      <c r="M5">
        <v>13</v>
      </c>
      <c r="N5">
        <v>14</v>
      </c>
      <c r="O5">
        <v>15</v>
      </c>
      <c r="P5">
        <v>16</v>
      </c>
      <c r="Q5">
        <v>17</v>
      </c>
      <c r="R5">
        <v>18</v>
      </c>
      <c r="S5">
        <v>19</v>
      </c>
      <c r="T5">
        <v>20</v>
      </c>
      <c r="U5">
        <v>21</v>
      </c>
      <c r="V5">
        <v>22</v>
      </c>
      <c r="W5">
        <v>23</v>
      </c>
      <c r="X5">
        <v>24</v>
      </c>
      <c r="Y5">
        <v>25</v>
      </c>
      <c r="Z5">
        <v>26</v>
      </c>
      <c r="AA5">
        <v>27</v>
      </c>
      <c r="AB5">
        <v>28</v>
      </c>
      <c r="AC5">
        <v>29</v>
      </c>
      <c r="AD5">
        <v>30</v>
      </c>
      <c r="AE5">
        <v>31</v>
      </c>
      <c r="AF5">
        <v>32</v>
      </c>
      <c r="AG5">
        <v>33</v>
      </c>
      <c r="AH5">
        <v>34</v>
      </c>
      <c r="AI5">
        <v>35</v>
      </c>
      <c r="AJ5">
        <v>36</v>
      </c>
      <c r="AK5">
        <v>37</v>
      </c>
      <c r="AL5">
        <v>38</v>
      </c>
      <c r="AM5">
        <v>39</v>
      </c>
      <c r="AN5">
        <v>40</v>
      </c>
      <c r="AO5">
        <v>41</v>
      </c>
      <c r="AP5">
        <v>42</v>
      </c>
      <c r="AQ5">
        <v>43</v>
      </c>
      <c r="AR5">
        <v>44</v>
      </c>
      <c r="AS5">
        <v>45</v>
      </c>
      <c r="AT5">
        <v>46</v>
      </c>
      <c r="AU5">
        <v>47</v>
      </c>
      <c r="AV5">
        <v>48</v>
      </c>
      <c r="AW5">
        <v>49</v>
      </c>
      <c r="AX5">
        <v>50</v>
      </c>
      <c r="AY5">
        <v>51</v>
      </c>
      <c r="AZ5">
        <v>52</v>
      </c>
      <c r="BA5">
        <v>53</v>
      </c>
      <c r="BB5">
        <v>54</v>
      </c>
      <c r="BC5">
        <v>55</v>
      </c>
      <c r="BD5">
        <v>56</v>
      </c>
      <c r="BE5">
        <v>57</v>
      </c>
      <c r="BF5">
        <v>58</v>
      </c>
      <c r="BG5">
        <v>59</v>
      </c>
      <c r="BH5">
        <v>60</v>
      </c>
      <c r="BI5">
        <v>61</v>
      </c>
      <c r="BJ5">
        <v>62</v>
      </c>
      <c r="BK5">
        <v>63</v>
      </c>
      <c r="BL5">
        <v>64</v>
      </c>
      <c r="BO5">
        <v>65</v>
      </c>
      <c r="BP5">
        <v>66</v>
      </c>
      <c r="BQ5">
        <v>67</v>
      </c>
      <c r="BR5">
        <v>68</v>
      </c>
      <c r="BS5">
        <v>69</v>
      </c>
    </row>
    <row r="6" spans="1:73" s="43" customFormat="1" ht="28.5" customHeight="1" thickBot="1">
      <c r="F6" s="43">
        <v>2</v>
      </c>
      <c r="V6" s="43">
        <v>1</v>
      </c>
      <c r="AA6" s="43">
        <v>2</v>
      </c>
      <c r="AP6" s="43">
        <v>2</v>
      </c>
      <c r="AT6" s="43">
        <v>2</v>
      </c>
      <c r="BJ6" s="43">
        <v>3</v>
      </c>
    </row>
    <row r="7" spans="1:73" s="16" customFormat="1" ht="23.25" customHeight="1" thickTop="1">
      <c r="D7" s="166" t="s">
        <v>0</v>
      </c>
      <c r="E7" s="169" t="s">
        <v>7</v>
      </c>
      <c r="F7" s="172" t="s">
        <v>9</v>
      </c>
      <c r="G7" s="184" t="s">
        <v>234</v>
      </c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6"/>
      <c r="AG7" s="17"/>
      <c r="AH7" s="178" t="s">
        <v>61</v>
      </c>
      <c r="AI7" s="176"/>
      <c r="AJ7" s="176"/>
      <c r="AK7" s="176"/>
      <c r="AL7" s="176"/>
      <c r="AM7" s="176"/>
      <c r="AN7" s="176"/>
      <c r="AO7" s="176"/>
      <c r="AP7" s="176"/>
      <c r="AQ7" s="177"/>
      <c r="AR7" s="178" t="s">
        <v>62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6"/>
      <c r="BD7" s="176"/>
      <c r="BE7" s="176"/>
      <c r="BF7" s="176"/>
      <c r="BG7" s="176"/>
      <c r="BH7" s="177"/>
      <c r="BI7" s="179" t="s">
        <v>38</v>
      </c>
      <c r="BJ7" s="179" t="s">
        <v>39</v>
      </c>
      <c r="BK7" s="181" t="s">
        <v>40</v>
      </c>
      <c r="BL7" s="181" t="s">
        <v>50</v>
      </c>
      <c r="BM7" s="150"/>
      <c r="BN7" s="150"/>
    </row>
    <row r="8" spans="1:73" s="18" customFormat="1" ht="52.5" customHeight="1">
      <c r="C8" s="18" t="s">
        <v>77</v>
      </c>
      <c r="D8" s="167"/>
      <c r="E8" s="170"/>
      <c r="F8" s="173"/>
      <c r="G8" s="19" t="s">
        <v>1</v>
      </c>
      <c r="H8" s="20" t="s">
        <v>2</v>
      </c>
      <c r="I8" s="20" t="s">
        <v>3</v>
      </c>
      <c r="J8" s="9" t="s">
        <v>4</v>
      </c>
      <c r="K8" s="9" t="s">
        <v>5</v>
      </c>
      <c r="L8" s="9" t="s">
        <v>6</v>
      </c>
      <c r="M8" s="9" t="s">
        <v>8</v>
      </c>
      <c r="N8" s="9" t="s">
        <v>10</v>
      </c>
      <c r="O8" s="9">
        <v>2019</v>
      </c>
      <c r="P8" s="9">
        <v>2020</v>
      </c>
      <c r="Q8" s="9">
        <v>2021</v>
      </c>
      <c r="R8" s="20" t="s">
        <v>56</v>
      </c>
      <c r="S8" s="20" t="s">
        <v>57</v>
      </c>
      <c r="T8" s="20" t="s">
        <v>58</v>
      </c>
      <c r="U8" s="20" t="s">
        <v>117</v>
      </c>
      <c r="V8" s="20" t="s">
        <v>118</v>
      </c>
      <c r="W8" s="9" t="s">
        <v>11</v>
      </c>
      <c r="X8" s="9" t="s">
        <v>12</v>
      </c>
      <c r="Y8" s="20" t="s">
        <v>120</v>
      </c>
      <c r="Z8" s="21" t="s">
        <v>13</v>
      </c>
      <c r="AA8" s="21" t="s">
        <v>14</v>
      </c>
      <c r="AB8" s="21" t="s">
        <v>15</v>
      </c>
      <c r="AC8" s="22">
        <v>0.91500000000000004</v>
      </c>
      <c r="AD8" s="20" t="s">
        <v>59</v>
      </c>
      <c r="AE8" s="20" t="s">
        <v>16</v>
      </c>
      <c r="AF8" s="20" t="s">
        <v>17</v>
      </c>
      <c r="AG8" s="21" t="s">
        <v>18</v>
      </c>
      <c r="AH8" s="20" t="s">
        <v>19</v>
      </c>
      <c r="AI8" s="21" t="s">
        <v>64</v>
      </c>
      <c r="AJ8" s="20" t="s">
        <v>20</v>
      </c>
      <c r="AK8" s="23">
        <v>0.01</v>
      </c>
      <c r="AL8" s="21" t="s">
        <v>60</v>
      </c>
      <c r="AM8" s="20" t="s">
        <v>21</v>
      </c>
      <c r="AN8" s="23">
        <v>0.02</v>
      </c>
      <c r="AO8" s="21" t="s">
        <v>22</v>
      </c>
      <c r="AP8" s="21" t="s">
        <v>23</v>
      </c>
      <c r="AQ8" s="21" t="s">
        <v>24</v>
      </c>
      <c r="AR8" s="20" t="s">
        <v>25</v>
      </c>
      <c r="AS8" s="20" t="s">
        <v>26</v>
      </c>
      <c r="AT8" s="20" t="s">
        <v>27</v>
      </c>
      <c r="AU8" s="20" t="s">
        <v>28</v>
      </c>
      <c r="AV8" s="20" t="s">
        <v>29</v>
      </c>
      <c r="AW8" s="20" t="s">
        <v>30</v>
      </c>
      <c r="AX8" s="20" t="s">
        <v>31</v>
      </c>
      <c r="AY8" s="20" t="s">
        <v>32</v>
      </c>
      <c r="AZ8" s="20" t="s">
        <v>33</v>
      </c>
      <c r="BA8" s="20" t="s">
        <v>34</v>
      </c>
      <c r="BB8" s="20" t="s">
        <v>35</v>
      </c>
      <c r="BC8" s="20" t="s">
        <v>32</v>
      </c>
      <c r="BD8" s="20" t="s">
        <v>36</v>
      </c>
      <c r="BE8" s="20" t="s">
        <v>121</v>
      </c>
      <c r="BF8" s="9" t="s">
        <v>233</v>
      </c>
      <c r="BG8" s="20" t="s">
        <v>305</v>
      </c>
      <c r="BH8" s="20" t="s">
        <v>37</v>
      </c>
      <c r="BI8" s="180"/>
      <c r="BJ8" s="180"/>
      <c r="BK8" s="182"/>
      <c r="BL8" s="182"/>
      <c r="BM8" s="151"/>
      <c r="BN8" s="151"/>
      <c r="BS8" s="18" t="s">
        <v>212</v>
      </c>
    </row>
    <row r="9" spans="1:73" s="16" customFormat="1" ht="19.5" thickBot="1">
      <c r="D9" s="168"/>
      <c r="E9" s="171"/>
      <c r="F9" s="24"/>
      <c r="G9" s="25"/>
      <c r="H9" s="37" t="s">
        <v>119</v>
      </c>
      <c r="I9" s="25"/>
      <c r="J9" s="25"/>
      <c r="K9" s="25"/>
      <c r="L9" s="25"/>
      <c r="M9" s="25"/>
      <c r="N9" s="25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7"/>
      <c r="AA9" s="27"/>
      <c r="AB9" s="27"/>
      <c r="AC9" s="26"/>
      <c r="AD9" s="26"/>
      <c r="AE9" s="26"/>
      <c r="AF9" s="37">
        <v>10</v>
      </c>
      <c r="AG9" s="27"/>
      <c r="AH9" s="26"/>
      <c r="AI9" s="27"/>
      <c r="AJ9" s="26"/>
      <c r="AK9" s="27"/>
      <c r="AL9" s="27"/>
      <c r="AM9" s="26"/>
      <c r="AN9" s="26"/>
      <c r="AO9" s="27"/>
      <c r="AP9" s="27"/>
      <c r="AQ9" s="27"/>
      <c r="AR9" s="26"/>
      <c r="AS9" s="26"/>
      <c r="AT9" s="36">
        <v>4.5</v>
      </c>
      <c r="AU9" s="36">
        <v>2</v>
      </c>
      <c r="AV9" s="36">
        <v>0.25</v>
      </c>
      <c r="AW9" s="36">
        <v>3</v>
      </c>
      <c r="AX9" s="36">
        <v>0.5</v>
      </c>
      <c r="AY9" s="26"/>
      <c r="AZ9" s="26"/>
      <c r="BA9" s="26" t="s">
        <v>99</v>
      </c>
      <c r="BB9" s="26"/>
      <c r="BC9" s="26"/>
      <c r="BD9" s="26"/>
      <c r="BE9" s="26"/>
      <c r="BF9" s="26"/>
      <c r="BG9" s="26"/>
      <c r="BH9" s="26"/>
      <c r="BI9" s="27"/>
      <c r="BJ9" s="27"/>
      <c r="BK9" s="183"/>
      <c r="BL9" s="183"/>
      <c r="BM9" s="151"/>
      <c r="BN9" s="151"/>
    </row>
    <row r="10" spans="1:73" ht="24" customHeight="1">
      <c r="B10" t="str">
        <f>BK10</f>
        <v>ابراهيم كمال ايوب</v>
      </c>
      <c r="C10" s="1">
        <v>458.32</v>
      </c>
      <c r="D10" s="3">
        <v>1</v>
      </c>
      <c r="E10" s="4"/>
      <c r="F10" s="5">
        <v>1550.31</v>
      </c>
      <c r="G10" s="5">
        <v>42.54</v>
      </c>
      <c r="H10" s="6">
        <f t="shared" ref="H10:H18" si="0">IF(BO10=$H$9,C10*10%,"")</f>
        <v>45.832000000000001</v>
      </c>
      <c r="I10" s="6">
        <f t="shared" ref="I10:I30" si="1">IF(BO10=$H$9,C10*25%,"")</f>
        <v>114.58</v>
      </c>
      <c r="J10" s="6">
        <f>IF(BO10=$H$9,ROUND(IF(BL10="كبير",C10*25%,IF(BL10="كبير ا",C10*25%,IF(BL10="اولى",C10*25%,IF(BL10="ثانيه",C10*50%,IF(BL10="ثالثه",C10*75%,IF(BL10="م م",C10*125%,)))))),2),"")</f>
        <v>114.58</v>
      </c>
      <c r="K10" s="6">
        <f t="shared" ref="K10:K30" si="2">IF(BO10=$H$9,C10*50%,"")</f>
        <v>229.16</v>
      </c>
      <c r="L10" s="5">
        <v>802.06</v>
      </c>
      <c r="M10" s="28"/>
      <c r="N10" s="33">
        <f t="shared" ref="N10:N19" si="3">IF(BO10="مدرس",IF(BL10="كبير ا",300,IF(BL10="كبير",325,IF(BL10="اولى",350,IF(BL10="ثانيه",375,IF(BL10="ثالثه",400,""))))),"")</f>
        <v>325</v>
      </c>
      <c r="O10" s="4">
        <v>150</v>
      </c>
      <c r="P10" s="4">
        <v>300</v>
      </c>
      <c r="Q10" s="34">
        <v>325</v>
      </c>
      <c r="R10" s="4"/>
      <c r="S10" s="34">
        <f t="shared" ref="S10:S30" si="4">IF(BO10="مدرس",IF(BL10="كبير ا",180,IF(BL10="كبير",165,IF(BL10="اولى",125,IF(BL10="ثانيه",100,IF(BL10="ثالثه",75,))))),"")</f>
        <v>165</v>
      </c>
      <c r="T10" s="34">
        <f t="shared" ref="T10:T30" si="5">IF(BO10="مدرس",IF(BL10="كبير ا",140,IF(BL10="كبير",145,IF(BL10="اولى",150,IF(BL10="ثانيه",165,IF(BL10="ثالثه",185,))))),"")</f>
        <v>145</v>
      </c>
      <c r="U10" s="34">
        <f t="shared" ref="U10:U30" si="6">IF(BO10="مدرس",IF(BL10="كبير ا",155,IF(BL10="كبير",140,IF(BL10="اولى",120,IF(BL10="ثانيه",85,IF(BL10="ثالثه",65,))))),"")</f>
        <v>140</v>
      </c>
      <c r="V10" s="34" t="str">
        <f t="shared" ref="V10:V30" si="7">IF(BO10="مدرس","",IF(BL10="اولى",85,IF(BL10="ثانيه",65,IF(BL10="ثالثه",55,IF(BL10="رابعه",50,IF(BL10="خامسه",50,))))))</f>
        <v/>
      </c>
      <c r="W10" s="4">
        <v>6</v>
      </c>
      <c r="X10" s="4">
        <v>4</v>
      </c>
      <c r="Y10" s="5">
        <v>114.58</v>
      </c>
      <c r="Z10" s="5"/>
      <c r="AA10" s="5"/>
      <c r="AB10" s="5"/>
      <c r="AC10" s="5"/>
      <c r="AD10" s="4"/>
      <c r="AE10" s="4"/>
      <c r="AF10" s="34">
        <f t="shared" ref="AF10:AF30" si="8">IF(BO10="مدرس",AF9,"")</f>
        <v>10</v>
      </c>
      <c r="AG10" s="6">
        <f>SUM(F10:AF10)</f>
        <v>4583.6419999999998</v>
      </c>
      <c r="AH10" s="4"/>
      <c r="AI10" s="6">
        <f>SUM(F10:AE10)*9%</f>
        <v>411.62777999999997</v>
      </c>
      <c r="AJ10" s="4"/>
      <c r="AK10" s="6">
        <f>SUM(F10:AE10)*1%</f>
        <v>45.736420000000003</v>
      </c>
      <c r="AL10" s="6">
        <f>SUM(F10:AE10)*1%</f>
        <v>45.736420000000003</v>
      </c>
      <c r="AM10" s="7">
        <v>9</v>
      </c>
      <c r="AN10" s="6">
        <f t="shared" ref="AN10:AN30" si="9">IF(BO10="مدرس",IF(BL10="كبير ا",3.1,IF(BL10="كبير",2.8,IF(BL10="اولى",2.4,IF(BL10="ثانيه",1.7,IF(BL10="ثالثه",1.3,))))),"")</f>
        <v>2.8</v>
      </c>
      <c r="AO10" s="5"/>
      <c r="AP10" s="5">
        <v>93.1</v>
      </c>
      <c r="AQ10" s="5">
        <v>28</v>
      </c>
      <c r="AR10" s="5"/>
      <c r="AS10" s="5">
        <v>2</v>
      </c>
      <c r="AT10" s="6">
        <f t="shared" ref="AT10:AT30" si="10">IF($BO10="مدرس",AT9,"")</f>
        <v>4.5</v>
      </c>
      <c r="AU10" s="6">
        <f t="shared" ref="AU10:AU30" si="11">IF($BO10="مدرس",AU9,"")</f>
        <v>2</v>
      </c>
      <c r="AV10" s="6">
        <f t="shared" ref="AV10:AV30" si="12">IF($BO10="مدرس",AV9,"")</f>
        <v>0.25</v>
      </c>
      <c r="AW10" s="6">
        <f t="shared" ref="AW10:AW30" si="13">IF($BO10="مدرس",AW9,"")</f>
        <v>3</v>
      </c>
      <c r="AX10" s="6">
        <f t="shared" ref="AX10:AX30" si="14">IF($BO10="مدرس",AX9,"")</f>
        <v>0.5</v>
      </c>
      <c r="AY10" s="6">
        <f t="shared" ref="AY10:AY30" si="15">IF(BO10="مدرس",F10*7%,"")</f>
        <v>108.52170000000001</v>
      </c>
      <c r="AZ10" s="5"/>
      <c r="BA10" s="5"/>
      <c r="BB10" s="5"/>
      <c r="BC10" s="5"/>
      <c r="BD10" s="5"/>
      <c r="BE10" s="4"/>
      <c r="BF10" s="4"/>
      <c r="BG10" s="4"/>
      <c r="BH10" s="7">
        <v>0.02</v>
      </c>
      <c r="BI10" s="6">
        <f>SUM(AH10:BH10)</f>
        <v>756.7923199999999</v>
      </c>
      <c r="BJ10" s="6">
        <f>AG10-BI10</f>
        <v>3826.8496799999998</v>
      </c>
      <c r="BK10" s="8" t="s">
        <v>65</v>
      </c>
      <c r="BL10" s="8" t="s">
        <v>51</v>
      </c>
      <c r="BM10" s="38"/>
      <c r="BN10" s="38"/>
      <c r="BO10" t="s">
        <v>119</v>
      </c>
      <c r="BQ10" s="2"/>
      <c r="BR10" s="1"/>
      <c r="BS10">
        <f>SUM(O10:Q10)</f>
        <v>775</v>
      </c>
      <c r="BT10" t="s">
        <v>116</v>
      </c>
      <c r="BU10" t="s">
        <v>116</v>
      </c>
    </row>
    <row r="11" spans="1:73" ht="24" customHeight="1">
      <c r="B11" t="str">
        <f t="shared" ref="B11:B33" si="16">BK11</f>
        <v>نجلاء حسنى ابراهيم</v>
      </c>
      <c r="C11" s="1">
        <v>417.66</v>
      </c>
      <c r="D11" s="3">
        <v>2</v>
      </c>
      <c r="E11" s="4"/>
      <c r="F11" s="5">
        <v>1463.54</v>
      </c>
      <c r="G11" s="5">
        <v>38.75</v>
      </c>
      <c r="H11" s="6">
        <f t="shared" si="0"/>
        <v>41.766000000000005</v>
      </c>
      <c r="I11" s="6">
        <f t="shared" si="1"/>
        <v>104.41500000000001</v>
      </c>
      <c r="J11" s="6">
        <f>IF(BO11=$H$9,ROUND(IF(BL11="كبير",C11*25%,IF(BL11="كبير ا",C11*25%,IF(BL11="اولى",C11*25%,IF(BL11="ثانيه",C11*50%,IF(BL11="ثالثه",C11*75%,IF(BL11="م م",C11*125%,)))))),2),"")</f>
        <v>104.42</v>
      </c>
      <c r="K11" s="6">
        <f t="shared" si="2"/>
        <v>208.83</v>
      </c>
      <c r="L11" s="5">
        <v>626.49</v>
      </c>
      <c r="M11" s="28"/>
      <c r="N11" s="33">
        <f t="shared" si="3"/>
        <v>350</v>
      </c>
      <c r="O11" s="4">
        <v>150</v>
      </c>
      <c r="P11" s="4">
        <v>300</v>
      </c>
      <c r="Q11" s="34">
        <f>IF(BL11="كبير ا",375,IF(BL11="كبير",350,IF(BL11="اولى",325,IF(BL11="ثانيه",275,IF(BL11="ثالثه",225,IF(BL11="خامسه",175,))))))</f>
        <v>325</v>
      </c>
      <c r="R11" s="4"/>
      <c r="S11" s="34">
        <f t="shared" si="4"/>
        <v>125</v>
      </c>
      <c r="T11" s="34">
        <f t="shared" si="5"/>
        <v>150</v>
      </c>
      <c r="U11" s="34">
        <f t="shared" si="6"/>
        <v>120</v>
      </c>
      <c r="V11" s="34" t="str">
        <f t="shared" si="7"/>
        <v/>
      </c>
      <c r="W11" s="4">
        <v>2</v>
      </c>
      <c r="X11" s="4">
        <v>4</v>
      </c>
      <c r="Y11" s="5"/>
      <c r="Z11" s="5"/>
      <c r="AA11" s="5"/>
      <c r="AB11" s="5"/>
      <c r="AC11" s="5"/>
      <c r="AD11" s="4"/>
      <c r="AE11" s="4"/>
      <c r="AF11" s="34">
        <f t="shared" si="8"/>
        <v>10</v>
      </c>
      <c r="AG11" s="6">
        <f t="shared" ref="AG11:AG33" si="17">SUM(F11:AF11)</f>
        <v>4124.2110000000002</v>
      </c>
      <c r="AH11" s="4"/>
      <c r="AI11" s="6">
        <f t="shared" ref="AI11:AI33" si="18">SUM(F11:AE11)*9%</f>
        <v>370.27899000000002</v>
      </c>
      <c r="AJ11" s="4"/>
      <c r="AK11" s="6">
        <f t="shared" ref="AK11:AK33" si="19">SUM(F11:AE11)*1%</f>
        <v>41.142110000000002</v>
      </c>
      <c r="AL11" s="6">
        <f t="shared" ref="AL11:AL33" si="20">SUM(F11:AE11)*1%</f>
        <v>41.142110000000002</v>
      </c>
      <c r="AM11" s="7">
        <v>7.9</v>
      </c>
      <c r="AN11" s="6">
        <f t="shared" si="9"/>
        <v>2.4</v>
      </c>
      <c r="AO11" s="5"/>
      <c r="AP11" s="5">
        <v>73.7</v>
      </c>
      <c r="AQ11" s="5">
        <v>24.9</v>
      </c>
      <c r="AR11" s="5"/>
      <c r="AS11" s="5">
        <v>1.5</v>
      </c>
      <c r="AT11" s="6">
        <f t="shared" si="10"/>
        <v>4.5</v>
      </c>
      <c r="AU11" s="6">
        <f t="shared" si="11"/>
        <v>2</v>
      </c>
      <c r="AV11" s="6">
        <f t="shared" si="12"/>
        <v>0.25</v>
      </c>
      <c r="AW11" s="6">
        <f t="shared" si="13"/>
        <v>3</v>
      </c>
      <c r="AX11" s="6">
        <f t="shared" si="14"/>
        <v>0.5</v>
      </c>
      <c r="AY11" s="6">
        <f t="shared" si="15"/>
        <v>102.4478</v>
      </c>
      <c r="AZ11" s="5"/>
      <c r="BA11" s="5"/>
      <c r="BB11" s="5"/>
      <c r="BC11" s="5"/>
      <c r="BD11" s="5"/>
      <c r="BE11" s="4"/>
      <c r="BF11" s="4"/>
      <c r="BG11" s="4"/>
      <c r="BH11" s="7"/>
      <c r="BI11" s="6">
        <f t="shared" ref="BI11:BI33" si="21">SUM(AH11:BH11)</f>
        <v>675.66101000000003</v>
      </c>
      <c r="BJ11" s="6">
        <f t="shared" ref="BJ11:BJ33" si="22">AG11-BI11</f>
        <v>3448.5499900000004</v>
      </c>
      <c r="BK11" s="8" t="s">
        <v>66</v>
      </c>
      <c r="BL11" s="8" t="s">
        <v>52</v>
      </c>
      <c r="BM11" s="38"/>
      <c r="BN11" s="38"/>
      <c r="BO11" t="s">
        <v>119</v>
      </c>
      <c r="BQ11" s="2"/>
      <c r="BS11">
        <f t="shared" ref="BS11:BS33" si="23">SUM(O11:Q11)</f>
        <v>775</v>
      </c>
      <c r="BT11" t="s">
        <v>51</v>
      </c>
      <c r="BU11" t="s">
        <v>51</v>
      </c>
    </row>
    <row r="12" spans="1:73" ht="24" customHeight="1">
      <c r="B12" t="str">
        <f t="shared" si="16"/>
        <v>محمد محمد الجمل</v>
      </c>
      <c r="C12" s="1">
        <v>264</v>
      </c>
      <c r="D12" s="3">
        <v>3</v>
      </c>
      <c r="E12" s="4"/>
      <c r="F12" s="5">
        <v>1171.92</v>
      </c>
      <c r="G12" s="5">
        <v>25.52</v>
      </c>
      <c r="H12" s="6">
        <f t="shared" si="0"/>
        <v>26.400000000000002</v>
      </c>
      <c r="I12" s="6">
        <f t="shared" si="1"/>
        <v>66</v>
      </c>
      <c r="J12" s="6">
        <v>198</v>
      </c>
      <c r="K12" s="6">
        <f t="shared" si="2"/>
        <v>132</v>
      </c>
      <c r="L12" s="5">
        <v>330</v>
      </c>
      <c r="M12" s="28"/>
      <c r="N12" s="33">
        <f t="shared" si="3"/>
        <v>375</v>
      </c>
      <c r="O12" s="4">
        <v>150</v>
      </c>
      <c r="P12" s="4">
        <v>250</v>
      </c>
      <c r="Q12" s="34">
        <f t="shared" ref="Q12:Q29" si="24">IF(BL12="كبير ا",375,IF(BL12="كبير",350,IF(BL12="اولى",325,IF(BL12="ثانيه",275,IF(BL12="ثالثه",225,)))))</f>
        <v>275</v>
      </c>
      <c r="R12" s="4">
        <v>234</v>
      </c>
      <c r="S12" s="34">
        <f t="shared" si="4"/>
        <v>100</v>
      </c>
      <c r="T12" s="34">
        <f t="shared" si="5"/>
        <v>165</v>
      </c>
      <c r="U12" s="34">
        <f t="shared" si="6"/>
        <v>85</v>
      </c>
      <c r="V12" s="34" t="str">
        <f t="shared" si="7"/>
        <v/>
      </c>
      <c r="W12" s="4">
        <v>6</v>
      </c>
      <c r="X12" s="4">
        <v>4</v>
      </c>
      <c r="Y12" s="5"/>
      <c r="Z12" s="5"/>
      <c r="AA12" s="5"/>
      <c r="AB12" s="5"/>
      <c r="AC12" s="5"/>
      <c r="AD12" s="4"/>
      <c r="AE12" s="4"/>
      <c r="AF12" s="34">
        <f t="shared" si="8"/>
        <v>10</v>
      </c>
      <c r="AG12" s="6">
        <f t="shared" si="17"/>
        <v>3603.84</v>
      </c>
      <c r="AH12" s="4"/>
      <c r="AI12" s="6">
        <f t="shared" si="18"/>
        <v>323.44560000000001</v>
      </c>
      <c r="AJ12" s="4"/>
      <c r="AK12" s="6">
        <f t="shared" si="19"/>
        <v>35.938400000000001</v>
      </c>
      <c r="AL12" s="6">
        <f t="shared" si="20"/>
        <v>35.938400000000001</v>
      </c>
      <c r="AM12" s="7">
        <v>7</v>
      </c>
      <c r="AN12" s="6">
        <f t="shared" si="9"/>
        <v>1.7</v>
      </c>
      <c r="AO12" s="5"/>
      <c r="AP12" s="5">
        <v>35.1</v>
      </c>
      <c r="AQ12" s="5">
        <v>22.2</v>
      </c>
      <c r="AR12" s="5"/>
      <c r="AS12" s="5">
        <v>1.5</v>
      </c>
      <c r="AT12" s="6">
        <f t="shared" si="10"/>
        <v>4.5</v>
      </c>
      <c r="AU12" s="6">
        <f t="shared" si="11"/>
        <v>2</v>
      </c>
      <c r="AV12" s="6">
        <f t="shared" si="12"/>
        <v>0.25</v>
      </c>
      <c r="AW12" s="6">
        <f t="shared" si="13"/>
        <v>3</v>
      </c>
      <c r="AX12" s="6">
        <f t="shared" si="14"/>
        <v>0.5</v>
      </c>
      <c r="AY12" s="6">
        <f t="shared" si="15"/>
        <v>82.034400000000019</v>
      </c>
      <c r="AZ12" s="5"/>
      <c r="BA12" s="5"/>
      <c r="BB12" s="5"/>
      <c r="BC12" s="5"/>
      <c r="BD12" s="5"/>
      <c r="BE12" s="4"/>
      <c r="BF12" s="4">
        <v>265.43</v>
      </c>
      <c r="BG12" s="4"/>
      <c r="BH12" s="7"/>
      <c r="BI12" s="6">
        <f t="shared" si="21"/>
        <v>820.53680000000008</v>
      </c>
      <c r="BJ12" s="6">
        <f t="shared" si="22"/>
        <v>2783.3032000000003</v>
      </c>
      <c r="BK12" s="8" t="s">
        <v>67</v>
      </c>
      <c r="BL12" s="8" t="s">
        <v>53</v>
      </c>
      <c r="BM12" s="38"/>
      <c r="BN12" s="38"/>
      <c r="BO12" t="s">
        <v>119</v>
      </c>
      <c r="BQ12" s="2"/>
      <c r="BS12">
        <f t="shared" si="23"/>
        <v>675</v>
      </c>
      <c r="BT12" t="s">
        <v>52</v>
      </c>
      <c r="BU12" t="s">
        <v>52</v>
      </c>
    </row>
    <row r="13" spans="1:73" ht="24" customHeight="1">
      <c r="B13" t="str">
        <f t="shared" si="16"/>
        <v>سعدية السعيد عبدالغنى</v>
      </c>
      <c r="C13" s="1">
        <v>258</v>
      </c>
      <c r="D13" s="3">
        <v>4</v>
      </c>
      <c r="E13" s="4"/>
      <c r="F13" s="5">
        <v>1132.67</v>
      </c>
      <c r="G13" s="5">
        <v>24.92</v>
      </c>
      <c r="H13" s="6">
        <f t="shared" si="0"/>
        <v>25.8</v>
      </c>
      <c r="I13" s="6">
        <f t="shared" si="1"/>
        <v>64.5</v>
      </c>
      <c r="J13" s="6">
        <f t="shared" ref="J13:J20" si="25">IF(BO13=$H$9,ROUND(IF(BL13="كبير",C13*25%,IF(BL13="كبير ا",C13*25%,IF(BL13="اولى",C13*25%,IF(BL13="ثانيه",C13*50%,IF(BL13="ثالثه",C13*75%,IF(BL13="م م",C13*125%,)))))),2),"")</f>
        <v>129</v>
      </c>
      <c r="K13" s="6">
        <f t="shared" si="2"/>
        <v>129</v>
      </c>
      <c r="L13" s="5">
        <v>322.5</v>
      </c>
      <c r="M13" s="28"/>
      <c r="N13" s="33">
        <f t="shared" si="3"/>
        <v>375</v>
      </c>
      <c r="O13" s="4">
        <v>150</v>
      </c>
      <c r="P13" s="4">
        <v>250</v>
      </c>
      <c r="Q13" s="34">
        <f t="shared" si="24"/>
        <v>275</v>
      </c>
      <c r="R13" s="4">
        <v>387</v>
      </c>
      <c r="S13" s="34">
        <f t="shared" si="4"/>
        <v>100</v>
      </c>
      <c r="T13" s="34">
        <f t="shared" si="5"/>
        <v>165</v>
      </c>
      <c r="U13" s="34">
        <f t="shared" si="6"/>
        <v>85</v>
      </c>
      <c r="V13" s="34" t="str">
        <f t="shared" si="7"/>
        <v/>
      </c>
      <c r="W13" s="4">
        <v>2</v>
      </c>
      <c r="X13" s="4">
        <v>4</v>
      </c>
      <c r="Y13" s="5"/>
      <c r="Z13" s="5"/>
      <c r="AA13" s="5"/>
      <c r="AB13" s="5"/>
      <c r="AC13" s="5"/>
      <c r="AD13" s="4"/>
      <c r="AE13" s="4"/>
      <c r="AF13" s="34">
        <f t="shared" si="8"/>
        <v>10</v>
      </c>
      <c r="AG13" s="6">
        <f t="shared" si="17"/>
        <v>3631.3900000000003</v>
      </c>
      <c r="AH13" s="4"/>
      <c r="AI13" s="6">
        <f t="shared" si="18"/>
        <v>325.92510000000004</v>
      </c>
      <c r="AJ13" s="4"/>
      <c r="AK13" s="6">
        <f t="shared" si="19"/>
        <v>36.213900000000002</v>
      </c>
      <c r="AL13" s="6">
        <f t="shared" si="20"/>
        <v>36.213900000000002</v>
      </c>
      <c r="AM13" s="7">
        <v>7</v>
      </c>
      <c r="AN13" s="6">
        <f t="shared" si="9"/>
        <v>1.7</v>
      </c>
      <c r="AO13" s="5"/>
      <c r="AP13" s="5">
        <v>36.1</v>
      </c>
      <c r="AQ13" s="5">
        <v>22.5</v>
      </c>
      <c r="AR13" s="5"/>
      <c r="AS13" s="5">
        <v>1.5</v>
      </c>
      <c r="AT13" s="6">
        <f t="shared" si="10"/>
        <v>4.5</v>
      </c>
      <c r="AU13" s="6">
        <f t="shared" si="11"/>
        <v>2</v>
      </c>
      <c r="AV13" s="6">
        <f t="shared" si="12"/>
        <v>0.25</v>
      </c>
      <c r="AW13" s="6">
        <f t="shared" si="13"/>
        <v>3</v>
      </c>
      <c r="AX13" s="6">
        <f t="shared" si="14"/>
        <v>0.5</v>
      </c>
      <c r="AY13" s="6">
        <f t="shared" si="15"/>
        <v>79.286900000000017</v>
      </c>
      <c r="AZ13" s="5"/>
      <c r="BA13" s="5"/>
      <c r="BB13" s="5"/>
      <c r="BC13" s="5"/>
      <c r="BD13" s="5"/>
      <c r="BE13" s="4"/>
      <c r="BF13" s="4"/>
      <c r="BG13" s="4"/>
      <c r="BH13" s="7"/>
      <c r="BI13" s="6">
        <f t="shared" si="21"/>
        <v>556.6898000000001</v>
      </c>
      <c r="BJ13" s="6">
        <f t="shared" si="22"/>
        <v>3074.7002000000002</v>
      </c>
      <c r="BK13" s="8" t="s">
        <v>68</v>
      </c>
      <c r="BL13" s="8" t="s">
        <v>53</v>
      </c>
      <c r="BM13" s="38"/>
      <c r="BN13" s="38"/>
      <c r="BO13" t="s">
        <v>119</v>
      </c>
      <c r="BQ13" s="2"/>
      <c r="BS13">
        <f t="shared" si="23"/>
        <v>675</v>
      </c>
      <c r="BT13" t="s">
        <v>53</v>
      </c>
      <c r="BU13" t="s">
        <v>53</v>
      </c>
    </row>
    <row r="14" spans="1:73" ht="24" customHeight="1">
      <c r="B14" t="str">
        <f t="shared" si="16"/>
        <v>مروه عبدالعزيز بدير</v>
      </c>
      <c r="C14" s="1">
        <v>258</v>
      </c>
      <c r="D14" s="3">
        <v>5</v>
      </c>
      <c r="E14" s="4"/>
      <c r="F14" s="5">
        <v>1126.3399999999999</v>
      </c>
      <c r="G14" s="5">
        <v>24.92</v>
      </c>
      <c r="H14" s="6">
        <f t="shared" si="0"/>
        <v>25.8</v>
      </c>
      <c r="I14" s="6">
        <f t="shared" si="1"/>
        <v>64.5</v>
      </c>
      <c r="J14" s="6">
        <f t="shared" si="25"/>
        <v>129</v>
      </c>
      <c r="K14" s="6">
        <f t="shared" si="2"/>
        <v>129</v>
      </c>
      <c r="L14" s="5">
        <v>322.5</v>
      </c>
      <c r="M14" s="28"/>
      <c r="N14" s="33">
        <f t="shared" si="3"/>
        <v>375</v>
      </c>
      <c r="O14" s="4">
        <v>150</v>
      </c>
      <c r="P14" s="4">
        <v>250</v>
      </c>
      <c r="Q14" s="34">
        <f t="shared" si="24"/>
        <v>275</v>
      </c>
      <c r="R14" s="4">
        <v>387</v>
      </c>
      <c r="S14" s="34">
        <f t="shared" si="4"/>
        <v>100</v>
      </c>
      <c r="T14" s="34">
        <f t="shared" si="5"/>
        <v>165</v>
      </c>
      <c r="U14" s="34">
        <f t="shared" si="6"/>
        <v>85</v>
      </c>
      <c r="V14" s="34" t="str">
        <f t="shared" si="7"/>
        <v/>
      </c>
      <c r="W14" s="4">
        <v>2</v>
      </c>
      <c r="X14" s="4">
        <v>4</v>
      </c>
      <c r="Y14" s="5"/>
      <c r="Z14" s="5"/>
      <c r="AA14" s="5"/>
      <c r="AB14" s="5"/>
      <c r="AC14" s="5"/>
      <c r="AD14" s="4"/>
      <c r="AE14" s="4"/>
      <c r="AF14" s="34">
        <f t="shared" si="8"/>
        <v>10</v>
      </c>
      <c r="AG14" s="6">
        <f t="shared" si="17"/>
        <v>3625.06</v>
      </c>
      <c r="AH14" s="4"/>
      <c r="AI14" s="6">
        <f t="shared" si="18"/>
        <v>325.35539999999997</v>
      </c>
      <c r="AJ14" s="4"/>
      <c r="AK14" s="6">
        <f t="shared" si="19"/>
        <v>36.150599999999997</v>
      </c>
      <c r="AL14" s="6">
        <f t="shared" si="20"/>
        <v>36.150599999999997</v>
      </c>
      <c r="AM14" s="7">
        <v>7</v>
      </c>
      <c r="AN14" s="6">
        <f t="shared" si="9"/>
        <v>1.7</v>
      </c>
      <c r="AO14" s="5"/>
      <c r="AP14" s="5">
        <v>35.799999999999997</v>
      </c>
      <c r="AQ14" s="5">
        <v>22.5</v>
      </c>
      <c r="AR14" s="5"/>
      <c r="AS14" s="5">
        <v>1.5</v>
      </c>
      <c r="AT14" s="6">
        <f t="shared" si="10"/>
        <v>4.5</v>
      </c>
      <c r="AU14" s="6">
        <f t="shared" si="11"/>
        <v>2</v>
      </c>
      <c r="AV14" s="6">
        <f t="shared" si="12"/>
        <v>0.25</v>
      </c>
      <c r="AW14" s="6">
        <f t="shared" si="13"/>
        <v>3</v>
      </c>
      <c r="AX14" s="6">
        <f t="shared" si="14"/>
        <v>0.5</v>
      </c>
      <c r="AY14" s="6">
        <f t="shared" si="15"/>
        <v>78.843800000000002</v>
      </c>
      <c r="AZ14" s="5"/>
      <c r="BA14" s="5"/>
      <c r="BB14" s="5"/>
      <c r="BC14" s="5"/>
      <c r="BD14" s="5"/>
      <c r="BE14" s="4"/>
      <c r="BF14" s="4"/>
      <c r="BG14" s="4"/>
      <c r="BH14" s="7">
        <v>0.01</v>
      </c>
      <c r="BI14" s="6">
        <f t="shared" si="21"/>
        <v>555.2604</v>
      </c>
      <c r="BJ14" s="6">
        <f t="shared" si="22"/>
        <v>3069.7995999999998</v>
      </c>
      <c r="BK14" s="8" t="s">
        <v>69</v>
      </c>
      <c r="BL14" s="8" t="s">
        <v>53</v>
      </c>
      <c r="BM14" s="38"/>
      <c r="BN14" s="38"/>
      <c r="BO14" t="s">
        <v>119</v>
      </c>
      <c r="BQ14" s="2"/>
      <c r="BS14">
        <f t="shared" si="23"/>
        <v>675</v>
      </c>
      <c r="BT14" t="s">
        <v>54</v>
      </c>
      <c r="BU14" t="s">
        <v>54</v>
      </c>
    </row>
    <row r="15" spans="1:73" ht="24" customHeight="1">
      <c r="B15" t="str">
        <f t="shared" si="16"/>
        <v>نعمه محمد يونس</v>
      </c>
      <c r="C15" s="1">
        <v>258</v>
      </c>
      <c r="D15" s="3">
        <v>6</v>
      </c>
      <c r="E15" s="4"/>
      <c r="F15" s="5">
        <v>1126.3399999999999</v>
      </c>
      <c r="G15" s="5">
        <v>24.92</v>
      </c>
      <c r="H15" s="6">
        <f t="shared" si="0"/>
        <v>25.8</v>
      </c>
      <c r="I15" s="6">
        <f t="shared" si="1"/>
        <v>64.5</v>
      </c>
      <c r="J15" s="6">
        <f t="shared" si="25"/>
        <v>129</v>
      </c>
      <c r="K15" s="6">
        <f t="shared" si="2"/>
        <v>129</v>
      </c>
      <c r="L15" s="5">
        <v>322.5</v>
      </c>
      <c r="M15" s="28"/>
      <c r="N15" s="33">
        <f t="shared" si="3"/>
        <v>375</v>
      </c>
      <c r="O15" s="4">
        <v>150</v>
      </c>
      <c r="P15" s="4">
        <v>250</v>
      </c>
      <c r="Q15" s="34">
        <f t="shared" si="24"/>
        <v>275</v>
      </c>
      <c r="R15" s="4">
        <v>387</v>
      </c>
      <c r="S15" s="34">
        <f t="shared" si="4"/>
        <v>100</v>
      </c>
      <c r="T15" s="34">
        <f t="shared" si="5"/>
        <v>165</v>
      </c>
      <c r="U15" s="34">
        <f t="shared" si="6"/>
        <v>85</v>
      </c>
      <c r="V15" s="34" t="str">
        <f t="shared" si="7"/>
        <v/>
      </c>
      <c r="W15" s="4">
        <v>2</v>
      </c>
      <c r="X15" s="4">
        <v>4</v>
      </c>
      <c r="Y15" s="5"/>
      <c r="Z15" s="5"/>
      <c r="AA15" s="5"/>
      <c r="AB15" s="5"/>
      <c r="AC15" s="5"/>
      <c r="AD15" s="4"/>
      <c r="AE15" s="4"/>
      <c r="AF15" s="34">
        <f t="shared" si="8"/>
        <v>10</v>
      </c>
      <c r="AG15" s="6">
        <f t="shared" si="17"/>
        <v>3625.06</v>
      </c>
      <c r="AH15" s="4"/>
      <c r="AI15" s="6">
        <f t="shared" si="18"/>
        <v>325.35539999999997</v>
      </c>
      <c r="AJ15" s="4"/>
      <c r="AK15" s="6">
        <f t="shared" si="19"/>
        <v>36.150599999999997</v>
      </c>
      <c r="AL15" s="6">
        <f t="shared" si="20"/>
        <v>36.150599999999997</v>
      </c>
      <c r="AM15" s="7">
        <v>7</v>
      </c>
      <c r="AN15" s="6">
        <f t="shared" si="9"/>
        <v>1.7</v>
      </c>
      <c r="AO15" s="5"/>
      <c r="AP15" s="5">
        <v>35.799999999999997</v>
      </c>
      <c r="AQ15" s="5">
        <v>22.5</v>
      </c>
      <c r="AR15" s="5"/>
      <c r="AS15" s="5">
        <v>1.5</v>
      </c>
      <c r="AT15" s="6">
        <f t="shared" si="10"/>
        <v>4.5</v>
      </c>
      <c r="AU15" s="6">
        <f t="shared" si="11"/>
        <v>2</v>
      </c>
      <c r="AV15" s="6">
        <f t="shared" si="12"/>
        <v>0.25</v>
      </c>
      <c r="AW15" s="6">
        <f t="shared" si="13"/>
        <v>3</v>
      </c>
      <c r="AX15" s="6">
        <f t="shared" si="14"/>
        <v>0.5</v>
      </c>
      <c r="AY15" s="6">
        <f t="shared" si="15"/>
        <v>78.843800000000002</v>
      </c>
      <c r="AZ15" s="5"/>
      <c r="BA15" s="5"/>
      <c r="BB15" s="5"/>
      <c r="BC15" s="5"/>
      <c r="BD15" s="5"/>
      <c r="BE15" s="4"/>
      <c r="BF15" s="4"/>
      <c r="BG15" s="4"/>
      <c r="BH15" s="7">
        <v>0.01</v>
      </c>
      <c r="BI15" s="6">
        <f t="shared" si="21"/>
        <v>555.2604</v>
      </c>
      <c r="BJ15" s="6">
        <f t="shared" si="22"/>
        <v>3069.7995999999998</v>
      </c>
      <c r="BK15" s="8" t="s">
        <v>70</v>
      </c>
      <c r="BL15" s="8" t="s">
        <v>53</v>
      </c>
      <c r="BM15" s="38"/>
      <c r="BN15" s="38"/>
      <c r="BO15" t="s">
        <v>119</v>
      </c>
      <c r="BQ15" s="2"/>
      <c r="BS15">
        <f t="shared" si="23"/>
        <v>675</v>
      </c>
      <c r="BT15" t="s">
        <v>137</v>
      </c>
      <c r="BU15" t="s">
        <v>137</v>
      </c>
    </row>
    <row r="16" spans="1:73" ht="24" customHeight="1">
      <c r="B16" t="str">
        <f t="shared" si="16"/>
        <v>امل عبد النبى النجار</v>
      </c>
      <c r="C16" s="1">
        <v>246</v>
      </c>
      <c r="D16" s="3">
        <v>7</v>
      </c>
      <c r="E16" s="4"/>
      <c r="F16" s="5">
        <v>1041.6300000000001</v>
      </c>
      <c r="G16" s="5">
        <v>24.12</v>
      </c>
      <c r="H16" s="6">
        <f t="shared" si="0"/>
        <v>24.6</v>
      </c>
      <c r="I16" s="6">
        <f t="shared" si="1"/>
        <v>61.5</v>
      </c>
      <c r="J16" s="6">
        <f t="shared" si="25"/>
        <v>123</v>
      </c>
      <c r="K16" s="6">
        <f t="shared" si="2"/>
        <v>123</v>
      </c>
      <c r="L16" s="5">
        <v>307.5</v>
      </c>
      <c r="M16" s="28">
        <v>40</v>
      </c>
      <c r="N16" s="33">
        <f t="shared" si="3"/>
        <v>375</v>
      </c>
      <c r="O16" s="4">
        <v>150</v>
      </c>
      <c r="P16" s="4">
        <v>200</v>
      </c>
      <c r="Q16" s="34">
        <f t="shared" si="24"/>
        <v>275</v>
      </c>
      <c r="R16" s="4">
        <v>191</v>
      </c>
      <c r="S16" s="34">
        <f t="shared" si="4"/>
        <v>100</v>
      </c>
      <c r="T16" s="34">
        <f t="shared" si="5"/>
        <v>165</v>
      </c>
      <c r="U16" s="34">
        <f t="shared" si="6"/>
        <v>85</v>
      </c>
      <c r="V16" s="34" t="str">
        <f t="shared" si="7"/>
        <v/>
      </c>
      <c r="W16" s="4">
        <v>2</v>
      </c>
      <c r="X16" s="4">
        <v>4</v>
      </c>
      <c r="Y16" s="5"/>
      <c r="Z16" s="5"/>
      <c r="AA16" s="5"/>
      <c r="AB16" s="5"/>
      <c r="AC16" s="5"/>
      <c r="AD16" s="4"/>
      <c r="AE16" s="4"/>
      <c r="AF16" s="34">
        <f t="shared" si="8"/>
        <v>10</v>
      </c>
      <c r="AG16" s="6">
        <f t="shared" si="17"/>
        <v>3302.35</v>
      </c>
      <c r="AH16" s="4"/>
      <c r="AI16" s="6">
        <f t="shared" si="18"/>
        <v>296.31149999999997</v>
      </c>
      <c r="AJ16" s="4"/>
      <c r="AK16" s="6">
        <f t="shared" si="19"/>
        <v>32.923499999999997</v>
      </c>
      <c r="AL16" s="6">
        <f t="shared" si="20"/>
        <v>32.923499999999997</v>
      </c>
      <c r="AM16" s="7">
        <v>7</v>
      </c>
      <c r="AN16" s="6">
        <f t="shared" si="9"/>
        <v>1.7</v>
      </c>
      <c r="AO16" s="5"/>
      <c r="AP16" s="5">
        <v>26.7</v>
      </c>
      <c r="AQ16" s="5">
        <v>20.399999999999999</v>
      </c>
      <c r="AR16" s="5"/>
      <c r="AS16" s="5">
        <v>1.5</v>
      </c>
      <c r="AT16" s="6">
        <f t="shared" si="10"/>
        <v>4.5</v>
      </c>
      <c r="AU16" s="6">
        <f t="shared" si="11"/>
        <v>2</v>
      </c>
      <c r="AV16" s="6">
        <f t="shared" si="12"/>
        <v>0.25</v>
      </c>
      <c r="AW16" s="6">
        <f t="shared" si="13"/>
        <v>3</v>
      </c>
      <c r="AX16" s="6">
        <f t="shared" si="14"/>
        <v>0.5</v>
      </c>
      <c r="AY16" s="6">
        <f t="shared" si="15"/>
        <v>72.914100000000019</v>
      </c>
      <c r="AZ16" s="5"/>
      <c r="BA16" s="5"/>
      <c r="BB16" s="5"/>
      <c r="BC16" s="5"/>
      <c r="BD16" s="5"/>
      <c r="BE16" s="4"/>
      <c r="BF16" s="4"/>
      <c r="BG16" s="4"/>
      <c r="BH16" s="7">
        <v>0.03</v>
      </c>
      <c r="BI16" s="6">
        <f t="shared" si="21"/>
        <v>502.65259999999989</v>
      </c>
      <c r="BJ16" s="6">
        <f t="shared" si="22"/>
        <v>2799.6974</v>
      </c>
      <c r="BK16" s="8" t="s">
        <v>71</v>
      </c>
      <c r="BL16" s="8" t="s">
        <v>53</v>
      </c>
      <c r="BM16" s="38"/>
      <c r="BN16" s="38"/>
      <c r="BO16" t="s">
        <v>119</v>
      </c>
      <c r="BQ16" s="2"/>
      <c r="BS16">
        <f t="shared" si="23"/>
        <v>625</v>
      </c>
      <c r="BT16" t="s">
        <v>55</v>
      </c>
      <c r="BU16" t="s">
        <v>55</v>
      </c>
    </row>
    <row r="17" spans="2:73" ht="24" customHeight="1">
      <c r="B17" t="str">
        <f t="shared" si="16"/>
        <v>اميره مصطفى السيد</v>
      </c>
      <c r="C17" s="1">
        <v>250</v>
      </c>
      <c r="D17" s="3">
        <v>8</v>
      </c>
      <c r="E17" s="4"/>
      <c r="F17" s="5">
        <v>1072.32</v>
      </c>
      <c r="G17" s="5">
        <v>24.12</v>
      </c>
      <c r="H17" s="6">
        <f t="shared" si="0"/>
        <v>25</v>
      </c>
      <c r="I17" s="6">
        <f t="shared" si="1"/>
        <v>62.5</v>
      </c>
      <c r="J17" s="6">
        <f t="shared" si="25"/>
        <v>125</v>
      </c>
      <c r="K17" s="6">
        <f t="shared" si="2"/>
        <v>125</v>
      </c>
      <c r="L17" s="5">
        <v>312.5</v>
      </c>
      <c r="M17" s="28"/>
      <c r="N17" s="33">
        <f t="shared" si="3"/>
        <v>375</v>
      </c>
      <c r="O17" s="4">
        <v>150</v>
      </c>
      <c r="P17" s="4">
        <v>200</v>
      </c>
      <c r="Q17" s="34">
        <f t="shared" si="24"/>
        <v>275</v>
      </c>
      <c r="R17" s="4">
        <v>150</v>
      </c>
      <c r="S17" s="34">
        <f t="shared" si="4"/>
        <v>100</v>
      </c>
      <c r="T17" s="34">
        <f t="shared" si="5"/>
        <v>165</v>
      </c>
      <c r="U17" s="34">
        <f t="shared" si="6"/>
        <v>85</v>
      </c>
      <c r="V17" s="34" t="str">
        <f t="shared" si="7"/>
        <v/>
      </c>
      <c r="W17" s="4">
        <v>2</v>
      </c>
      <c r="X17" s="4">
        <v>4</v>
      </c>
      <c r="Y17" s="5">
        <v>62.5</v>
      </c>
      <c r="Z17" s="5"/>
      <c r="AA17" s="5"/>
      <c r="AB17" s="5"/>
      <c r="AC17" s="5"/>
      <c r="AD17" s="4"/>
      <c r="AE17" s="4"/>
      <c r="AF17" s="34">
        <f t="shared" si="8"/>
        <v>10</v>
      </c>
      <c r="AG17" s="6">
        <f t="shared" si="17"/>
        <v>3324.9399999999996</v>
      </c>
      <c r="AH17" s="4"/>
      <c r="AI17" s="6">
        <f t="shared" si="18"/>
        <v>298.34459999999996</v>
      </c>
      <c r="AJ17" s="4"/>
      <c r="AK17" s="6">
        <f t="shared" si="19"/>
        <v>33.1494</v>
      </c>
      <c r="AL17" s="6">
        <f t="shared" si="20"/>
        <v>33.1494</v>
      </c>
      <c r="AM17" s="7">
        <v>7</v>
      </c>
      <c r="AN17" s="6">
        <f t="shared" si="9"/>
        <v>1.7</v>
      </c>
      <c r="AO17" s="5"/>
      <c r="AP17" s="5">
        <v>27.3</v>
      </c>
      <c r="AQ17" s="5">
        <v>20.45</v>
      </c>
      <c r="AR17" s="5"/>
      <c r="AS17" s="5">
        <v>1.5</v>
      </c>
      <c r="AT17" s="6">
        <f t="shared" si="10"/>
        <v>4.5</v>
      </c>
      <c r="AU17" s="6">
        <f t="shared" si="11"/>
        <v>2</v>
      </c>
      <c r="AV17" s="6">
        <f t="shared" si="12"/>
        <v>0.25</v>
      </c>
      <c r="AW17" s="6">
        <f t="shared" si="13"/>
        <v>3</v>
      </c>
      <c r="AX17" s="6">
        <f t="shared" si="14"/>
        <v>0.5</v>
      </c>
      <c r="AY17" s="6">
        <f t="shared" si="15"/>
        <v>75.062399999999997</v>
      </c>
      <c r="AZ17" s="5"/>
      <c r="BA17" s="5"/>
      <c r="BB17" s="5"/>
      <c r="BC17" s="5"/>
      <c r="BD17" s="5"/>
      <c r="BE17" s="4"/>
      <c r="BF17" s="4"/>
      <c r="BG17" s="4"/>
      <c r="BH17" s="7">
        <v>0.03</v>
      </c>
      <c r="BI17" s="6">
        <f t="shared" si="21"/>
        <v>507.93579999999997</v>
      </c>
      <c r="BJ17" s="6">
        <f t="shared" si="22"/>
        <v>2817.0041999999994</v>
      </c>
      <c r="BK17" s="8" t="s">
        <v>72</v>
      </c>
      <c r="BL17" s="8" t="s">
        <v>53</v>
      </c>
      <c r="BM17" s="38"/>
      <c r="BN17" s="38"/>
      <c r="BO17" t="s">
        <v>119</v>
      </c>
      <c r="BQ17" s="2"/>
      <c r="BS17">
        <f t="shared" si="23"/>
        <v>625</v>
      </c>
      <c r="BT17" t="s">
        <v>138</v>
      </c>
      <c r="BU17" t="s">
        <v>138</v>
      </c>
    </row>
    <row r="18" spans="2:73" ht="24" customHeight="1">
      <c r="B18" t="str">
        <f t="shared" si="16"/>
        <v>رباب محمود النجار</v>
      </c>
      <c r="C18" s="1">
        <v>246</v>
      </c>
      <c r="D18" s="3">
        <v>9</v>
      </c>
      <c r="E18" s="4"/>
      <c r="F18" s="5">
        <v>1041.6300000000001</v>
      </c>
      <c r="G18" s="5">
        <v>24.12</v>
      </c>
      <c r="H18" s="6">
        <f t="shared" si="0"/>
        <v>24.6</v>
      </c>
      <c r="I18" s="6">
        <f t="shared" si="1"/>
        <v>61.5</v>
      </c>
      <c r="J18" s="6">
        <f t="shared" si="25"/>
        <v>123</v>
      </c>
      <c r="K18" s="6">
        <f t="shared" si="2"/>
        <v>123</v>
      </c>
      <c r="L18" s="5">
        <v>307.5</v>
      </c>
      <c r="M18" s="28"/>
      <c r="N18" s="33">
        <f t="shared" si="3"/>
        <v>375</v>
      </c>
      <c r="O18" s="4">
        <v>150</v>
      </c>
      <c r="P18" s="4">
        <v>200</v>
      </c>
      <c r="Q18" s="34">
        <f t="shared" si="24"/>
        <v>275</v>
      </c>
      <c r="R18" s="4">
        <v>191</v>
      </c>
      <c r="S18" s="34">
        <f t="shared" si="4"/>
        <v>100</v>
      </c>
      <c r="T18" s="34">
        <f t="shared" si="5"/>
        <v>165</v>
      </c>
      <c r="U18" s="34">
        <f t="shared" si="6"/>
        <v>85</v>
      </c>
      <c r="V18" s="34" t="str">
        <f t="shared" si="7"/>
        <v/>
      </c>
      <c r="W18" s="4">
        <v>2</v>
      </c>
      <c r="X18" s="4">
        <v>4</v>
      </c>
      <c r="Y18" s="5"/>
      <c r="Z18" s="5"/>
      <c r="AA18" s="5"/>
      <c r="AB18" s="5"/>
      <c r="AC18" s="5"/>
      <c r="AD18" s="4"/>
      <c r="AE18" s="4"/>
      <c r="AF18" s="34">
        <f t="shared" si="8"/>
        <v>10</v>
      </c>
      <c r="AG18" s="6">
        <f t="shared" si="17"/>
        <v>3262.35</v>
      </c>
      <c r="AH18" s="4"/>
      <c r="AI18" s="6">
        <f t="shared" si="18"/>
        <v>292.7115</v>
      </c>
      <c r="AJ18" s="4"/>
      <c r="AK18" s="6">
        <f t="shared" si="19"/>
        <v>32.523499999999999</v>
      </c>
      <c r="AL18" s="6">
        <f t="shared" si="20"/>
        <v>32.523499999999999</v>
      </c>
      <c r="AM18" s="7">
        <v>7</v>
      </c>
      <c r="AN18" s="6">
        <f t="shared" si="9"/>
        <v>1.7</v>
      </c>
      <c r="AO18" s="5"/>
      <c r="AP18" s="5">
        <v>25.7</v>
      </c>
      <c r="AQ18" s="5">
        <v>20.100000000000001</v>
      </c>
      <c r="AR18" s="5"/>
      <c r="AS18" s="5">
        <v>1.5</v>
      </c>
      <c r="AT18" s="6">
        <f t="shared" si="10"/>
        <v>4.5</v>
      </c>
      <c r="AU18" s="6">
        <f t="shared" si="11"/>
        <v>2</v>
      </c>
      <c r="AV18" s="6">
        <f t="shared" si="12"/>
        <v>0.25</v>
      </c>
      <c r="AW18" s="6">
        <f t="shared" si="13"/>
        <v>3</v>
      </c>
      <c r="AX18" s="6">
        <f t="shared" si="14"/>
        <v>0.5</v>
      </c>
      <c r="AY18" s="6">
        <f t="shared" si="15"/>
        <v>72.914100000000019</v>
      </c>
      <c r="AZ18" s="5"/>
      <c r="BA18" s="5"/>
      <c r="BB18" s="5"/>
      <c r="BC18" s="5"/>
      <c r="BD18" s="5"/>
      <c r="BE18" s="4"/>
      <c r="BF18" s="4"/>
      <c r="BG18" s="4"/>
      <c r="BH18" s="7">
        <v>0.03</v>
      </c>
      <c r="BI18" s="6">
        <f t="shared" si="21"/>
        <v>496.95260000000002</v>
      </c>
      <c r="BJ18" s="6">
        <f t="shared" si="22"/>
        <v>2765.3973999999998</v>
      </c>
      <c r="BK18" s="8" t="s">
        <v>73</v>
      </c>
      <c r="BL18" s="8" t="s">
        <v>53</v>
      </c>
      <c r="BM18" s="38"/>
      <c r="BN18" s="38"/>
      <c r="BO18" t="s">
        <v>119</v>
      </c>
      <c r="BQ18" s="2"/>
      <c r="BS18">
        <f t="shared" si="23"/>
        <v>625</v>
      </c>
    </row>
    <row r="19" spans="2:73" ht="24" customHeight="1">
      <c r="B19" t="str">
        <f t="shared" si="16"/>
        <v>مروى ناجى سليمان</v>
      </c>
      <c r="C19" s="1">
        <v>246</v>
      </c>
      <c r="D19" s="3">
        <v>10</v>
      </c>
      <c r="E19" s="4"/>
      <c r="F19" s="5">
        <v>1025.8599999999999</v>
      </c>
      <c r="G19" s="5">
        <v>4.8</v>
      </c>
      <c r="H19" s="6">
        <v>4.8</v>
      </c>
      <c r="I19" s="6">
        <f t="shared" si="1"/>
        <v>61.5</v>
      </c>
      <c r="J19" s="6">
        <f t="shared" si="25"/>
        <v>184.5</v>
      </c>
      <c r="K19" s="6">
        <f t="shared" si="2"/>
        <v>123</v>
      </c>
      <c r="L19" s="5">
        <v>246</v>
      </c>
      <c r="M19" s="28"/>
      <c r="N19" s="33">
        <f t="shared" si="3"/>
        <v>400</v>
      </c>
      <c r="O19" s="4">
        <v>150</v>
      </c>
      <c r="P19" s="4">
        <v>200</v>
      </c>
      <c r="Q19" s="34">
        <f t="shared" si="24"/>
        <v>225</v>
      </c>
      <c r="R19" s="4">
        <v>252</v>
      </c>
      <c r="S19" s="34">
        <f t="shared" si="4"/>
        <v>75</v>
      </c>
      <c r="T19" s="34">
        <f t="shared" si="5"/>
        <v>185</v>
      </c>
      <c r="U19" s="34">
        <f t="shared" si="6"/>
        <v>65</v>
      </c>
      <c r="V19" s="34" t="str">
        <f t="shared" si="7"/>
        <v/>
      </c>
      <c r="W19" s="4">
        <v>2</v>
      </c>
      <c r="X19" s="4">
        <v>4</v>
      </c>
      <c r="Y19" s="5"/>
      <c r="Z19" s="5"/>
      <c r="AA19" s="5"/>
      <c r="AB19" s="5"/>
      <c r="AC19" s="5"/>
      <c r="AD19" s="4"/>
      <c r="AE19" s="4"/>
      <c r="AF19" s="34">
        <f t="shared" si="8"/>
        <v>10</v>
      </c>
      <c r="AG19" s="6">
        <f t="shared" si="17"/>
        <v>3218.46</v>
      </c>
      <c r="AH19" s="4"/>
      <c r="AI19" s="6">
        <f t="shared" si="18"/>
        <v>288.76139999999998</v>
      </c>
      <c r="AJ19" s="4"/>
      <c r="AK19" s="6">
        <f t="shared" si="19"/>
        <v>32.084600000000002</v>
      </c>
      <c r="AL19" s="6">
        <f t="shared" si="20"/>
        <v>32.084600000000002</v>
      </c>
      <c r="AM19" s="7">
        <v>6.5</v>
      </c>
      <c r="AN19" s="6">
        <f t="shared" si="9"/>
        <v>1.3</v>
      </c>
      <c r="AO19" s="5"/>
      <c r="AP19" s="5">
        <v>24.4</v>
      </c>
      <c r="AQ19" s="5">
        <v>19.8</v>
      </c>
      <c r="AR19" s="5"/>
      <c r="AS19" s="5">
        <v>1.5</v>
      </c>
      <c r="AT19" s="6">
        <f t="shared" si="10"/>
        <v>4.5</v>
      </c>
      <c r="AU19" s="6">
        <f t="shared" si="11"/>
        <v>2</v>
      </c>
      <c r="AV19" s="6">
        <f t="shared" si="12"/>
        <v>0.25</v>
      </c>
      <c r="AW19" s="6">
        <f t="shared" si="13"/>
        <v>3</v>
      </c>
      <c r="AX19" s="6">
        <f t="shared" si="14"/>
        <v>0.5</v>
      </c>
      <c r="AY19" s="6">
        <f t="shared" si="15"/>
        <v>71.810199999999995</v>
      </c>
      <c r="AZ19" s="5"/>
      <c r="BA19" s="5"/>
      <c r="BB19" s="5"/>
      <c r="BC19" s="5"/>
      <c r="BD19" s="5"/>
      <c r="BE19" s="4"/>
      <c r="BF19" s="4"/>
      <c r="BG19" s="4"/>
      <c r="BH19" s="7">
        <v>0.02</v>
      </c>
      <c r="BI19" s="6">
        <f t="shared" si="21"/>
        <v>488.51080000000002</v>
      </c>
      <c r="BJ19" s="6">
        <f t="shared" si="22"/>
        <v>2729.9492</v>
      </c>
      <c r="BK19" s="8" t="s">
        <v>74</v>
      </c>
      <c r="BL19" s="8" t="s">
        <v>54</v>
      </c>
      <c r="BM19" s="38"/>
      <c r="BN19" s="38"/>
      <c r="BO19" t="s">
        <v>119</v>
      </c>
      <c r="BQ19" s="2"/>
      <c r="BS19">
        <f t="shared" si="23"/>
        <v>575</v>
      </c>
    </row>
    <row r="20" spans="2:73" ht="24" customHeight="1">
      <c r="B20" t="str">
        <f t="shared" si="16"/>
        <v>مروه حمدى عزالعرب</v>
      </c>
      <c r="C20" s="1">
        <v>249</v>
      </c>
      <c r="D20" s="3">
        <v>11</v>
      </c>
      <c r="E20" s="4"/>
      <c r="F20" s="5">
        <v>1039.78</v>
      </c>
      <c r="G20" s="5">
        <v>24.12</v>
      </c>
      <c r="H20" s="6">
        <f>IF(BO20=$H$9,C20*10%,"")</f>
        <v>24.900000000000002</v>
      </c>
      <c r="I20" s="6">
        <f t="shared" si="1"/>
        <v>62.25</v>
      </c>
      <c r="J20" s="6">
        <f t="shared" si="25"/>
        <v>186.75</v>
      </c>
      <c r="K20" s="6">
        <f t="shared" si="2"/>
        <v>124.5</v>
      </c>
      <c r="L20" s="5"/>
      <c r="M20" s="28"/>
      <c r="N20" s="33"/>
      <c r="O20" s="4">
        <v>150</v>
      </c>
      <c r="P20" s="4">
        <v>200</v>
      </c>
      <c r="Q20" s="34">
        <f t="shared" si="24"/>
        <v>225</v>
      </c>
      <c r="R20" s="4">
        <v>572</v>
      </c>
      <c r="S20" s="34">
        <f t="shared" si="4"/>
        <v>75</v>
      </c>
      <c r="T20" s="34">
        <f t="shared" si="5"/>
        <v>185</v>
      </c>
      <c r="U20" s="34">
        <f t="shared" si="6"/>
        <v>65</v>
      </c>
      <c r="V20" s="34" t="str">
        <f t="shared" si="7"/>
        <v/>
      </c>
      <c r="W20" s="4">
        <v>2</v>
      </c>
      <c r="X20" s="4">
        <v>4</v>
      </c>
      <c r="Y20" s="5"/>
      <c r="Z20" s="5"/>
      <c r="AA20" s="5"/>
      <c r="AB20" s="5"/>
      <c r="AC20" s="5">
        <v>227.83</v>
      </c>
      <c r="AD20" s="4">
        <v>385</v>
      </c>
      <c r="AE20" s="4">
        <v>200</v>
      </c>
      <c r="AF20" s="34">
        <f t="shared" si="8"/>
        <v>10</v>
      </c>
      <c r="AG20" s="6">
        <f t="shared" si="17"/>
        <v>3763.13</v>
      </c>
      <c r="AH20" s="4"/>
      <c r="AI20" s="6">
        <f t="shared" si="18"/>
        <v>337.7817</v>
      </c>
      <c r="AJ20" s="4"/>
      <c r="AK20" s="6">
        <f t="shared" si="19"/>
        <v>37.531300000000002</v>
      </c>
      <c r="AL20" s="6">
        <f t="shared" si="20"/>
        <v>37.531300000000002</v>
      </c>
      <c r="AM20" s="7">
        <v>6.5</v>
      </c>
      <c r="AN20" s="6">
        <f t="shared" si="9"/>
        <v>1.3</v>
      </c>
      <c r="AO20" s="5"/>
      <c r="AP20" s="5">
        <v>40</v>
      </c>
      <c r="AQ20" s="5">
        <v>23.85</v>
      </c>
      <c r="AR20" s="5"/>
      <c r="AS20" s="5">
        <v>1.5</v>
      </c>
      <c r="AT20" s="6">
        <f t="shared" si="10"/>
        <v>4.5</v>
      </c>
      <c r="AU20" s="6">
        <f t="shared" si="11"/>
        <v>2</v>
      </c>
      <c r="AV20" s="6">
        <f t="shared" si="12"/>
        <v>0.25</v>
      </c>
      <c r="AW20" s="6">
        <f t="shared" si="13"/>
        <v>3</v>
      </c>
      <c r="AX20" s="6">
        <f t="shared" si="14"/>
        <v>0.5</v>
      </c>
      <c r="AY20" s="6">
        <f t="shared" si="15"/>
        <v>72.784600000000012</v>
      </c>
      <c r="AZ20" s="5"/>
      <c r="BA20" s="5"/>
      <c r="BB20" s="5"/>
      <c r="BC20" s="5"/>
      <c r="BD20" s="5"/>
      <c r="BE20" s="4"/>
      <c r="BF20" s="4"/>
      <c r="BG20" s="4"/>
      <c r="BH20" s="7"/>
      <c r="BI20" s="6">
        <f t="shared" si="21"/>
        <v>569.02890000000002</v>
      </c>
      <c r="BJ20" s="6">
        <f t="shared" si="22"/>
        <v>3194.1010999999999</v>
      </c>
      <c r="BK20" s="8" t="s">
        <v>75</v>
      </c>
      <c r="BL20" s="8" t="s">
        <v>54</v>
      </c>
      <c r="BM20" s="38"/>
      <c r="BN20" s="38"/>
      <c r="BO20" t="s">
        <v>119</v>
      </c>
      <c r="BQ20" s="2"/>
      <c r="BS20">
        <f t="shared" si="23"/>
        <v>575</v>
      </c>
    </row>
    <row r="21" spans="2:73" ht="24" customHeight="1">
      <c r="B21" t="str">
        <f t="shared" si="16"/>
        <v>حامد ابوبكر شلبى</v>
      </c>
      <c r="C21" s="1">
        <v>246</v>
      </c>
      <c r="D21" s="3">
        <v>12</v>
      </c>
      <c r="E21" s="4"/>
      <c r="F21" s="5">
        <v>1006.15</v>
      </c>
      <c r="G21" s="5">
        <v>4.8</v>
      </c>
      <c r="H21" s="6">
        <v>4.8</v>
      </c>
      <c r="I21" s="6">
        <f t="shared" si="1"/>
        <v>61.5</v>
      </c>
      <c r="J21" s="6"/>
      <c r="K21" s="6">
        <f t="shared" si="2"/>
        <v>123</v>
      </c>
      <c r="L21" s="5">
        <v>246</v>
      </c>
      <c r="M21" s="28"/>
      <c r="N21" s="33"/>
      <c r="O21" s="4">
        <v>150</v>
      </c>
      <c r="P21" s="4">
        <v>200</v>
      </c>
      <c r="Q21" s="34">
        <f t="shared" si="24"/>
        <v>225</v>
      </c>
      <c r="R21" s="4">
        <v>153</v>
      </c>
      <c r="S21" s="34">
        <f t="shared" si="4"/>
        <v>75</v>
      </c>
      <c r="T21" s="34">
        <f t="shared" si="5"/>
        <v>185</v>
      </c>
      <c r="U21" s="34">
        <f t="shared" si="6"/>
        <v>65</v>
      </c>
      <c r="V21" s="34" t="str">
        <f t="shared" si="7"/>
        <v/>
      </c>
      <c r="W21" s="4">
        <v>6</v>
      </c>
      <c r="X21" s="4">
        <v>4</v>
      </c>
      <c r="Y21" s="5"/>
      <c r="Z21" s="5"/>
      <c r="AA21" s="5"/>
      <c r="AB21" s="5"/>
      <c r="AC21" s="5"/>
      <c r="AD21" s="4"/>
      <c r="AE21" s="4"/>
      <c r="AF21" s="34">
        <f t="shared" si="8"/>
        <v>10</v>
      </c>
      <c r="AG21" s="6">
        <f t="shared" si="17"/>
        <v>2519.25</v>
      </c>
      <c r="AH21" s="4"/>
      <c r="AI21" s="6">
        <f t="shared" si="18"/>
        <v>225.83249999999998</v>
      </c>
      <c r="AJ21" s="4"/>
      <c r="AK21" s="6">
        <f t="shared" si="19"/>
        <v>25.092500000000001</v>
      </c>
      <c r="AL21" s="6">
        <f t="shared" si="20"/>
        <v>25.092500000000001</v>
      </c>
      <c r="AM21" s="7">
        <v>6.5</v>
      </c>
      <c r="AN21" s="6">
        <f t="shared" si="9"/>
        <v>1.3</v>
      </c>
      <c r="AO21" s="5"/>
      <c r="AP21" s="5">
        <v>3.5</v>
      </c>
      <c r="AQ21" s="5">
        <v>14.65</v>
      </c>
      <c r="AR21" s="5"/>
      <c r="AS21" s="5">
        <v>1</v>
      </c>
      <c r="AT21" s="6">
        <f t="shared" si="10"/>
        <v>4.5</v>
      </c>
      <c r="AU21" s="6">
        <f t="shared" si="11"/>
        <v>2</v>
      </c>
      <c r="AV21" s="6">
        <f t="shared" si="12"/>
        <v>0.25</v>
      </c>
      <c r="AW21" s="6">
        <f t="shared" si="13"/>
        <v>3</v>
      </c>
      <c r="AX21" s="6">
        <f t="shared" si="14"/>
        <v>0.5</v>
      </c>
      <c r="AY21" s="6">
        <f t="shared" si="15"/>
        <v>70.430500000000009</v>
      </c>
      <c r="AZ21" s="5"/>
      <c r="BA21" s="5"/>
      <c r="BB21" s="5"/>
      <c r="BC21" s="5"/>
      <c r="BD21" s="5"/>
      <c r="BE21" s="4"/>
      <c r="BF21" s="4"/>
      <c r="BG21" s="4"/>
      <c r="BH21" s="7"/>
      <c r="BI21" s="6">
        <f t="shared" si="21"/>
        <v>383.64799999999997</v>
      </c>
      <c r="BJ21" s="6">
        <f t="shared" si="22"/>
        <v>2135.6019999999999</v>
      </c>
      <c r="BK21" s="8" t="s">
        <v>76</v>
      </c>
      <c r="BL21" s="8" t="s">
        <v>54</v>
      </c>
      <c r="BM21" s="38"/>
      <c r="BN21" s="38"/>
      <c r="BO21" t="s">
        <v>119</v>
      </c>
      <c r="BQ21" s="2"/>
      <c r="BS21">
        <f t="shared" si="23"/>
        <v>575</v>
      </c>
    </row>
    <row r="22" spans="2:73" ht="24" customHeight="1">
      <c r="B22" t="str">
        <f t="shared" si="16"/>
        <v>محمد ابراهيم علوان</v>
      </c>
      <c r="C22" s="1"/>
      <c r="D22" s="3">
        <v>13</v>
      </c>
      <c r="E22" s="4"/>
      <c r="F22" s="5"/>
      <c r="G22" s="5"/>
      <c r="H22" s="6" t="str">
        <f t="shared" ref="H22:H30" si="26">IF(BO22=$H$9,C22*10%,"")</f>
        <v/>
      </c>
      <c r="I22" s="6" t="str">
        <f t="shared" si="1"/>
        <v/>
      </c>
      <c r="J22" s="6" t="str">
        <f t="shared" ref="J22:J30" si="27">IF(BO22=$H$9,ROUND(IF(BL22="كبير",C22*25%,IF(BL22="كبير ا",C22*25%,IF(BL22="اولى",C22*25%,IF(BL22="ثانيه",C22*50%,IF(BL22="ثالثه",C22*75%,IF(BL22="م م",C22*125%,)))))),2),"")</f>
        <v/>
      </c>
      <c r="K22" s="6" t="str">
        <f t="shared" si="2"/>
        <v/>
      </c>
      <c r="L22" s="5"/>
      <c r="M22" s="28"/>
      <c r="N22" s="33" t="str">
        <f t="shared" ref="N22:N30" si="28">IF(BO22="مدرس",IF(BL22="كبير ا",300,IF(BL22="كبير",325,IF(BL22="اولى",350,IF(BL22="ثانيه",375,IF(BL22="ثالثه",400,""))))),"")</f>
        <v/>
      </c>
      <c r="O22" s="4">
        <v>150</v>
      </c>
      <c r="P22" s="4">
        <v>300</v>
      </c>
      <c r="Q22" s="34">
        <f t="shared" si="24"/>
        <v>325</v>
      </c>
      <c r="R22" s="4"/>
      <c r="S22" s="34" t="str">
        <f t="shared" si="4"/>
        <v/>
      </c>
      <c r="T22" s="34" t="str">
        <f t="shared" si="5"/>
        <v/>
      </c>
      <c r="U22" s="34" t="str">
        <f t="shared" si="6"/>
        <v/>
      </c>
      <c r="V22" s="34">
        <f t="shared" si="7"/>
        <v>85</v>
      </c>
      <c r="W22" s="4"/>
      <c r="X22" s="4"/>
      <c r="Y22" s="5"/>
      <c r="Z22" s="5">
        <v>3125.29</v>
      </c>
      <c r="AA22" s="5">
        <v>359.55</v>
      </c>
      <c r="AB22" s="5">
        <v>76.67</v>
      </c>
      <c r="AC22" s="5"/>
      <c r="AD22" s="4"/>
      <c r="AE22" s="4"/>
      <c r="AF22" s="34" t="str">
        <f t="shared" si="8"/>
        <v/>
      </c>
      <c r="AG22" s="6">
        <f t="shared" si="17"/>
        <v>4421.51</v>
      </c>
      <c r="AH22" s="4"/>
      <c r="AI22" s="6">
        <f t="shared" si="18"/>
        <v>397.9359</v>
      </c>
      <c r="AJ22" s="4"/>
      <c r="AK22" s="6">
        <f t="shared" si="19"/>
        <v>44.2151</v>
      </c>
      <c r="AL22" s="6">
        <f t="shared" si="20"/>
        <v>44.2151</v>
      </c>
      <c r="AM22" s="7">
        <v>5</v>
      </c>
      <c r="AN22" s="6" t="str">
        <f t="shared" si="9"/>
        <v/>
      </c>
      <c r="AO22" s="5"/>
      <c r="AP22" s="5">
        <v>45.2</v>
      </c>
      <c r="AQ22" s="5">
        <v>32.1</v>
      </c>
      <c r="AR22" s="5"/>
      <c r="AS22" s="5">
        <v>2</v>
      </c>
      <c r="AT22" s="6" t="str">
        <f t="shared" si="10"/>
        <v/>
      </c>
      <c r="AU22" s="6" t="str">
        <f t="shared" si="11"/>
        <v/>
      </c>
      <c r="AV22" s="6" t="str">
        <f t="shared" si="12"/>
        <v/>
      </c>
      <c r="AW22" s="6" t="str">
        <f t="shared" si="13"/>
        <v/>
      </c>
      <c r="AX22" s="6" t="str">
        <f t="shared" si="14"/>
        <v/>
      </c>
      <c r="AY22" s="6" t="str">
        <f t="shared" si="15"/>
        <v/>
      </c>
      <c r="AZ22" s="5"/>
      <c r="BA22" s="5"/>
      <c r="BB22" s="5"/>
      <c r="BC22" s="5"/>
      <c r="BD22" s="5"/>
      <c r="BE22" s="4"/>
      <c r="BF22" s="4"/>
      <c r="BG22" s="4"/>
      <c r="BH22" s="7">
        <v>0.04</v>
      </c>
      <c r="BI22" s="6">
        <f t="shared" si="21"/>
        <v>570.70609999999999</v>
      </c>
      <c r="BJ22" s="6">
        <f t="shared" si="22"/>
        <v>3850.8039000000003</v>
      </c>
      <c r="BK22" s="8" t="s">
        <v>42</v>
      </c>
      <c r="BL22" s="8" t="s">
        <v>52</v>
      </c>
      <c r="BM22" s="38"/>
      <c r="BN22" s="38"/>
      <c r="BQ22" s="2"/>
      <c r="BS22">
        <f t="shared" si="23"/>
        <v>775</v>
      </c>
    </row>
    <row r="23" spans="2:73" ht="24" customHeight="1">
      <c r="B23" t="str">
        <f t="shared" si="16"/>
        <v>ناديه مسعد محمود</v>
      </c>
      <c r="C23" s="1"/>
      <c r="D23" s="3">
        <v>14</v>
      </c>
      <c r="E23" s="9"/>
      <c r="F23" s="10"/>
      <c r="G23" s="5"/>
      <c r="H23" s="6" t="str">
        <f t="shared" si="26"/>
        <v/>
      </c>
      <c r="I23" s="6" t="str">
        <f t="shared" si="1"/>
        <v/>
      </c>
      <c r="J23" s="6" t="str">
        <f t="shared" si="27"/>
        <v/>
      </c>
      <c r="K23" s="6" t="str">
        <f t="shared" si="2"/>
        <v/>
      </c>
      <c r="L23" s="5"/>
      <c r="M23" s="29"/>
      <c r="N23" s="33" t="str">
        <f t="shared" si="28"/>
        <v/>
      </c>
      <c r="O23" s="4">
        <v>150</v>
      </c>
      <c r="P23" s="4">
        <v>300</v>
      </c>
      <c r="Q23" s="34">
        <f t="shared" si="24"/>
        <v>325</v>
      </c>
      <c r="R23" s="9"/>
      <c r="S23" s="34" t="str">
        <f t="shared" si="4"/>
        <v/>
      </c>
      <c r="T23" s="34" t="str">
        <f t="shared" si="5"/>
        <v/>
      </c>
      <c r="U23" s="34" t="str">
        <f t="shared" si="6"/>
        <v/>
      </c>
      <c r="V23" s="34">
        <f t="shared" si="7"/>
        <v>85</v>
      </c>
      <c r="W23" s="4"/>
      <c r="X23" s="4"/>
      <c r="Y23" s="10"/>
      <c r="Z23" s="10">
        <v>2852.14</v>
      </c>
      <c r="AA23" s="10">
        <v>303.41000000000003</v>
      </c>
      <c r="AB23" s="10">
        <v>64.44</v>
      </c>
      <c r="AC23" s="10"/>
      <c r="AD23" s="9"/>
      <c r="AE23" s="9"/>
      <c r="AF23" s="34" t="str">
        <f t="shared" si="8"/>
        <v/>
      </c>
      <c r="AG23" s="6">
        <f t="shared" si="17"/>
        <v>4079.99</v>
      </c>
      <c r="AH23" s="4"/>
      <c r="AI23" s="6">
        <f t="shared" si="18"/>
        <v>367.19909999999999</v>
      </c>
      <c r="AJ23" s="4"/>
      <c r="AK23" s="6">
        <f t="shared" si="19"/>
        <v>40.799900000000001</v>
      </c>
      <c r="AL23" s="6">
        <f t="shared" si="20"/>
        <v>40.799900000000001</v>
      </c>
      <c r="AM23" s="7">
        <v>5</v>
      </c>
      <c r="AN23" s="6" t="str">
        <f t="shared" si="9"/>
        <v/>
      </c>
      <c r="AO23" s="5"/>
      <c r="AP23" s="5">
        <v>41.9</v>
      </c>
      <c r="AQ23" s="5">
        <v>29.65</v>
      </c>
      <c r="AR23" s="5"/>
      <c r="AS23" s="5">
        <v>2</v>
      </c>
      <c r="AT23" s="6" t="str">
        <f t="shared" si="10"/>
        <v/>
      </c>
      <c r="AU23" s="6" t="str">
        <f t="shared" si="11"/>
        <v/>
      </c>
      <c r="AV23" s="6" t="str">
        <f t="shared" si="12"/>
        <v/>
      </c>
      <c r="AW23" s="6" t="str">
        <f t="shared" si="13"/>
        <v/>
      </c>
      <c r="AX23" s="6" t="str">
        <f t="shared" si="14"/>
        <v/>
      </c>
      <c r="AY23" s="6" t="str">
        <f t="shared" si="15"/>
        <v/>
      </c>
      <c r="AZ23" s="5"/>
      <c r="BA23" s="5"/>
      <c r="BB23" s="5"/>
      <c r="BC23" s="5"/>
      <c r="BD23" s="5"/>
      <c r="BE23" s="4"/>
      <c r="BF23" s="4"/>
      <c r="BG23" s="4"/>
      <c r="BH23" s="7">
        <v>0.04</v>
      </c>
      <c r="BI23" s="6">
        <f t="shared" si="21"/>
        <v>527.38889999999992</v>
      </c>
      <c r="BJ23" s="6">
        <f t="shared" si="22"/>
        <v>3552.6010999999999</v>
      </c>
      <c r="BK23" s="11" t="s">
        <v>43</v>
      </c>
      <c r="BL23" s="8" t="s">
        <v>52</v>
      </c>
      <c r="BM23" s="38"/>
      <c r="BN23" s="38"/>
      <c r="BQ23" s="2"/>
      <c r="BS23">
        <f t="shared" si="23"/>
        <v>775</v>
      </c>
    </row>
    <row r="24" spans="2:73" ht="24" customHeight="1">
      <c r="B24" t="str">
        <f t="shared" si="16"/>
        <v>ممدوح محمد عبدالعزيز</v>
      </c>
      <c r="C24" s="1"/>
      <c r="D24" s="3">
        <v>15</v>
      </c>
      <c r="E24" s="9"/>
      <c r="F24" s="10"/>
      <c r="G24" s="5"/>
      <c r="H24" s="6" t="str">
        <f t="shared" si="26"/>
        <v/>
      </c>
      <c r="I24" s="6" t="str">
        <f t="shared" si="1"/>
        <v/>
      </c>
      <c r="J24" s="6" t="str">
        <f t="shared" si="27"/>
        <v/>
      </c>
      <c r="K24" s="6" t="str">
        <f t="shared" si="2"/>
        <v/>
      </c>
      <c r="L24" s="5"/>
      <c r="M24" s="29"/>
      <c r="N24" s="33" t="str">
        <f t="shared" si="28"/>
        <v/>
      </c>
      <c r="O24" s="4">
        <v>150</v>
      </c>
      <c r="P24" s="4">
        <v>300</v>
      </c>
      <c r="Q24" s="34">
        <f t="shared" si="24"/>
        <v>325</v>
      </c>
      <c r="R24" s="9"/>
      <c r="S24" s="34" t="str">
        <f t="shared" si="4"/>
        <v/>
      </c>
      <c r="T24" s="34" t="str">
        <f t="shared" si="5"/>
        <v/>
      </c>
      <c r="U24" s="34" t="str">
        <f t="shared" si="6"/>
        <v/>
      </c>
      <c r="V24" s="34">
        <f t="shared" si="7"/>
        <v>85</v>
      </c>
      <c r="W24" s="4"/>
      <c r="X24" s="4"/>
      <c r="Y24" s="10"/>
      <c r="Z24" s="10">
        <v>2749.53</v>
      </c>
      <c r="AA24" s="10">
        <v>299.68</v>
      </c>
      <c r="AB24" s="10">
        <v>64.44</v>
      </c>
      <c r="AC24" s="10"/>
      <c r="AD24" s="9"/>
      <c r="AE24" s="9"/>
      <c r="AF24" s="34" t="str">
        <f t="shared" si="8"/>
        <v/>
      </c>
      <c r="AG24" s="6">
        <f t="shared" si="17"/>
        <v>3973.65</v>
      </c>
      <c r="AH24" s="4"/>
      <c r="AI24" s="6">
        <f t="shared" si="18"/>
        <v>357.62849999999997</v>
      </c>
      <c r="AJ24" s="4"/>
      <c r="AK24" s="6">
        <f t="shared" si="19"/>
        <v>39.736499999999999</v>
      </c>
      <c r="AL24" s="6">
        <f t="shared" si="20"/>
        <v>39.736499999999999</v>
      </c>
      <c r="AM24" s="7">
        <v>5</v>
      </c>
      <c r="AN24" s="6" t="str">
        <f t="shared" si="9"/>
        <v/>
      </c>
      <c r="AO24" s="5"/>
      <c r="AP24" s="5">
        <v>46.8</v>
      </c>
      <c r="AQ24" s="5">
        <v>28.9</v>
      </c>
      <c r="AR24" s="5"/>
      <c r="AS24" s="5">
        <v>1.5</v>
      </c>
      <c r="AT24" s="6" t="str">
        <f t="shared" si="10"/>
        <v/>
      </c>
      <c r="AU24" s="6" t="str">
        <f t="shared" si="11"/>
        <v/>
      </c>
      <c r="AV24" s="6" t="str">
        <f t="shared" si="12"/>
        <v/>
      </c>
      <c r="AW24" s="6" t="str">
        <f t="shared" si="13"/>
        <v/>
      </c>
      <c r="AX24" s="6" t="str">
        <f t="shared" si="14"/>
        <v/>
      </c>
      <c r="AY24" s="6" t="str">
        <f t="shared" si="15"/>
        <v/>
      </c>
      <c r="AZ24" s="5">
        <v>9</v>
      </c>
      <c r="BA24" s="5"/>
      <c r="BB24" s="5">
        <v>2</v>
      </c>
      <c r="BC24" s="5">
        <v>3</v>
      </c>
      <c r="BD24" s="5">
        <v>41.45</v>
      </c>
      <c r="BE24" s="4"/>
      <c r="BF24" s="4"/>
      <c r="BG24" s="4"/>
      <c r="BH24" s="7">
        <v>0.01</v>
      </c>
      <c r="BI24" s="6">
        <f t="shared" si="21"/>
        <v>574.76149999999996</v>
      </c>
      <c r="BJ24" s="6">
        <f t="shared" si="22"/>
        <v>3398.8885</v>
      </c>
      <c r="BK24" s="11" t="s">
        <v>44</v>
      </c>
      <c r="BL24" s="8" t="s">
        <v>52</v>
      </c>
      <c r="BM24" s="38"/>
      <c r="BN24" s="38"/>
      <c r="BQ24" s="2"/>
      <c r="BS24">
        <f t="shared" si="23"/>
        <v>775</v>
      </c>
    </row>
    <row r="25" spans="2:73" ht="24" customHeight="1">
      <c r="B25" t="str">
        <f t="shared" si="16"/>
        <v>على محمد شعلان</v>
      </c>
      <c r="C25" s="1"/>
      <c r="D25" s="3">
        <v>16</v>
      </c>
      <c r="E25" s="9"/>
      <c r="F25" s="10"/>
      <c r="G25" s="5"/>
      <c r="H25" s="6" t="str">
        <f t="shared" si="26"/>
        <v/>
      </c>
      <c r="I25" s="6" t="str">
        <f t="shared" si="1"/>
        <v/>
      </c>
      <c r="J25" s="6" t="str">
        <f t="shared" si="27"/>
        <v/>
      </c>
      <c r="K25" s="6" t="str">
        <f t="shared" si="2"/>
        <v/>
      </c>
      <c r="L25" s="5"/>
      <c r="M25" s="29"/>
      <c r="N25" s="33" t="str">
        <f t="shared" si="28"/>
        <v/>
      </c>
      <c r="O25" s="4">
        <v>150</v>
      </c>
      <c r="P25" s="9">
        <v>250</v>
      </c>
      <c r="Q25" s="34">
        <f t="shared" si="24"/>
        <v>275</v>
      </c>
      <c r="R25" s="9"/>
      <c r="S25" s="34" t="str">
        <f t="shared" si="4"/>
        <v/>
      </c>
      <c r="T25" s="34" t="str">
        <f t="shared" si="5"/>
        <v/>
      </c>
      <c r="U25" s="34" t="str">
        <f t="shared" si="6"/>
        <v/>
      </c>
      <c r="V25" s="34">
        <f t="shared" si="7"/>
        <v>65</v>
      </c>
      <c r="W25" s="4"/>
      <c r="X25" s="4"/>
      <c r="Y25" s="10"/>
      <c r="Z25" s="10">
        <v>3290.82</v>
      </c>
      <c r="AA25" s="10">
        <v>349.71</v>
      </c>
      <c r="AB25" s="10">
        <v>75.56</v>
      </c>
      <c r="AC25" s="10"/>
      <c r="AD25" s="9"/>
      <c r="AE25" s="9"/>
      <c r="AF25" s="34" t="str">
        <f t="shared" si="8"/>
        <v/>
      </c>
      <c r="AG25" s="6">
        <f t="shared" si="17"/>
        <v>4456.09</v>
      </c>
      <c r="AH25" s="4"/>
      <c r="AI25" s="6">
        <f t="shared" si="18"/>
        <v>401.04809999999998</v>
      </c>
      <c r="AJ25" s="4"/>
      <c r="AK25" s="6">
        <f t="shared" si="19"/>
        <v>44.560900000000004</v>
      </c>
      <c r="AL25" s="6">
        <f t="shared" si="20"/>
        <v>44.560900000000004</v>
      </c>
      <c r="AM25" s="7">
        <v>5</v>
      </c>
      <c r="AN25" s="6" t="str">
        <f t="shared" si="9"/>
        <v/>
      </c>
      <c r="AO25" s="5">
        <v>13.26</v>
      </c>
      <c r="AP25" s="5">
        <v>53.2</v>
      </c>
      <c r="AQ25" s="5">
        <v>32.5</v>
      </c>
      <c r="AR25" s="5"/>
      <c r="AS25" s="5">
        <v>2</v>
      </c>
      <c r="AT25" s="6" t="str">
        <f t="shared" si="10"/>
        <v/>
      </c>
      <c r="AU25" s="6" t="str">
        <f t="shared" si="11"/>
        <v/>
      </c>
      <c r="AV25" s="6" t="str">
        <f t="shared" si="12"/>
        <v/>
      </c>
      <c r="AW25" s="6" t="str">
        <f t="shared" si="13"/>
        <v/>
      </c>
      <c r="AX25" s="6" t="str">
        <f t="shared" si="14"/>
        <v/>
      </c>
      <c r="AY25" s="6" t="str">
        <f t="shared" si="15"/>
        <v/>
      </c>
      <c r="AZ25" s="5"/>
      <c r="BA25" s="5"/>
      <c r="BB25" s="5"/>
      <c r="BC25" s="5"/>
      <c r="BD25" s="5"/>
      <c r="BE25" s="4"/>
      <c r="BF25" s="4"/>
      <c r="BG25" s="4"/>
      <c r="BH25" s="7">
        <v>0.01</v>
      </c>
      <c r="BI25" s="6">
        <f t="shared" si="21"/>
        <v>596.13990000000001</v>
      </c>
      <c r="BJ25" s="6">
        <f t="shared" si="22"/>
        <v>3859.9501</v>
      </c>
      <c r="BK25" s="11" t="s">
        <v>45</v>
      </c>
      <c r="BL25" s="11" t="s">
        <v>53</v>
      </c>
      <c r="BM25" s="38"/>
      <c r="BN25" s="38"/>
      <c r="BQ25" s="2"/>
      <c r="BS25">
        <f t="shared" si="23"/>
        <v>675</v>
      </c>
    </row>
    <row r="26" spans="2:73" ht="24" customHeight="1">
      <c r="B26" t="str">
        <f t="shared" si="16"/>
        <v>فاطمه فتح الله عبداللطيف</v>
      </c>
      <c r="C26" s="1"/>
      <c r="D26" s="3">
        <v>17</v>
      </c>
      <c r="E26" s="9"/>
      <c r="F26" s="10"/>
      <c r="G26" s="5"/>
      <c r="H26" s="6" t="str">
        <f t="shared" si="26"/>
        <v/>
      </c>
      <c r="I26" s="6" t="str">
        <f t="shared" si="1"/>
        <v/>
      </c>
      <c r="J26" s="6" t="str">
        <f t="shared" si="27"/>
        <v/>
      </c>
      <c r="K26" s="6" t="str">
        <f t="shared" si="2"/>
        <v/>
      </c>
      <c r="L26" s="5"/>
      <c r="M26" s="29"/>
      <c r="N26" s="33" t="str">
        <f t="shared" si="28"/>
        <v/>
      </c>
      <c r="O26" s="4">
        <v>150</v>
      </c>
      <c r="P26" s="9">
        <v>250</v>
      </c>
      <c r="Q26" s="34">
        <f t="shared" si="24"/>
        <v>275</v>
      </c>
      <c r="R26" s="9"/>
      <c r="S26" s="34" t="str">
        <f t="shared" si="4"/>
        <v/>
      </c>
      <c r="T26" s="34" t="str">
        <f t="shared" si="5"/>
        <v/>
      </c>
      <c r="U26" s="34" t="str">
        <f t="shared" si="6"/>
        <v/>
      </c>
      <c r="V26" s="34">
        <f t="shared" si="7"/>
        <v>65</v>
      </c>
      <c r="W26" s="4"/>
      <c r="X26" s="4"/>
      <c r="Y26" s="10"/>
      <c r="Z26" s="10">
        <v>2382.14</v>
      </c>
      <c r="AA26" s="10">
        <v>234.72</v>
      </c>
      <c r="AB26" s="10">
        <v>48.89</v>
      </c>
      <c r="AC26" s="10"/>
      <c r="AD26" s="9"/>
      <c r="AE26" s="9"/>
      <c r="AF26" s="34" t="str">
        <f t="shared" si="8"/>
        <v/>
      </c>
      <c r="AG26" s="6">
        <f t="shared" si="17"/>
        <v>3405.7499999999995</v>
      </c>
      <c r="AH26" s="4"/>
      <c r="AI26" s="6">
        <f t="shared" si="18"/>
        <v>306.51749999999993</v>
      </c>
      <c r="AJ26" s="4"/>
      <c r="AK26" s="6">
        <f t="shared" si="19"/>
        <v>34.057499999999997</v>
      </c>
      <c r="AL26" s="6">
        <f t="shared" si="20"/>
        <v>34.057499999999997</v>
      </c>
      <c r="AM26" s="7">
        <v>5</v>
      </c>
      <c r="AN26" s="6" t="str">
        <f t="shared" si="9"/>
        <v/>
      </c>
      <c r="AO26" s="5"/>
      <c r="AP26" s="5">
        <v>32.5</v>
      </c>
      <c r="AQ26" s="5">
        <v>24.8</v>
      </c>
      <c r="AR26" s="5"/>
      <c r="AS26" s="5">
        <v>1.5</v>
      </c>
      <c r="AT26" s="6" t="str">
        <f t="shared" si="10"/>
        <v/>
      </c>
      <c r="AU26" s="6" t="str">
        <f t="shared" si="11"/>
        <v/>
      </c>
      <c r="AV26" s="6" t="str">
        <f t="shared" si="12"/>
        <v/>
      </c>
      <c r="AW26" s="6" t="str">
        <f t="shared" si="13"/>
        <v/>
      </c>
      <c r="AX26" s="6" t="str">
        <f t="shared" si="14"/>
        <v/>
      </c>
      <c r="AY26" s="6" t="str">
        <f t="shared" si="15"/>
        <v/>
      </c>
      <c r="AZ26" s="5"/>
      <c r="BA26" s="5"/>
      <c r="BB26" s="5"/>
      <c r="BC26" s="5"/>
      <c r="BD26" s="5"/>
      <c r="BE26" s="4"/>
      <c r="BF26" s="4"/>
      <c r="BG26" s="4"/>
      <c r="BH26" s="7">
        <v>0.02</v>
      </c>
      <c r="BI26" s="6">
        <f t="shared" si="21"/>
        <v>438.45249999999993</v>
      </c>
      <c r="BJ26" s="6">
        <f t="shared" si="22"/>
        <v>2967.2974999999997</v>
      </c>
      <c r="BK26" s="11" t="s">
        <v>46</v>
      </c>
      <c r="BL26" s="11" t="s">
        <v>53</v>
      </c>
      <c r="BM26" s="38"/>
      <c r="BN26" s="38"/>
      <c r="BQ26" s="2"/>
      <c r="BS26">
        <f t="shared" si="23"/>
        <v>675</v>
      </c>
    </row>
    <row r="27" spans="2:73" ht="24" customHeight="1">
      <c r="B27" t="str">
        <f t="shared" si="16"/>
        <v>ممدوح اعبدالواحد عبدالعزيز</v>
      </c>
      <c r="C27" s="1"/>
      <c r="D27" s="3">
        <v>18</v>
      </c>
      <c r="E27" s="9"/>
      <c r="F27" s="10"/>
      <c r="G27" s="5"/>
      <c r="H27" s="6" t="str">
        <f t="shared" si="26"/>
        <v/>
      </c>
      <c r="I27" s="6" t="str">
        <f t="shared" si="1"/>
        <v/>
      </c>
      <c r="J27" s="6" t="str">
        <f t="shared" si="27"/>
        <v/>
      </c>
      <c r="K27" s="6" t="str">
        <f t="shared" si="2"/>
        <v/>
      </c>
      <c r="L27" s="5"/>
      <c r="M27" s="29"/>
      <c r="N27" s="33" t="str">
        <f t="shared" si="28"/>
        <v/>
      </c>
      <c r="O27" s="4">
        <v>150</v>
      </c>
      <c r="P27" s="9">
        <v>200</v>
      </c>
      <c r="Q27" s="34">
        <f t="shared" si="24"/>
        <v>225</v>
      </c>
      <c r="R27" s="9"/>
      <c r="S27" s="34" t="str">
        <f t="shared" si="4"/>
        <v/>
      </c>
      <c r="T27" s="34" t="str">
        <f t="shared" si="5"/>
        <v/>
      </c>
      <c r="U27" s="34" t="str">
        <f t="shared" si="6"/>
        <v/>
      </c>
      <c r="V27" s="34">
        <f t="shared" si="7"/>
        <v>55</v>
      </c>
      <c r="W27" s="4"/>
      <c r="X27" s="4"/>
      <c r="Y27" s="10"/>
      <c r="Z27" s="10">
        <v>2473.98</v>
      </c>
      <c r="AA27" s="10">
        <v>247.52</v>
      </c>
      <c r="AB27" s="10">
        <v>53.33</v>
      </c>
      <c r="AC27" s="10"/>
      <c r="AD27" s="9"/>
      <c r="AE27" s="9"/>
      <c r="AF27" s="34" t="str">
        <f t="shared" si="8"/>
        <v/>
      </c>
      <c r="AG27" s="6">
        <f t="shared" si="17"/>
        <v>3404.83</v>
      </c>
      <c r="AH27" s="4"/>
      <c r="AI27" s="6">
        <f t="shared" si="18"/>
        <v>306.43469999999996</v>
      </c>
      <c r="AJ27" s="4"/>
      <c r="AK27" s="6">
        <f t="shared" si="19"/>
        <v>34.048299999999998</v>
      </c>
      <c r="AL27" s="6">
        <f t="shared" si="20"/>
        <v>34.048299999999998</v>
      </c>
      <c r="AM27" s="7">
        <v>5</v>
      </c>
      <c r="AN27" s="6" t="str">
        <f t="shared" si="9"/>
        <v/>
      </c>
      <c r="AO27" s="5"/>
      <c r="AP27" s="5">
        <v>32.5</v>
      </c>
      <c r="AQ27" s="5">
        <v>24.8</v>
      </c>
      <c r="AR27" s="5"/>
      <c r="AS27" s="5">
        <v>1.5</v>
      </c>
      <c r="AT27" s="6" t="str">
        <f t="shared" si="10"/>
        <v/>
      </c>
      <c r="AU27" s="6" t="str">
        <f t="shared" si="11"/>
        <v/>
      </c>
      <c r="AV27" s="6" t="str">
        <f t="shared" si="12"/>
        <v/>
      </c>
      <c r="AW27" s="6" t="str">
        <f t="shared" si="13"/>
        <v/>
      </c>
      <c r="AX27" s="6" t="str">
        <f t="shared" si="14"/>
        <v/>
      </c>
      <c r="AY27" s="6" t="str">
        <f t="shared" si="15"/>
        <v/>
      </c>
      <c r="AZ27" s="5"/>
      <c r="BA27" s="5"/>
      <c r="BB27" s="5"/>
      <c r="BC27" s="5"/>
      <c r="BD27" s="5"/>
      <c r="BE27" s="4"/>
      <c r="BF27" s="4"/>
      <c r="BG27" s="4"/>
      <c r="BH27" s="7"/>
      <c r="BI27" s="6">
        <f t="shared" si="21"/>
        <v>438.33129999999994</v>
      </c>
      <c r="BJ27" s="6">
        <f t="shared" si="22"/>
        <v>2966.4987000000001</v>
      </c>
      <c r="BK27" s="11" t="s">
        <v>63</v>
      </c>
      <c r="BL27" s="11" t="s">
        <v>54</v>
      </c>
      <c r="BM27" s="38"/>
      <c r="BN27" s="38"/>
      <c r="BQ27" s="2"/>
      <c r="BS27">
        <f t="shared" si="23"/>
        <v>575</v>
      </c>
    </row>
    <row r="28" spans="2:73" ht="24" customHeight="1">
      <c r="B28" t="str">
        <f t="shared" si="16"/>
        <v>احمد ابراهيم الغريب</v>
      </c>
      <c r="C28" s="1"/>
      <c r="D28" s="3">
        <v>19</v>
      </c>
      <c r="E28" s="9"/>
      <c r="F28" s="10"/>
      <c r="G28" s="5"/>
      <c r="H28" s="6" t="str">
        <f t="shared" si="26"/>
        <v/>
      </c>
      <c r="I28" s="6" t="str">
        <f t="shared" si="1"/>
        <v/>
      </c>
      <c r="J28" s="6" t="str">
        <f t="shared" si="27"/>
        <v/>
      </c>
      <c r="K28" s="6" t="str">
        <f t="shared" si="2"/>
        <v/>
      </c>
      <c r="L28" s="5"/>
      <c r="M28" s="29"/>
      <c r="N28" s="33" t="str">
        <f t="shared" si="28"/>
        <v/>
      </c>
      <c r="O28" s="4">
        <v>150</v>
      </c>
      <c r="P28" s="9">
        <v>200</v>
      </c>
      <c r="Q28" s="34">
        <f t="shared" si="24"/>
        <v>225</v>
      </c>
      <c r="R28" s="9">
        <v>479</v>
      </c>
      <c r="S28" s="34" t="str">
        <f t="shared" si="4"/>
        <v/>
      </c>
      <c r="T28" s="34" t="str">
        <f t="shared" si="5"/>
        <v/>
      </c>
      <c r="U28" s="34" t="str">
        <f t="shared" si="6"/>
        <v/>
      </c>
      <c r="V28" s="34">
        <f t="shared" si="7"/>
        <v>55</v>
      </c>
      <c r="W28" s="4"/>
      <c r="X28" s="4"/>
      <c r="Y28" s="10"/>
      <c r="Z28" s="10">
        <v>1675.64</v>
      </c>
      <c r="AA28" s="10">
        <v>140.4</v>
      </c>
      <c r="AB28" s="10">
        <v>27.78</v>
      </c>
      <c r="AC28" s="10"/>
      <c r="AD28" s="9"/>
      <c r="AE28" s="9"/>
      <c r="AF28" s="34" t="str">
        <f t="shared" si="8"/>
        <v/>
      </c>
      <c r="AG28" s="6">
        <f t="shared" si="17"/>
        <v>2952.8200000000006</v>
      </c>
      <c r="AH28" s="4"/>
      <c r="AI28" s="6">
        <f t="shared" si="18"/>
        <v>265.75380000000007</v>
      </c>
      <c r="AJ28" s="4"/>
      <c r="AK28" s="6">
        <f t="shared" si="19"/>
        <v>29.528200000000005</v>
      </c>
      <c r="AL28" s="6">
        <f t="shared" si="20"/>
        <v>29.528200000000005</v>
      </c>
      <c r="AM28" s="7">
        <v>5</v>
      </c>
      <c r="AN28" s="6" t="str">
        <f t="shared" si="9"/>
        <v/>
      </c>
      <c r="AO28" s="5"/>
      <c r="AP28" s="5">
        <v>19.5</v>
      </c>
      <c r="AQ28" s="5">
        <v>21.55</v>
      </c>
      <c r="AR28" s="5"/>
      <c r="AS28" s="5">
        <v>1.5</v>
      </c>
      <c r="AT28" s="6" t="str">
        <f t="shared" si="10"/>
        <v/>
      </c>
      <c r="AU28" s="6" t="str">
        <f t="shared" si="11"/>
        <v/>
      </c>
      <c r="AV28" s="6" t="str">
        <f t="shared" si="12"/>
        <v/>
      </c>
      <c r="AW28" s="6" t="str">
        <f t="shared" si="13"/>
        <v/>
      </c>
      <c r="AX28" s="6" t="str">
        <f t="shared" si="14"/>
        <v/>
      </c>
      <c r="AY28" s="6" t="str">
        <f t="shared" si="15"/>
        <v/>
      </c>
      <c r="AZ28" s="5"/>
      <c r="BA28" s="5"/>
      <c r="BB28" s="5"/>
      <c r="BC28" s="5"/>
      <c r="BD28" s="5"/>
      <c r="BE28" s="4"/>
      <c r="BF28" s="4"/>
      <c r="BG28" s="4"/>
      <c r="BH28" s="7">
        <v>0.01</v>
      </c>
      <c r="BI28" s="6">
        <f t="shared" si="21"/>
        <v>372.37020000000012</v>
      </c>
      <c r="BJ28" s="6">
        <f t="shared" si="22"/>
        <v>2580.4498000000003</v>
      </c>
      <c r="BK28" s="11" t="s">
        <v>47</v>
      </c>
      <c r="BL28" s="11" t="s">
        <v>54</v>
      </c>
      <c r="BM28" s="38"/>
      <c r="BN28" s="38"/>
      <c r="BQ28" s="2"/>
      <c r="BS28">
        <f t="shared" si="23"/>
        <v>575</v>
      </c>
    </row>
    <row r="29" spans="2:73" ht="24" customHeight="1">
      <c r="B29" t="str">
        <f t="shared" si="16"/>
        <v>اسماعيل عبدالمحسن سراج الدين</v>
      </c>
      <c r="C29" s="1"/>
      <c r="D29" s="3">
        <v>20</v>
      </c>
      <c r="E29" s="9"/>
      <c r="F29" s="10"/>
      <c r="G29" s="5"/>
      <c r="H29" s="6" t="str">
        <f t="shared" si="26"/>
        <v/>
      </c>
      <c r="I29" s="6" t="str">
        <f t="shared" si="1"/>
        <v/>
      </c>
      <c r="J29" s="6" t="str">
        <f t="shared" si="27"/>
        <v/>
      </c>
      <c r="K29" s="6" t="str">
        <f t="shared" si="2"/>
        <v/>
      </c>
      <c r="L29" s="5"/>
      <c r="M29" s="29"/>
      <c r="N29" s="33" t="str">
        <f t="shared" si="28"/>
        <v/>
      </c>
      <c r="O29" s="4">
        <v>150</v>
      </c>
      <c r="P29" s="9">
        <v>200</v>
      </c>
      <c r="Q29" s="34">
        <f t="shared" si="24"/>
        <v>225</v>
      </c>
      <c r="R29" s="9">
        <v>479</v>
      </c>
      <c r="S29" s="34" t="str">
        <f t="shared" si="4"/>
        <v/>
      </c>
      <c r="T29" s="34" t="str">
        <f t="shared" si="5"/>
        <v/>
      </c>
      <c r="U29" s="34" t="str">
        <f t="shared" si="6"/>
        <v/>
      </c>
      <c r="V29" s="34">
        <f t="shared" si="7"/>
        <v>55</v>
      </c>
      <c r="W29" s="4"/>
      <c r="X29" s="4"/>
      <c r="Y29" s="10"/>
      <c r="Z29" s="10">
        <v>1675.64</v>
      </c>
      <c r="AA29" s="10">
        <v>140.4</v>
      </c>
      <c r="AB29" s="10">
        <v>27.78</v>
      </c>
      <c r="AC29" s="10"/>
      <c r="AD29" s="9"/>
      <c r="AE29" s="9"/>
      <c r="AF29" s="34" t="str">
        <f t="shared" si="8"/>
        <v/>
      </c>
      <c r="AG29" s="6">
        <f t="shared" si="17"/>
        <v>2952.8200000000006</v>
      </c>
      <c r="AH29" s="4"/>
      <c r="AI29" s="6">
        <f t="shared" si="18"/>
        <v>265.75380000000007</v>
      </c>
      <c r="AJ29" s="4"/>
      <c r="AK29" s="6">
        <f t="shared" si="19"/>
        <v>29.528200000000005</v>
      </c>
      <c r="AL29" s="6">
        <f t="shared" si="20"/>
        <v>29.528200000000005</v>
      </c>
      <c r="AM29" s="7">
        <v>5</v>
      </c>
      <c r="AN29" s="6" t="str">
        <f t="shared" si="9"/>
        <v/>
      </c>
      <c r="AO29" s="5"/>
      <c r="AP29" s="5">
        <v>17.2</v>
      </c>
      <c r="AQ29" s="5">
        <v>21.55</v>
      </c>
      <c r="AR29" s="5">
        <v>70</v>
      </c>
      <c r="AS29" s="5">
        <v>1.5</v>
      </c>
      <c r="AT29" s="6" t="str">
        <f t="shared" si="10"/>
        <v/>
      </c>
      <c r="AU29" s="6" t="str">
        <f t="shared" si="11"/>
        <v/>
      </c>
      <c r="AV29" s="6" t="str">
        <f t="shared" si="12"/>
        <v/>
      </c>
      <c r="AW29" s="6" t="str">
        <f t="shared" si="13"/>
        <v/>
      </c>
      <c r="AX29" s="6" t="str">
        <f t="shared" si="14"/>
        <v/>
      </c>
      <c r="AY29" s="6" t="str">
        <f t="shared" si="15"/>
        <v/>
      </c>
      <c r="AZ29" s="5"/>
      <c r="BA29" s="5"/>
      <c r="BB29" s="5"/>
      <c r="BC29" s="5"/>
      <c r="BD29" s="5"/>
      <c r="BE29" s="4"/>
      <c r="BF29" s="4"/>
      <c r="BG29" s="4"/>
      <c r="BH29" s="7">
        <v>0.01</v>
      </c>
      <c r="BI29" s="6">
        <f t="shared" si="21"/>
        <v>440.07020000000011</v>
      </c>
      <c r="BJ29" s="6">
        <f t="shared" si="22"/>
        <v>2512.7498000000005</v>
      </c>
      <c r="BK29" s="11" t="s">
        <v>48</v>
      </c>
      <c r="BL29" s="11" t="s">
        <v>54</v>
      </c>
      <c r="BM29" s="38"/>
      <c r="BN29" s="38"/>
      <c r="BQ29" s="2"/>
      <c r="BS29">
        <f t="shared" si="23"/>
        <v>575</v>
      </c>
    </row>
    <row r="30" spans="2:73" ht="24" customHeight="1">
      <c r="B30" t="str">
        <f t="shared" si="16"/>
        <v>السعيد احمد السعيد</v>
      </c>
      <c r="C30" s="1"/>
      <c r="D30" s="3">
        <v>21</v>
      </c>
      <c r="E30" s="9"/>
      <c r="F30" s="10"/>
      <c r="G30" s="5"/>
      <c r="H30" s="6" t="str">
        <f t="shared" si="26"/>
        <v/>
      </c>
      <c r="I30" s="6" t="str">
        <f t="shared" si="1"/>
        <v/>
      </c>
      <c r="J30" s="6" t="str">
        <f t="shared" si="27"/>
        <v/>
      </c>
      <c r="K30" s="6" t="str">
        <f t="shared" si="2"/>
        <v/>
      </c>
      <c r="L30" s="5"/>
      <c r="M30" s="29"/>
      <c r="N30" s="33" t="str">
        <f t="shared" si="28"/>
        <v/>
      </c>
      <c r="O30" s="4">
        <v>150</v>
      </c>
      <c r="P30" s="9">
        <v>150</v>
      </c>
      <c r="Q30" s="34">
        <f>IF(BL30="كبير ا",375,IF(BL30="كبير",350,IF(BL30="اولى",325,IF(BL30="ثانيه",275,IF(BL30="ثالثه",225,IF(BL30="خامسه",175,))))))</f>
        <v>175</v>
      </c>
      <c r="R30" s="9">
        <v>180</v>
      </c>
      <c r="S30" s="34" t="str">
        <f t="shared" si="4"/>
        <v/>
      </c>
      <c r="T30" s="34" t="str">
        <f t="shared" si="5"/>
        <v/>
      </c>
      <c r="U30" s="34" t="str">
        <f t="shared" si="6"/>
        <v/>
      </c>
      <c r="V30" s="34">
        <f t="shared" si="7"/>
        <v>50</v>
      </c>
      <c r="W30" s="4"/>
      <c r="X30" s="4"/>
      <c r="Y30" s="10"/>
      <c r="Z30" s="10">
        <v>1595.64</v>
      </c>
      <c r="AA30" s="10">
        <v>132.57</v>
      </c>
      <c r="AB30" s="10">
        <v>26.67</v>
      </c>
      <c r="AC30" s="10"/>
      <c r="AD30" s="9"/>
      <c r="AE30" s="9"/>
      <c r="AF30" s="34" t="str">
        <f t="shared" si="8"/>
        <v/>
      </c>
      <c r="AG30" s="6">
        <f t="shared" si="17"/>
        <v>2459.8800000000006</v>
      </c>
      <c r="AH30" s="4"/>
      <c r="AI30" s="6">
        <f t="shared" si="18"/>
        <v>221.38920000000005</v>
      </c>
      <c r="AJ30" s="4"/>
      <c r="AK30" s="6">
        <f t="shared" si="19"/>
        <v>24.598800000000008</v>
      </c>
      <c r="AL30" s="6">
        <f t="shared" si="20"/>
        <v>24.598800000000008</v>
      </c>
      <c r="AM30" s="7">
        <v>5</v>
      </c>
      <c r="AN30" s="6" t="str">
        <f t="shared" si="9"/>
        <v/>
      </c>
      <c r="AO30" s="5"/>
      <c r="AP30" s="5">
        <v>4</v>
      </c>
      <c r="AQ30" s="5">
        <v>17.899999999999999</v>
      </c>
      <c r="AR30" s="5"/>
      <c r="AS30" s="5">
        <v>1</v>
      </c>
      <c r="AT30" s="6" t="str">
        <f t="shared" si="10"/>
        <v/>
      </c>
      <c r="AU30" s="6" t="str">
        <f t="shared" si="11"/>
        <v/>
      </c>
      <c r="AV30" s="6" t="str">
        <f t="shared" si="12"/>
        <v/>
      </c>
      <c r="AW30" s="6" t="str">
        <f t="shared" si="13"/>
        <v/>
      </c>
      <c r="AX30" s="6" t="str">
        <f t="shared" si="14"/>
        <v/>
      </c>
      <c r="AY30" s="6" t="str">
        <f t="shared" si="15"/>
        <v/>
      </c>
      <c r="AZ30" s="5"/>
      <c r="BA30" s="5"/>
      <c r="BB30" s="5"/>
      <c r="BC30" s="5"/>
      <c r="BD30" s="5"/>
      <c r="BE30" s="4"/>
      <c r="BF30" s="4"/>
      <c r="BG30" s="4"/>
      <c r="BH30" s="7">
        <v>0.04</v>
      </c>
      <c r="BI30" s="6">
        <f t="shared" si="21"/>
        <v>298.52680000000004</v>
      </c>
      <c r="BJ30" s="6">
        <f t="shared" si="22"/>
        <v>2161.3532000000005</v>
      </c>
      <c r="BK30" s="11" t="s">
        <v>49</v>
      </c>
      <c r="BL30" s="11" t="s">
        <v>55</v>
      </c>
      <c r="BM30" s="38"/>
      <c r="BN30" s="38"/>
      <c r="BQ30" s="2"/>
      <c r="BS30">
        <f t="shared" si="23"/>
        <v>475</v>
      </c>
    </row>
    <row r="31" spans="2:73" ht="24" customHeight="1">
      <c r="C31" s="1"/>
      <c r="D31" s="3"/>
      <c r="E31" s="9"/>
      <c r="F31" s="10"/>
      <c r="G31" s="5"/>
      <c r="H31" s="6"/>
      <c r="I31" s="6"/>
      <c r="J31" s="6"/>
      <c r="K31" s="6"/>
      <c r="L31" s="5"/>
      <c r="M31" s="29"/>
      <c r="N31" s="33"/>
      <c r="O31" s="4"/>
      <c r="P31" s="9"/>
      <c r="Q31" s="34"/>
      <c r="R31" s="9"/>
      <c r="S31" s="34"/>
      <c r="T31" s="34"/>
      <c r="U31" s="34"/>
      <c r="V31" s="34"/>
      <c r="W31" s="4"/>
      <c r="X31" s="4"/>
      <c r="Y31" s="10"/>
      <c r="Z31" s="10"/>
      <c r="AA31" s="10"/>
      <c r="AB31" s="10"/>
      <c r="AC31" s="10"/>
      <c r="AD31" s="9"/>
      <c r="AE31" s="9"/>
      <c r="AF31" s="34"/>
      <c r="AG31" s="6"/>
      <c r="AH31" s="4"/>
      <c r="AI31" s="6"/>
      <c r="AJ31" s="4"/>
      <c r="AK31" s="6"/>
      <c r="AL31" s="6"/>
      <c r="AM31" s="7"/>
      <c r="AN31" s="6"/>
      <c r="AO31" s="5"/>
      <c r="AP31" s="5"/>
      <c r="AQ31" s="5"/>
      <c r="AR31" s="5"/>
      <c r="AS31" s="5"/>
      <c r="AT31" s="6"/>
      <c r="AU31" s="6"/>
      <c r="AV31" s="6"/>
      <c r="AW31" s="6"/>
      <c r="AX31" s="6"/>
      <c r="AY31" s="6"/>
      <c r="AZ31" s="5"/>
      <c r="BA31" s="5"/>
      <c r="BB31" s="5"/>
      <c r="BC31" s="5"/>
      <c r="BD31" s="5"/>
      <c r="BE31" s="4"/>
      <c r="BF31" s="4"/>
      <c r="BG31" s="4"/>
      <c r="BH31" s="7"/>
      <c r="BI31" s="6"/>
      <c r="BJ31" s="6"/>
      <c r="BK31" s="11"/>
      <c r="BL31" s="11"/>
      <c r="BM31" s="38"/>
      <c r="BN31" s="38"/>
      <c r="BQ31" s="2"/>
      <c r="BS31">
        <f t="shared" si="23"/>
        <v>0</v>
      </c>
    </row>
    <row r="32" spans="2:73" ht="24" customHeight="1">
      <c r="C32" s="1"/>
      <c r="D32" s="3"/>
      <c r="E32" s="9"/>
      <c r="F32" s="10"/>
      <c r="G32" s="5"/>
      <c r="H32" s="6"/>
      <c r="I32" s="6"/>
      <c r="J32" s="6"/>
      <c r="K32" s="6"/>
      <c r="L32" s="5"/>
      <c r="M32" s="29"/>
      <c r="N32" s="33"/>
      <c r="O32" s="4"/>
      <c r="P32" s="9"/>
      <c r="Q32" s="34"/>
      <c r="R32" s="9"/>
      <c r="S32" s="34"/>
      <c r="T32" s="34"/>
      <c r="U32" s="34"/>
      <c r="V32" s="34"/>
      <c r="W32" s="4"/>
      <c r="X32" s="4"/>
      <c r="Y32" s="10"/>
      <c r="Z32" s="10"/>
      <c r="AA32" s="10"/>
      <c r="AB32" s="10"/>
      <c r="AC32" s="10"/>
      <c r="AD32" s="9"/>
      <c r="AE32" s="9"/>
      <c r="AF32" s="34"/>
      <c r="AG32" s="6"/>
      <c r="AH32" s="4"/>
      <c r="AI32" s="6"/>
      <c r="AJ32" s="4"/>
      <c r="AK32" s="6"/>
      <c r="AL32" s="6"/>
      <c r="AM32" s="7"/>
      <c r="AN32" s="6"/>
      <c r="AO32" s="5"/>
      <c r="AP32" s="5"/>
      <c r="AQ32" s="5"/>
      <c r="AR32" s="5"/>
      <c r="AS32" s="5"/>
      <c r="AT32" s="6"/>
      <c r="AU32" s="6"/>
      <c r="AV32" s="6"/>
      <c r="AW32" s="6"/>
      <c r="AX32" s="6"/>
      <c r="AY32" s="6"/>
      <c r="AZ32" s="5"/>
      <c r="BA32" s="5"/>
      <c r="BB32" s="5"/>
      <c r="BC32" s="5"/>
      <c r="BD32" s="5"/>
      <c r="BE32" s="4"/>
      <c r="BF32" s="4"/>
      <c r="BG32" s="4"/>
      <c r="BH32" s="7"/>
      <c r="BI32" s="6"/>
      <c r="BJ32" s="6"/>
      <c r="BK32" s="11"/>
      <c r="BL32" s="11"/>
      <c r="BM32" s="38"/>
      <c r="BN32" s="38"/>
      <c r="BQ32" s="2"/>
      <c r="BS32">
        <f t="shared" si="23"/>
        <v>0</v>
      </c>
    </row>
    <row r="33" spans="2:71" ht="24" customHeight="1">
      <c r="B33">
        <f t="shared" si="16"/>
        <v>0</v>
      </c>
      <c r="C33" s="1"/>
      <c r="D33" s="3"/>
      <c r="E33" s="9"/>
      <c r="F33" s="10"/>
      <c r="G33" s="5"/>
      <c r="H33" s="6" t="str">
        <f>IF(BO33=$H$9,C33*10%,"")</f>
        <v/>
      </c>
      <c r="I33" s="6" t="str">
        <f>IF(BO33=$H$9,C33*25%,"")</f>
        <v/>
      </c>
      <c r="J33" s="6" t="str">
        <f>IF(BO33=$H$9,ROUND(IF(BL33="كبير",C33*25%,IF(BL33="كبير ا",C33*25%,IF(BL33="اولى",C33*25%,IF(BL33="ثانيه",C33*50%,IF(BL33="ثالثه",C33*75%,IF(BL33="م م",C33*125%,)))))),2),"")</f>
        <v/>
      </c>
      <c r="K33" s="6" t="str">
        <f>IF(BO33=$H$9,C33*50%,"")</f>
        <v/>
      </c>
      <c r="L33" s="5"/>
      <c r="M33" s="29"/>
      <c r="N33" s="33" t="str">
        <f>IF(BO33="مدرس",IF(BL33="كبير ا",300,IF(BL33="كبير",325,IF(BL33="اولى",350,IF(BL33="ثانيه",375,IF(BL33="ثالثه",400,""))))),"")</f>
        <v/>
      </c>
      <c r="O33" s="4"/>
      <c r="P33" s="9"/>
      <c r="Q33" s="34">
        <f>IF(BL33="كبير ا",375,IF(BL33="كبير",350,IF(BL33="اولى",325,IF(BL33="ثانيه",275,IF(BL33="ثالثه",225,IF(BL33="خامسه",175,))))))</f>
        <v>0</v>
      </c>
      <c r="R33" s="9"/>
      <c r="S33" s="34" t="str">
        <f>IF(BO33="مدرس",IF(BL33="كبير ا",180,IF(BL33="كبير",165,IF(BL33="اولى",125,IF(BL33="ثانيه",100,IF(BL33="ثالثه",75,))))),"")</f>
        <v/>
      </c>
      <c r="T33" s="34" t="str">
        <f>IF(BO33="مدرس",IF(BL33="كبير ا",140,IF(BL33="كبير",145,IF(BL33="اولى",150,IF(BL33="ثانيه",165,IF(BL33="ثالثه",185,))))),"")</f>
        <v/>
      </c>
      <c r="U33" s="34" t="str">
        <f>IF(BO33="مدرس",IF(BL33="كبير ا",155,IF(BL33="كبير",140,IF(BL33="اولى",120,IF(BL33="ثانيه",85,IF(BL33="ثالثه",65,))))),"")</f>
        <v/>
      </c>
      <c r="V33" s="34">
        <f>IF(BO33="مدرس","",IF(BL33="اولى",85,IF(BL33="ثانيه",65,IF(BL33="ثالثه",55,IF(BL33="رابعه",50,IF(BL33="خامسه",50,))))))</f>
        <v>0</v>
      </c>
      <c r="W33" s="4"/>
      <c r="X33" s="4"/>
      <c r="Y33" s="10"/>
      <c r="Z33" s="10"/>
      <c r="AA33" s="10"/>
      <c r="AB33" s="10"/>
      <c r="AC33" s="10"/>
      <c r="AD33" s="9"/>
      <c r="AE33" s="9"/>
      <c r="AF33" s="34" t="str">
        <f>IF(BO33="مدرس",AF30,"")</f>
        <v/>
      </c>
      <c r="AG33" s="6">
        <f t="shared" si="17"/>
        <v>0</v>
      </c>
      <c r="AH33" s="4"/>
      <c r="AI33" s="6">
        <f t="shared" si="18"/>
        <v>0</v>
      </c>
      <c r="AJ33" s="4"/>
      <c r="AK33" s="6">
        <f t="shared" si="19"/>
        <v>0</v>
      </c>
      <c r="AL33" s="6">
        <f t="shared" si="20"/>
        <v>0</v>
      </c>
      <c r="AM33" s="7"/>
      <c r="AN33" s="6" t="str">
        <f>IF(BO33="مدرس",IF(BL33="كبير ا",3.1,IF(BL33="كبير",2.8,IF(BL33="اولى",2.4,IF(BL33="ثانيه",1.7,IF(BL33="ثالثه",1.3,))))),"")</f>
        <v/>
      </c>
      <c r="AO33" s="5"/>
      <c r="AP33" s="5"/>
      <c r="AQ33" s="5"/>
      <c r="AR33" s="5"/>
      <c r="AS33" s="5"/>
      <c r="AT33" s="6" t="str">
        <f>IF($BO33="مدرس",AT30,"")</f>
        <v/>
      </c>
      <c r="AU33" s="6" t="str">
        <f>IF($BO33="مدرس",AU30,"")</f>
        <v/>
      </c>
      <c r="AV33" s="6" t="str">
        <f>IF($BO33="مدرس",AV30,"")</f>
        <v/>
      </c>
      <c r="AW33" s="6" t="str">
        <f>IF($BO33="مدرس",AW30,"")</f>
        <v/>
      </c>
      <c r="AX33" s="6" t="str">
        <f>IF($BO33="مدرس",AX30,"")</f>
        <v/>
      </c>
      <c r="AY33" s="6" t="str">
        <f>IF(BO33="مدرس",F33*7%,"")</f>
        <v/>
      </c>
      <c r="AZ33" s="5"/>
      <c r="BA33" s="5"/>
      <c r="BB33" s="5"/>
      <c r="BC33" s="5"/>
      <c r="BD33" s="5"/>
      <c r="BE33" s="4"/>
      <c r="BF33" s="4"/>
      <c r="BG33" s="4"/>
      <c r="BH33" s="7"/>
      <c r="BI33" s="6">
        <f t="shared" si="21"/>
        <v>0</v>
      </c>
      <c r="BJ33" s="6">
        <f t="shared" si="22"/>
        <v>0</v>
      </c>
      <c r="BK33" s="11"/>
      <c r="BL33" s="11"/>
      <c r="BM33" s="38"/>
      <c r="BN33" s="38"/>
      <c r="BQ33" s="2"/>
      <c r="BS33">
        <f t="shared" si="23"/>
        <v>0</v>
      </c>
    </row>
    <row r="34" spans="2:71" s="1" customFormat="1" ht="24" customHeight="1" thickBot="1">
      <c r="D34" s="12"/>
      <c r="E34" s="13"/>
      <c r="F34" s="13">
        <f t="shared" ref="F34:AK34" si="29">SUM(F10:F33)</f>
        <v>13798.490000000002</v>
      </c>
      <c r="G34" s="13">
        <f t="shared" si="29"/>
        <v>287.65000000000003</v>
      </c>
      <c r="H34" s="13">
        <f t="shared" si="29"/>
        <v>300.09800000000007</v>
      </c>
      <c r="I34" s="13">
        <f t="shared" si="29"/>
        <v>849.245</v>
      </c>
      <c r="J34" s="13">
        <f t="shared" si="29"/>
        <v>1546.25</v>
      </c>
      <c r="K34" s="13">
        <f t="shared" si="29"/>
        <v>1698.49</v>
      </c>
      <c r="L34" s="13">
        <f t="shared" si="29"/>
        <v>4145.55</v>
      </c>
      <c r="M34" s="13">
        <f t="shared" si="29"/>
        <v>40</v>
      </c>
      <c r="N34" s="14">
        <f t="shared" si="29"/>
        <v>3700</v>
      </c>
      <c r="O34" s="14">
        <f t="shared" si="29"/>
        <v>3150</v>
      </c>
      <c r="P34" s="14">
        <f t="shared" si="29"/>
        <v>4950</v>
      </c>
      <c r="Q34" s="14">
        <f t="shared" si="29"/>
        <v>5625</v>
      </c>
      <c r="R34" s="14">
        <f t="shared" si="29"/>
        <v>4042</v>
      </c>
      <c r="S34" s="14">
        <f t="shared" si="29"/>
        <v>1215</v>
      </c>
      <c r="T34" s="14">
        <f t="shared" si="29"/>
        <v>2005</v>
      </c>
      <c r="U34" s="14">
        <f t="shared" si="29"/>
        <v>1050</v>
      </c>
      <c r="V34" s="14">
        <f t="shared" si="29"/>
        <v>600</v>
      </c>
      <c r="W34" s="14">
        <f t="shared" si="29"/>
        <v>36</v>
      </c>
      <c r="X34" s="14">
        <f t="shared" si="29"/>
        <v>48</v>
      </c>
      <c r="Y34" s="13">
        <f t="shared" si="29"/>
        <v>177.07999999999998</v>
      </c>
      <c r="Z34" s="13">
        <f t="shared" si="29"/>
        <v>21820.82</v>
      </c>
      <c r="AA34" s="13">
        <f t="shared" si="29"/>
        <v>2207.9600000000005</v>
      </c>
      <c r="AB34" s="13">
        <f t="shared" si="29"/>
        <v>465.56</v>
      </c>
      <c r="AC34" s="13">
        <f t="shared" si="29"/>
        <v>227.83</v>
      </c>
      <c r="AD34" s="13">
        <f t="shared" si="29"/>
        <v>385</v>
      </c>
      <c r="AE34" s="13">
        <f t="shared" si="29"/>
        <v>200</v>
      </c>
      <c r="AF34" s="14">
        <f t="shared" si="29"/>
        <v>120</v>
      </c>
      <c r="AG34" s="13">
        <f t="shared" si="29"/>
        <v>74691.023000000016</v>
      </c>
      <c r="AH34" s="13">
        <f t="shared" si="29"/>
        <v>0</v>
      </c>
      <c r="AI34" s="13">
        <f t="shared" si="29"/>
        <v>6711.392069999999</v>
      </c>
      <c r="AJ34" s="13">
        <f t="shared" si="29"/>
        <v>0</v>
      </c>
      <c r="AK34" s="13">
        <f t="shared" si="29"/>
        <v>745.71022999999991</v>
      </c>
      <c r="AL34" s="13">
        <f t="shared" ref="AL34:BJ34" si="30">SUM(AL10:AL33)</f>
        <v>745.71022999999991</v>
      </c>
      <c r="AM34" s="35">
        <f t="shared" si="30"/>
        <v>130.4</v>
      </c>
      <c r="AN34" s="13">
        <f t="shared" si="30"/>
        <v>21</v>
      </c>
      <c r="AO34" s="13">
        <f t="shared" si="30"/>
        <v>13.26</v>
      </c>
      <c r="AP34" s="13">
        <f t="shared" si="30"/>
        <v>750</v>
      </c>
      <c r="AQ34" s="13">
        <f t="shared" si="30"/>
        <v>495.59999999999997</v>
      </c>
      <c r="AR34" s="13">
        <f t="shared" si="30"/>
        <v>70</v>
      </c>
      <c r="AS34" s="13">
        <f t="shared" si="30"/>
        <v>32.5</v>
      </c>
      <c r="AT34" s="13">
        <f t="shared" si="30"/>
        <v>54</v>
      </c>
      <c r="AU34" s="13">
        <f t="shared" si="30"/>
        <v>24</v>
      </c>
      <c r="AV34" s="13">
        <f t="shared" si="30"/>
        <v>3</v>
      </c>
      <c r="AW34" s="13">
        <f t="shared" si="30"/>
        <v>36</v>
      </c>
      <c r="AX34" s="13">
        <f t="shared" si="30"/>
        <v>6</v>
      </c>
      <c r="AY34" s="13">
        <f t="shared" si="30"/>
        <v>965.89430000000027</v>
      </c>
      <c r="AZ34" s="13">
        <f t="shared" si="30"/>
        <v>9</v>
      </c>
      <c r="BA34" s="13">
        <f t="shared" si="30"/>
        <v>0</v>
      </c>
      <c r="BB34" s="13">
        <f t="shared" si="30"/>
        <v>2</v>
      </c>
      <c r="BC34" s="13">
        <f t="shared" si="30"/>
        <v>3</v>
      </c>
      <c r="BD34" s="13">
        <f t="shared" si="30"/>
        <v>41.45</v>
      </c>
      <c r="BE34" s="13">
        <f t="shared" si="30"/>
        <v>0</v>
      </c>
      <c r="BF34" s="13">
        <f t="shared" si="30"/>
        <v>265.43</v>
      </c>
      <c r="BG34" s="13"/>
      <c r="BH34" s="13">
        <f t="shared" si="30"/>
        <v>0.33</v>
      </c>
      <c r="BI34" s="13">
        <f t="shared" si="30"/>
        <v>11125.676829999999</v>
      </c>
      <c r="BJ34" s="13">
        <f t="shared" si="30"/>
        <v>63565.346169999997</v>
      </c>
      <c r="BK34" s="15"/>
      <c r="BL34" s="15"/>
      <c r="BM34" s="152"/>
      <c r="BN34" s="152"/>
      <c r="BQ34" s="2"/>
    </row>
    <row r="35" spans="2:71" ht="15.75" thickTop="1"/>
  </sheetData>
  <mergeCells count="10">
    <mergeCell ref="D7:D9"/>
    <mergeCell ref="E7:E9"/>
    <mergeCell ref="F7:F8"/>
    <mergeCell ref="G7:AF7"/>
    <mergeCell ref="AH7:AQ7"/>
    <mergeCell ref="AR7:BH7"/>
    <mergeCell ref="BI7:BI8"/>
    <mergeCell ref="BJ7:BJ8"/>
    <mergeCell ref="BK7:BK9"/>
    <mergeCell ref="BL7:BL9"/>
  </mergeCells>
  <dataValidations count="1">
    <dataValidation type="list" allowBlank="1" showInputMessage="1" showErrorMessage="1" sqref="BL10:BN33">
      <formula1>$BT$10:$BT$17</formula1>
    </dataValidation>
  </dataValidations>
  <printOptions horizontalCentered="1"/>
  <pageMargins left="0" right="0" top="0.25" bottom="0" header="0.3" footer="0.3"/>
  <pageSetup paperSize="9" scale="70" orientation="landscape" r:id="rId1"/>
  <colBreaks count="2" manualBreakCount="2">
    <brk id="25" min="5" max="31" man="1"/>
    <brk id="44" min="5" max="3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T39"/>
  <sheetViews>
    <sheetView showZeros="0" rightToLeft="1" view="pageBreakPreview" topLeftCell="A5" zoomScale="60" zoomScaleNormal="100" workbookViewId="0">
      <pane xSplit="3" ySplit="5" topLeftCell="AR25" activePane="bottomRight" state="frozen"/>
      <selection activeCell="A5" sqref="A5"/>
      <selection pane="topRight" activeCell="C5" sqref="C5"/>
      <selection pane="bottomLeft" activeCell="A9" sqref="A9"/>
      <selection pane="bottomRight" activeCell="BQ10" sqref="BQ10:BQ25"/>
    </sheetView>
  </sheetViews>
  <sheetFormatPr defaultRowHeight="15"/>
  <cols>
    <col min="2" max="2" width="19" bestFit="1" customWidth="1"/>
    <col min="3" max="3" width="10.5703125" customWidth="1"/>
    <col min="4" max="4" width="5.85546875" customWidth="1"/>
    <col min="5" max="5" width="9.42578125" customWidth="1"/>
    <col min="6" max="6" width="12" bestFit="1" customWidth="1"/>
    <col min="7" max="9" width="10.85546875" bestFit="1" customWidth="1"/>
    <col min="10" max="10" width="11.140625" bestFit="1" customWidth="1"/>
    <col min="11" max="12" width="12.28515625" bestFit="1" customWidth="1"/>
    <col min="13" max="13" width="7.7109375" customWidth="1"/>
    <col min="14" max="14" width="8.7109375" bestFit="1" customWidth="1"/>
    <col min="15" max="15" width="7.7109375" customWidth="1"/>
    <col min="16" max="17" width="8.7109375" bestFit="1" customWidth="1"/>
    <col min="18" max="22" width="7.7109375" customWidth="1"/>
    <col min="23" max="23" width="9.7109375" bestFit="1" customWidth="1"/>
    <col min="24" max="24" width="7.7109375" bestFit="1" customWidth="1"/>
    <col min="25" max="25" width="9.140625" bestFit="1" customWidth="1"/>
    <col min="26" max="26" width="12" style="1" bestFit="1" customWidth="1"/>
    <col min="27" max="27" width="10.5703125" style="1" bestFit="1" customWidth="1"/>
    <col min="28" max="28" width="9.42578125" style="1" bestFit="1" customWidth="1"/>
    <col min="29" max="29" width="9.85546875" bestFit="1" customWidth="1"/>
    <col min="30" max="31" width="9.140625" bestFit="1" customWidth="1"/>
    <col min="32" max="32" width="8" customWidth="1"/>
    <col min="33" max="33" width="13.7109375" style="1" bestFit="1" customWidth="1"/>
    <col min="34" max="34" width="11.5703125" customWidth="1"/>
    <col min="35" max="35" width="12.28515625" style="1" customWidth="1"/>
    <col min="36" max="36" width="7.7109375" bestFit="1" customWidth="1"/>
    <col min="37" max="38" width="10.85546875" style="1" bestFit="1" customWidth="1"/>
    <col min="39" max="39" width="9.42578125" bestFit="1" customWidth="1"/>
    <col min="40" max="40" width="9.140625" bestFit="1" customWidth="1"/>
    <col min="41" max="41" width="9.42578125" style="1" bestFit="1" customWidth="1"/>
    <col min="42" max="43" width="10.85546875" style="1" bestFit="1" customWidth="1"/>
    <col min="44" max="44" width="7.7109375" customWidth="1"/>
    <col min="45" max="45" width="9.140625" bestFit="1" customWidth="1"/>
    <col min="46" max="46" width="11.140625" bestFit="1" customWidth="1"/>
    <col min="47" max="47" width="9.140625" customWidth="1"/>
    <col min="48" max="48" width="10.140625" customWidth="1"/>
    <col min="49" max="49" width="9.42578125" bestFit="1" customWidth="1"/>
    <col min="50" max="50" width="9.140625" customWidth="1"/>
    <col min="51" max="51" width="10.85546875" bestFit="1" customWidth="1"/>
    <col min="52" max="53" width="9.42578125" bestFit="1" customWidth="1"/>
    <col min="54" max="54" width="7.7109375" customWidth="1"/>
    <col min="55" max="55" width="9.42578125" customWidth="1"/>
    <col min="56" max="57" width="7.7109375" customWidth="1"/>
    <col min="58" max="58" width="9.42578125" bestFit="1" customWidth="1"/>
    <col min="59" max="59" width="9.42578125" customWidth="1"/>
    <col min="60" max="60" width="7.7109375" customWidth="1"/>
    <col min="61" max="61" width="13.85546875" style="1" customWidth="1"/>
    <col min="62" max="62" width="13.7109375" style="47" bestFit="1" customWidth="1"/>
    <col min="63" max="63" width="23.5703125" bestFit="1" customWidth="1"/>
    <col min="64" max="64" width="8" bestFit="1" customWidth="1"/>
    <col min="65" max="66" width="8" hidden="1" customWidth="1"/>
    <col min="69" max="69" width="9.140625" customWidth="1"/>
  </cols>
  <sheetData>
    <row r="6" spans="2:72" s="43" customFormat="1" ht="25.5" customHeight="1" thickBot="1">
      <c r="F6" s="43">
        <v>3</v>
      </c>
      <c r="V6" s="43">
        <v>1</v>
      </c>
      <c r="Z6" s="45"/>
      <c r="AA6" s="45">
        <v>3</v>
      </c>
      <c r="AB6" s="45"/>
      <c r="AG6" s="45"/>
      <c r="AI6" s="45"/>
      <c r="AK6" s="45"/>
      <c r="AL6" s="45"/>
      <c r="AO6" s="45">
        <v>2</v>
      </c>
      <c r="AP6" s="45"/>
      <c r="AQ6" s="45"/>
      <c r="AT6" s="46">
        <v>4.5</v>
      </c>
      <c r="AU6" s="43">
        <v>3</v>
      </c>
      <c r="BI6" s="45"/>
      <c r="BJ6" s="45">
        <v>3</v>
      </c>
    </row>
    <row r="7" spans="2:72" s="16" customFormat="1" ht="21.75" customHeight="1" thickTop="1">
      <c r="D7" s="166" t="s">
        <v>0</v>
      </c>
      <c r="E7" s="169" t="s">
        <v>7</v>
      </c>
      <c r="F7" s="172" t="s">
        <v>9</v>
      </c>
      <c r="G7" s="174" t="s">
        <v>234</v>
      </c>
      <c r="H7" s="175"/>
      <c r="I7" s="175"/>
      <c r="J7" s="175"/>
      <c r="K7" s="175"/>
      <c r="L7" s="175"/>
      <c r="M7" s="175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7"/>
      <c r="AG7" s="17"/>
      <c r="AH7" s="178" t="s">
        <v>61</v>
      </c>
      <c r="AI7" s="176"/>
      <c r="AJ7" s="176"/>
      <c r="AK7" s="176"/>
      <c r="AL7" s="176"/>
      <c r="AM7" s="176"/>
      <c r="AN7" s="176"/>
      <c r="AO7" s="176"/>
      <c r="AP7" s="176"/>
      <c r="AQ7" s="177"/>
      <c r="AR7" s="178" t="s">
        <v>62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6"/>
      <c r="BD7" s="176"/>
      <c r="BE7" s="176"/>
      <c r="BF7" s="176"/>
      <c r="BG7" s="176"/>
      <c r="BH7" s="177"/>
      <c r="BI7" s="179" t="s">
        <v>38</v>
      </c>
      <c r="BJ7" s="187" t="s">
        <v>39</v>
      </c>
      <c r="BK7" s="181" t="s">
        <v>40</v>
      </c>
      <c r="BL7" s="181" t="s">
        <v>50</v>
      </c>
      <c r="BM7" s="150"/>
      <c r="BN7" s="150"/>
    </row>
    <row r="8" spans="2:72" s="18" customFormat="1" ht="52.5" customHeight="1">
      <c r="C8" s="18" t="s">
        <v>77</v>
      </c>
      <c r="D8" s="167"/>
      <c r="E8" s="170"/>
      <c r="F8" s="173"/>
      <c r="G8" s="19" t="s">
        <v>1</v>
      </c>
      <c r="H8" s="20" t="s">
        <v>2</v>
      </c>
      <c r="I8" s="20" t="s">
        <v>3</v>
      </c>
      <c r="J8" s="9" t="s">
        <v>4</v>
      </c>
      <c r="K8" s="9" t="s">
        <v>5</v>
      </c>
      <c r="L8" s="9" t="s">
        <v>6</v>
      </c>
      <c r="M8" s="9" t="s">
        <v>8</v>
      </c>
      <c r="N8" s="9" t="s">
        <v>10</v>
      </c>
      <c r="O8" s="9">
        <v>2019</v>
      </c>
      <c r="P8" s="9">
        <v>2020</v>
      </c>
      <c r="Q8" s="9">
        <v>2021</v>
      </c>
      <c r="R8" s="20" t="s">
        <v>56</v>
      </c>
      <c r="S8" s="20" t="s">
        <v>57</v>
      </c>
      <c r="T8" s="20" t="s">
        <v>58</v>
      </c>
      <c r="U8" s="20" t="s">
        <v>117</v>
      </c>
      <c r="V8" s="20" t="s">
        <v>118</v>
      </c>
      <c r="W8" s="9" t="s">
        <v>11</v>
      </c>
      <c r="X8" s="9" t="s">
        <v>12</v>
      </c>
      <c r="Y8" s="20" t="s">
        <v>120</v>
      </c>
      <c r="Z8" s="20" t="s">
        <v>13</v>
      </c>
      <c r="AA8" s="21" t="s">
        <v>14</v>
      </c>
      <c r="AB8" s="20" t="s">
        <v>15</v>
      </c>
      <c r="AC8" s="22">
        <v>0.91500000000000004</v>
      </c>
      <c r="AD8" s="20" t="s">
        <v>59</v>
      </c>
      <c r="AE8" s="20" t="s">
        <v>16</v>
      </c>
      <c r="AF8" s="20" t="s">
        <v>17</v>
      </c>
      <c r="AG8" s="21" t="s">
        <v>18</v>
      </c>
      <c r="AH8" s="20" t="s">
        <v>19</v>
      </c>
      <c r="AI8" s="21" t="s">
        <v>64</v>
      </c>
      <c r="AJ8" s="20" t="s">
        <v>20</v>
      </c>
      <c r="AK8" s="23">
        <v>0.01</v>
      </c>
      <c r="AL8" s="21" t="s">
        <v>60</v>
      </c>
      <c r="AM8" s="20" t="s">
        <v>21</v>
      </c>
      <c r="AN8" s="23">
        <v>0.02</v>
      </c>
      <c r="AO8" s="21" t="s">
        <v>22</v>
      </c>
      <c r="AP8" s="21" t="s">
        <v>23</v>
      </c>
      <c r="AQ8" s="21" t="s">
        <v>24</v>
      </c>
      <c r="AR8" s="20" t="s">
        <v>25</v>
      </c>
      <c r="AS8" s="20" t="s">
        <v>26</v>
      </c>
      <c r="AT8" s="20" t="s">
        <v>27</v>
      </c>
      <c r="AU8" s="20" t="s">
        <v>28</v>
      </c>
      <c r="AV8" s="20" t="s">
        <v>29</v>
      </c>
      <c r="AW8" s="20" t="s">
        <v>30</v>
      </c>
      <c r="AX8" s="20" t="s">
        <v>31</v>
      </c>
      <c r="AY8" s="20" t="s">
        <v>32</v>
      </c>
      <c r="AZ8" s="20" t="s">
        <v>33</v>
      </c>
      <c r="BA8" s="20" t="s">
        <v>250</v>
      </c>
      <c r="BB8" s="20" t="s">
        <v>35</v>
      </c>
      <c r="BC8" s="20" t="s">
        <v>32</v>
      </c>
      <c r="BD8" s="20" t="s">
        <v>36</v>
      </c>
      <c r="BE8" s="20" t="s">
        <v>121</v>
      </c>
      <c r="BF8" s="9" t="s">
        <v>233</v>
      </c>
      <c r="BG8" s="20" t="s">
        <v>355</v>
      </c>
      <c r="BH8" s="20" t="s">
        <v>37</v>
      </c>
      <c r="BI8" s="180"/>
      <c r="BJ8" s="188"/>
      <c r="BK8" s="182"/>
      <c r="BL8" s="182"/>
      <c r="BM8" s="151"/>
      <c r="BN8" s="151"/>
      <c r="BQ8" s="18" t="s">
        <v>212</v>
      </c>
    </row>
    <row r="9" spans="2:72" s="16" customFormat="1" ht="19.5" thickBot="1">
      <c r="D9" s="168"/>
      <c r="E9" s="171"/>
      <c r="F9" s="24"/>
      <c r="G9" s="25"/>
      <c r="H9" s="25"/>
      <c r="I9" s="25"/>
      <c r="J9" s="25"/>
      <c r="K9" s="25"/>
      <c r="L9" s="25"/>
      <c r="M9" s="25"/>
      <c r="N9" s="25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7"/>
      <c r="AA9" s="27"/>
      <c r="AB9" s="27"/>
      <c r="AC9" s="26"/>
      <c r="AD9" s="26"/>
      <c r="AE9" s="26"/>
      <c r="AF9" s="37">
        <v>10</v>
      </c>
      <c r="AG9" s="27"/>
      <c r="AH9" s="26"/>
      <c r="AI9" s="27"/>
      <c r="AJ9" s="26"/>
      <c r="AK9" s="27"/>
      <c r="AL9" s="27"/>
      <c r="AM9" s="26"/>
      <c r="AN9" s="26"/>
      <c r="AO9" s="27"/>
      <c r="AP9" s="27"/>
      <c r="AQ9" s="27"/>
      <c r="AR9" s="26"/>
      <c r="AS9" s="26"/>
      <c r="AT9" s="36">
        <v>4.5</v>
      </c>
      <c r="AU9" s="36">
        <v>2</v>
      </c>
      <c r="AV9" s="36">
        <v>0.25</v>
      </c>
      <c r="AW9" s="36">
        <v>3</v>
      </c>
      <c r="AX9" s="36">
        <v>0.5</v>
      </c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7"/>
      <c r="BJ9" s="48"/>
      <c r="BK9" s="183"/>
      <c r="BL9" s="183"/>
      <c r="BM9" s="151"/>
      <c r="BN9" s="151"/>
    </row>
    <row r="10" spans="2:72" ht="24" customHeight="1">
      <c r="B10" t="str">
        <f>BK10</f>
        <v>علاء عبدالكريم محمود</v>
      </c>
      <c r="C10" s="1">
        <v>643.19000000000005</v>
      </c>
      <c r="D10" s="3">
        <v>1</v>
      </c>
      <c r="E10" s="4"/>
      <c r="F10" s="5">
        <v>1993.34</v>
      </c>
      <c r="G10" s="5">
        <v>60.43</v>
      </c>
      <c r="H10" s="6">
        <f t="shared" ref="H10:H22" si="0">IF(BO10="مدرس",C10*10%,"")</f>
        <v>64.319000000000003</v>
      </c>
      <c r="I10" s="6">
        <f t="shared" ref="I10:I26" si="1">IF(BO10="مدرس",C10*25%,"")</f>
        <v>160.79750000000001</v>
      </c>
      <c r="J10" s="6">
        <f t="shared" ref="J10:J26" si="2">IF(BO10="مدرس",ROUND(IF(BL10="كبير",C10*25%,IF(BL10="كبير ا",C10*25%,IF(BL10="اولى",C10*25%,IF(BL10="ثانيه",C10*50%,IF(BL10="ثالثه",C10*75%,IF(BL10="م م",C10*125%,)))))),2),"")</f>
        <v>160.80000000000001</v>
      </c>
      <c r="K10" s="6">
        <f t="shared" ref="K10:K26" si="3">IF(BO10="مدرس",C10*50%,"")</f>
        <v>321.59500000000003</v>
      </c>
      <c r="L10" s="5">
        <v>1286.3599999999999</v>
      </c>
      <c r="M10" s="28"/>
      <c r="N10" s="33">
        <f t="shared" ref="N10:N26" si="4">IF(BO10="مدرس",IF(BL10="كبير ا",300,IF(BL10="كبير",325,IF(BL10="اولى",350,IF(BL10="ثانيه",375,IF(BL10="ثالثه",400,""))))),"")</f>
        <v>300</v>
      </c>
      <c r="O10" s="4">
        <v>150</v>
      </c>
      <c r="P10" s="4">
        <v>350</v>
      </c>
      <c r="Q10" s="34">
        <f>IF(BL10="كبير ا",375,IF(BL10="كبير",350,IF(BL10="اولى",325,IF(BL10="ثانيه",275,IF(BL10="ثالثه",225,)))))</f>
        <v>375</v>
      </c>
      <c r="R10" s="4"/>
      <c r="S10" s="34">
        <f t="shared" ref="S10:S26" si="5">IF(BO10="مدرس",IF(BL10="كبير ا",180,IF(BL10="كبير",165,IF(BL10="اولى",125,IF(BL10="ثانيه",100,IF(BL10="ثالثه",75,))))),"")</f>
        <v>180</v>
      </c>
      <c r="T10" s="34">
        <f t="shared" ref="T10:T26" si="6">IF(BO10="مدرس",IF(BL10="كبير ا",140,IF(BL10="كبير",145,IF(BL10="اولى",150,IF(BL10="ثانيه",165,IF(BL10="ثالثه",185,))))),"")</f>
        <v>140</v>
      </c>
      <c r="U10" s="34">
        <f t="shared" ref="U10:U26" si="7">IF(BO10="مدرس",IF(BL10="كبير ا",155,IF(BL10="كبير",140,IF(BL10="اولى",120,IF(BL10="ثانيه",85,IF(BL10="ثالثه",65,))))),"")</f>
        <v>155</v>
      </c>
      <c r="V10" s="34" t="str">
        <f t="shared" ref="V10:V26" si="8">IF(BO10="مدرس","",IF(BL10="اولى",85,IF(BL10="ثانيه",65,IF(BL10="ثالثه",55,IF(BL10="رابعه",50,IF(BL10="خامسه",50,))))))</f>
        <v/>
      </c>
      <c r="W10" s="4">
        <v>6</v>
      </c>
      <c r="X10" s="4">
        <v>4</v>
      </c>
      <c r="Y10" s="5"/>
      <c r="Z10" s="5"/>
      <c r="AA10" s="5"/>
      <c r="AB10" s="5"/>
      <c r="AC10" s="5"/>
      <c r="AD10" s="4"/>
      <c r="AE10" s="4"/>
      <c r="AF10" s="34">
        <f t="shared" ref="AF10:AF26" si="9">IF(BO10="مدرس",AF9,"")</f>
        <v>10</v>
      </c>
      <c r="AG10" s="6">
        <f>SUM(F10:AF10)</f>
        <v>5717.6414999999997</v>
      </c>
      <c r="AH10" s="4"/>
      <c r="AI10" s="6">
        <f>SUM(F10:AE10)*9%</f>
        <v>513.68773499999998</v>
      </c>
      <c r="AJ10" s="4"/>
      <c r="AK10" s="6">
        <f>SUM(F10:AE10)*1%</f>
        <v>57.076414999999997</v>
      </c>
      <c r="AL10" s="6">
        <f>SUM(F10:AE10)*1%</f>
        <v>57.076414999999997</v>
      </c>
      <c r="AM10" s="7">
        <v>9.5</v>
      </c>
      <c r="AN10" s="6">
        <f t="shared" ref="AN10:AN26" si="10">IF(BO10="مدرس",IF(BL10="كبير ا",3.1,IF(BL10="كبير",2.8,IF(BL10="اولى",2.4,IF(BL10="ثانيه",1.7,IF(BL10="ثالثه",1.3,))))),"")</f>
        <v>3.1</v>
      </c>
      <c r="AO10" s="5"/>
      <c r="AP10" s="5">
        <v>178</v>
      </c>
      <c r="AQ10" s="5">
        <v>34.950000000000003</v>
      </c>
      <c r="AR10" s="5"/>
      <c r="AS10" s="5">
        <v>2.5</v>
      </c>
      <c r="AT10" s="6">
        <f t="shared" ref="AT10:AT26" si="11">IF($BO10="مدرس",AT9,"")</f>
        <v>4.5</v>
      </c>
      <c r="AU10" s="6">
        <f t="shared" ref="AU10:AU26" si="12">IF($BO10="مدرس",AU9,"")</f>
        <v>2</v>
      </c>
      <c r="AV10" s="6">
        <f t="shared" ref="AV10:AV26" si="13">IF($BO10="مدرس",AV9,"")</f>
        <v>0.25</v>
      </c>
      <c r="AW10" s="6">
        <f t="shared" ref="AW10:AW26" si="14">IF($BO10="مدرس",AW9,"")</f>
        <v>3</v>
      </c>
      <c r="AX10" s="6">
        <f t="shared" ref="AX10:AX26" si="15">IF($BO10="مدرس",AX9,"")</f>
        <v>0.5</v>
      </c>
      <c r="AY10" s="6">
        <f t="shared" ref="AY10:AY26" si="16">IF(BO10="مدرس",F10*7%,"")</f>
        <v>139.53380000000001</v>
      </c>
      <c r="AZ10" s="5"/>
      <c r="BA10" s="5"/>
      <c r="BB10" s="5"/>
      <c r="BC10" s="5"/>
      <c r="BD10" s="5"/>
      <c r="BE10" s="4"/>
      <c r="BF10" s="4"/>
      <c r="BG10" s="4"/>
      <c r="BH10" s="7">
        <v>0.02</v>
      </c>
      <c r="BI10" s="6">
        <f>SUM(AH10:BH10)</f>
        <v>1005.6943650000001</v>
      </c>
      <c r="BJ10" s="6">
        <f>AG10-BI10</f>
        <v>4711.9471349999994</v>
      </c>
      <c r="BK10" s="8" t="s">
        <v>100</v>
      </c>
      <c r="BL10" s="8" t="s">
        <v>116</v>
      </c>
      <c r="BM10" s="38"/>
      <c r="BN10" s="38"/>
      <c r="BO10" t="s">
        <v>119</v>
      </c>
      <c r="BQ10" s="2">
        <f>SUM(O10:Q10)</f>
        <v>875</v>
      </c>
      <c r="BR10" s="1"/>
      <c r="BT10" t="s">
        <v>116</v>
      </c>
    </row>
    <row r="11" spans="2:72" ht="24" customHeight="1">
      <c r="B11" t="str">
        <f t="shared" ref="B11:B34" si="17">BK11</f>
        <v>حمدى طه العيسوى</v>
      </c>
      <c r="C11" s="1">
        <v>747.84</v>
      </c>
      <c r="D11" s="3">
        <v>2</v>
      </c>
      <c r="E11" s="4"/>
      <c r="F11" s="5">
        <v>2289.91</v>
      </c>
      <c r="G11" s="5">
        <v>70.239999999999995</v>
      </c>
      <c r="H11" s="6">
        <f t="shared" si="0"/>
        <v>74.784000000000006</v>
      </c>
      <c r="I11" s="6">
        <f t="shared" si="1"/>
        <v>186.96</v>
      </c>
      <c r="J11" s="6">
        <f t="shared" si="2"/>
        <v>186.96</v>
      </c>
      <c r="K11" s="6">
        <f t="shared" si="3"/>
        <v>373.92</v>
      </c>
      <c r="L11" s="5">
        <v>1495.68</v>
      </c>
      <c r="M11" s="28"/>
      <c r="N11" s="33">
        <f t="shared" si="4"/>
        <v>300</v>
      </c>
      <c r="O11" s="4">
        <v>150</v>
      </c>
      <c r="P11" s="4">
        <v>350</v>
      </c>
      <c r="Q11" s="34">
        <f t="shared" ref="Q11:Q26" si="18">IF(BL11="كبير ا",375,IF(BL11="كبير",350,IF(BL11="اولى",325,IF(BL11="ثانيه",275,IF(BL11="ثالثه",225,)))))</f>
        <v>375</v>
      </c>
      <c r="R11" s="4"/>
      <c r="S11" s="34">
        <f t="shared" si="5"/>
        <v>180</v>
      </c>
      <c r="T11" s="34">
        <f t="shared" si="6"/>
        <v>140</v>
      </c>
      <c r="U11" s="34">
        <f t="shared" si="7"/>
        <v>155</v>
      </c>
      <c r="V11" s="34" t="str">
        <f t="shared" si="8"/>
        <v/>
      </c>
      <c r="W11" s="4">
        <v>6</v>
      </c>
      <c r="X11" s="4">
        <v>4</v>
      </c>
      <c r="Y11" s="5"/>
      <c r="Z11" s="5"/>
      <c r="AA11" s="5"/>
      <c r="AB11" s="5"/>
      <c r="AC11" s="5"/>
      <c r="AD11" s="4"/>
      <c r="AE11" s="4"/>
      <c r="AF11" s="34">
        <f t="shared" si="9"/>
        <v>10</v>
      </c>
      <c r="AG11" s="6">
        <f t="shared" ref="AG11:AG26" si="19">SUM(F11:AF11)</f>
        <v>6348.4539999999997</v>
      </c>
      <c r="AH11" s="4"/>
      <c r="AI11" s="6">
        <f t="shared" ref="AI11:AI26" si="20">SUM(F11:AE11)*9%</f>
        <v>570.46085999999991</v>
      </c>
      <c r="AJ11" s="4"/>
      <c r="AK11" s="6">
        <f t="shared" ref="AK11:AK26" si="21">SUM(F11:AE11)*1%</f>
        <v>63.384540000000001</v>
      </c>
      <c r="AL11" s="6">
        <f t="shared" ref="AL11:AL26" si="22">SUM(F11:AE11)*1%</f>
        <v>63.384540000000001</v>
      </c>
      <c r="AM11" s="7">
        <v>9.5</v>
      </c>
      <c r="AN11" s="6">
        <f t="shared" si="10"/>
        <v>3.1</v>
      </c>
      <c r="AO11" s="5"/>
      <c r="AP11" s="5">
        <v>197</v>
      </c>
      <c r="AQ11" s="5">
        <v>41.15</v>
      </c>
      <c r="AR11" s="5"/>
      <c r="AS11" s="5">
        <v>2.5</v>
      </c>
      <c r="AT11" s="6">
        <f t="shared" si="11"/>
        <v>4.5</v>
      </c>
      <c r="AU11" s="6">
        <f t="shared" si="12"/>
        <v>2</v>
      </c>
      <c r="AV11" s="6">
        <f t="shared" si="13"/>
        <v>0.25</v>
      </c>
      <c r="AW11" s="6">
        <f t="shared" si="14"/>
        <v>3</v>
      </c>
      <c r="AX11" s="6">
        <f t="shared" si="15"/>
        <v>0.5</v>
      </c>
      <c r="AY11" s="6">
        <f t="shared" si="16"/>
        <v>160.2937</v>
      </c>
      <c r="AZ11" s="5"/>
      <c r="BA11" s="5"/>
      <c r="BB11" s="5"/>
      <c r="BC11" s="5"/>
      <c r="BD11" s="5"/>
      <c r="BE11" s="4"/>
      <c r="BF11" s="4"/>
      <c r="BG11" s="4"/>
      <c r="BH11" s="7">
        <v>0.03</v>
      </c>
      <c r="BI11" s="6">
        <f t="shared" ref="BI11:BI26" si="23">SUM(AH11:BH11)</f>
        <v>1121.0536399999999</v>
      </c>
      <c r="BJ11" s="6">
        <f t="shared" ref="BJ11:BJ26" si="24">AG11-BI11</f>
        <v>5227.4003599999996</v>
      </c>
      <c r="BK11" s="8" t="s">
        <v>101</v>
      </c>
      <c r="BL11" s="8" t="s">
        <v>116</v>
      </c>
      <c r="BM11" s="38"/>
      <c r="BN11" s="38"/>
      <c r="BO11" t="s">
        <v>119</v>
      </c>
      <c r="BQ11" s="2">
        <f t="shared" ref="BQ11:BQ25" si="25">SUM(O11:Q11)</f>
        <v>875</v>
      </c>
      <c r="BT11" t="s">
        <v>51</v>
      </c>
    </row>
    <row r="12" spans="2:72" ht="24" customHeight="1">
      <c r="B12" t="str">
        <f t="shared" si="17"/>
        <v>علاء الدين غازى سليمان</v>
      </c>
      <c r="C12" s="1">
        <v>639.71</v>
      </c>
      <c r="D12" s="3">
        <v>3</v>
      </c>
      <c r="E12" s="4"/>
      <c r="F12" s="5">
        <v>1979.74</v>
      </c>
      <c r="G12" s="5">
        <v>60.07</v>
      </c>
      <c r="H12" s="6">
        <f t="shared" si="0"/>
        <v>63.971000000000004</v>
      </c>
      <c r="I12" s="6">
        <f t="shared" si="1"/>
        <v>159.92750000000001</v>
      </c>
      <c r="J12" s="6">
        <f t="shared" si="2"/>
        <v>159.93</v>
      </c>
      <c r="K12" s="6">
        <f t="shared" si="3"/>
        <v>319.85500000000002</v>
      </c>
      <c r="L12" s="5">
        <v>1279.4000000000001</v>
      </c>
      <c r="M12" s="28"/>
      <c r="N12" s="33">
        <f t="shared" si="4"/>
        <v>300</v>
      </c>
      <c r="O12" s="4">
        <v>150</v>
      </c>
      <c r="P12" s="4">
        <v>350</v>
      </c>
      <c r="Q12" s="34">
        <f t="shared" si="18"/>
        <v>375</v>
      </c>
      <c r="R12" s="4"/>
      <c r="S12" s="34">
        <f t="shared" si="5"/>
        <v>180</v>
      </c>
      <c r="T12" s="34">
        <f t="shared" si="6"/>
        <v>140</v>
      </c>
      <c r="U12" s="34">
        <f t="shared" si="7"/>
        <v>155</v>
      </c>
      <c r="V12" s="34" t="str">
        <f t="shared" si="8"/>
        <v/>
      </c>
      <c r="W12" s="4">
        <v>6</v>
      </c>
      <c r="X12" s="4">
        <v>4</v>
      </c>
      <c r="Y12" s="5"/>
      <c r="Z12" s="5"/>
      <c r="AA12" s="5"/>
      <c r="AB12" s="5"/>
      <c r="AC12" s="5"/>
      <c r="AD12" s="4"/>
      <c r="AE12" s="4"/>
      <c r="AF12" s="34">
        <f t="shared" si="9"/>
        <v>10</v>
      </c>
      <c r="AG12" s="6">
        <f t="shared" si="19"/>
        <v>5692.8935000000001</v>
      </c>
      <c r="AH12" s="4"/>
      <c r="AI12" s="6">
        <f t="shared" si="20"/>
        <v>511.46041500000001</v>
      </c>
      <c r="AJ12" s="4"/>
      <c r="AK12" s="6">
        <f t="shared" si="21"/>
        <v>56.828935000000001</v>
      </c>
      <c r="AL12" s="6">
        <f t="shared" si="22"/>
        <v>56.828935000000001</v>
      </c>
      <c r="AM12" s="7">
        <v>9.5</v>
      </c>
      <c r="AN12" s="6">
        <f t="shared" si="10"/>
        <v>3.1</v>
      </c>
      <c r="AO12" s="5"/>
      <c r="AP12" s="5">
        <v>177</v>
      </c>
      <c r="AQ12" s="5">
        <v>34.799999999999997</v>
      </c>
      <c r="AR12" s="5"/>
      <c r="AS12" s="5">
        <v>2.5</v>
      </c>
      <c r="AT12" s="6">
        <f t="shared" si="11"/>
        <v>4.5</v>
      </c>
      <c r="AU12" s="6">
        <f t="shared" si="12"/>
        <v>2</v>
      </c>
      <c r="AV12" s="6">
        <f t="shared" si="13"/>
        <v>0.25</v>
      </c>
      <c r="AW12" s="6">
        <f t="shared" si="14"/>
        <v>3</v>
      </c>
      <c r="AX12" s="6">
        <f t="shared" si="15"/>
        <v>0.5</v>
      </c>
      <c r="AY12" s="6">
        <f t="shared" si="16"/>
        <v>138.58180000000002</v>
      </c>
      <c r="AZ12" s="5"/>
      <c r="BA12" s="5"/>
      <c r="BB12" s="5"/>
      <c r="BC12" s="5"/>
      <c r="BD12" s="5"/>
      <c r="BE12" s="4"/>
      <c r="BF12" s="4"/>
      <c r="BG12" s="4"/>
      <c r="BH12" s="7">
        <v>0.04</v>
      </c>
      <c r="BI12" s="6">
        <f t="shared" si="23"/>
        <v>1000.890085</v>
      </c>
      <c r="BJ12" s="6">
        <f t="shared" si="24"/>
        <v>4692.0034150000001</v>
      </c>
      <c r="BK12" s="8" t="s">
        <v>102</v>
      </c>
      <c r="BL12" s="8" t="s">
        <v>116</v>
      </c>
      <c r="BM12" s="38"/>
      <c r="BN12" s="38"/>
      <c r="BO12" t="s">
        <v>119</v>
      </c>
      <c r="BQ12" s="2">
        <f t="shared" si="25"/>
        <v>875</v>
      </c>
      <c r="BT12" t="s">
        <v>52</v>
      </c>
    </row>
    <row r="13" spans="2:72" ht="24" customHeight="1">
      <c r="B13" t="str">
        <f t="shared" si="17"/>
        <v>ارزاق طلعت احمد</v>
      </c>
      <c r="C13" s="1">
        <v>657.44</v>
      </c>
      <c r="D13" s="3">
        <v>4</v>
      </c>
      <c r="E13" s="4"/>
      <c r="F13" s="5">
        <v>2026.89</v>
      </c>
      <c r="G13" s="5">
        <v>61.78</v>
      </c>
      <c r="H13" s="6">
        <f t="shared" si="0"/>
        <v>65.744000000000014</v>
      </c>
      <c r="I13" s="6">
        <f t="shared" si="1"/>
        <v>164.36</v>
      </c>
      <c r="J13" s="6">
        <f t="shared" si="2"/>
        <v>164.36</v>
      </c>
      <c r="K13" s="6">
        <f t="shared" si="3"/>
        <v>328.72</v>
      </c>
      <c r="L13" s="5">
        <v>1314.88</v>
      </c>
      <c r="M13" s="28"/>
      <c r="N13" s="33">
        <f t="shared" si="4"/>
        <v>300</v>
      </c>
      <c r="O13" s="4">
        <v>150</v>
      </c>
      <c r="P13" s="4">
        <v>350</v>
      </c>
      <c r="Q13" s="34">
        <f t="shared" si="18"/>
        <v>375</v>
      </c>
      <c r="R13" s="4"/>
      <c r="S13" s="34">
        <f t="shared" si="5"/>
        <v>180</v>
      </c>
      <c r="T13" s="34">
        <f t="shared" si="6"/>
        <v>140</v>
      </c>
      <c r="U13" s="34">
        <f t="shared" si="7"/>
        <v>155</v>
      </c>
      <c r="V13" s="34" t="str">
        <f t="shared" si="8"/>
        <v/>
      </c>
      <c r="W13" s="4">
        <v>2</v>
      </c>
      <c r="X13" s="4">
        <v>4</v>
      </c>
      <c r="Y13" s="5"/>
      <c r="Z13" s="5"/>
      <c r="AA13" s="5"/>
      <c r="AB13" s="5"/>
      <c r="AC13" s="5"/>
      <c r="AD13" s="4"/>
      <c r="AE13" s="4"/>
      <c r="AF13" s="34">
        <f t="shared" si="9"/>
        <v>10</v>
      </c>
      <c r="AG13" s="6">
        <f t="shared" si="19"/>
        <v>5792.7340000000004</v>
      </c>
      <c r="AH13" s="4"/>
      <c r="AI13" s="6">
        <f t="shared" si="20"/>
        <v>520.44605999999999</v>
      </c>
      <c r="AJ13" s="4"/>
      <c r="AK13" s="6">
        <f t="shared" si="21"/>
        <v>57.827340000000007</v>
      </c>
      <c r="AL13" s="6">
        <f t="shared" si="22"/>
        <v>57.827340000000007</v>
      </c>
      <c r="AM13" s="7">
        <v>9.5</v>
      </c>
      <c r="AN13" s="6">
        <f t="shared" si="10"/>
        <v>3.1</v>
      </c>
      <c r="AO13" s="5"/>
      <c r="AP13" s="5">
        <v>181</v>
      </c>
      <c r="AQ13" s="5">
        <v>35.4</v>
      </c>
      <c r="AR13" s="5"/>
      <c r="AS13" s="5">
        <v>2.5</v>
      </c>
      <c r="AT13" s="6">
        <f t="shared" si="11"/>
        <v>4.5</v>
      </c>
      <c r="AU13" s="6">
        <f t="shared" si="12"/>
        <v>2</v>
      </c>
      <c r="AV13" s="6">
        <f t="shared" si="13"/>
        <v>0.25</v>
      </c>
      <c r="AW13" s="6">
        <f t="shared" si="14"/>
        <v>3</v>
      </c>
      <c r="AX13" s="6">
        <f t="shared" si="15"/>
        <v>0.5</v>
      </c>
      <c r="AY13" s="6">
        <f t="shared" si="16"/>
        <v>141.88230000000001</v>
      </c>
      <c r="AZ13" s="5"/>
      <c r="BA13" s="5"/>
      <c r="BB13" s="5"/>
      <c r="BC13" s="5"/>
      <c r="BD13" s="5"/>
      <c r="BE13" s="4"/>
      <c r="BF13" s="4"/>
      <c r="BG13" s="4"/>
      <c r="BH13" s="7"/>
      <c r="BI13" s="6">
        <f t="shared" si="23"/>
        <v>1019.7330400000001</v>
      </c>
      <c r="BJ13" s="6">
        <f t="shared" si="24"/>
        <v>4773.0009600000003</v>
      </c>
      <c r="BK13" s="8" t="s">
        <v>103</v>
      </c>
      <c r="BL13" s="8" t="s">
        <v>116</v>
      </c>
      <c r="BM13" s="38"/>
      <c r="BN13" s="38"/>
      <c r="BO13" t="s">
        <v>119</v>
      </c>
      <c r="BQ13" s="2">
        <f t="shared" si="25"/>
        <v>875</v>
      </c>
      <c r="BT13" t="s">
        <v>53</v>
      </c>
    </row>
    <row r="14" spans="2:72" ht="24" customHeight="1">
      <c r="B14" t="str">
        <f t="shared" si="17"/>
        <v>محمد سعد السعداوى</v>
      </c>
      <c r="C14" s="1">
        <v>576.69000000000005</v>
      </c>
      <c r="D14" s="3">
        <v>5</v>
      </c>
      <c r="E14" s="4"/>
      <c r="F14" s="5">
        <v>1821.85</v>
      </c>
      <c r="G14" s="5">
        <v>53.6</v>
      </c>
      <c r="H14" s="6">
        <f t="shared" si="0"/>
        <v>57.669000000000011</v>
      </c>
      <c r="I14" s="6">
        <f t="shared" si="1"/>
        <v>144.17250000000001</v>
      </c>
      <c r="J14" s="6">
        <f t="shared" si="2"/>
        <v>144.16999999999999</v>
      </c>
      <c r="K14" s="6">
        <f t="shared" si="3"/>
        <v>288.34500000000003</v>
      </c>
      <c r="L14" s="5">
        <v>1153.3699999999999</v>
      </c>
      <c r="M14" s="28"/>
      <c r="N14" s="33">
        <f t="shared" si="4"/>
        <v>300</v>
      </c>
      <c r="O14" s="4">
        <v>150</v>
      </c>
      <c r="P14" s="4">
        <v>325</v>
      </c>
      <c r="Q14" s="34">
        <f t="shared" si="18"/>
        <v>375</v>
      </c>
      <c r="R14" s="4"/>
      <c r="S14" s="34">
        <f t="shared" si="5"/>
        <v>180</v>
      </c>
      <c r="T14" s="34">
        <f t="shared" si="6"/>
        <v>140</v>
      </c>
      <c r="U14" s="34">
        <f t="shared" si="7"/>
        <v>155</v>
      </c>
      <c r="V14" s="34" t="str">
        <f t="shared" si="8"/>
        <v/>
      </c>
      <c r="W14" s="4">
        <v>6</v>
      </c>
      <c r="X14" s="4">
        <v>4</v>
      </c>
      <c r="Y14" s="5"/>
      <c r="Z14" s="5"/>
      <c r="AA14" s="5"/>
      <c r="AB14" s="5"/>
      <c r="AC14" s="5"/>
      <c r="AD14" s="4"/>
      <c r="AE14" s="4"/>
      <c r="AF14" s="34">
        <f t="shared" si="9"/>
        <v>10</v>
      </c>
      <c r="AG14" s="6">
        <f t="shared" si="19"/>
        <v>5308.1764999999996</v>
      </c>
      <c r="AH14" s="4"/>
      <c r="AI14" s="6">
        <f t="shared" si="20"/>
        <v>476.83588499999996</v>
      </c>
      <c r="AJ14" s="4"/>
      <c r="AK14" s="6">
        <f t="shared" si="21"/>
        <v>52.981764999999996</v>
      </c>
      <c r="AL14" s="6">
        <f t="shared" si="22"/>
        <v>52.981764999999996</v>
      </c>
      <c r="AM14" s="7">
        <v>9.5</v>
      </c>
      <c r="AN14" s="6">
        <f t="shared" si="10"/>
        <v>3.1</v>
      </c>
      <c r="AO14" s="5"/>
      <c r="AP14" s="5">
        <v>156</v>
      </c>
      <c r="AQ14" s="5">
        <v>32.5</v>
      </c>
      <c r="AR14" s="5"/>
      <c r="AS14" s="5">
        <v>2</v>
      </c>
      <c r="AT14" s="6">
        <f t="shared" si="11"/>
        <v>4.5</v>
      </c>
      <c r="AU14" s="6">
        <f t="shared" si="12"/>
        <v>2</v>
      </c>
      <c r="AV14" s="6">
        <f t="shared" si="13"/>
        <v>0.25</v>
      </c>
      <c r="AW14" s="6">
        <f t="shared" si="14"/>
        <v>3</v>
      </c>
      <c r="AX14" s="6">
        <f t="shared" si="15"/>
        <v>0.5</v>
      </c>
      <c r="AY14" s="6">
        <f t="shared" si="16"/>
        <v>127.5295</v>
      </c>
      <c r="AZ14" s="5"/>
      <c r="BA14" s="5"/>
      <c r="BB14" s="5"/>
      <c r="BC14" s="5"/>
      <c r="BD14" s="5"/>
      <c r="BE14" s="4"/>
      <c r="BF14" s="4"/>
      <c r="BG14" s="4"/>
      <c r="BH14" s="7"/>
      <c r="BI14" s="6">
        <f t="shared" si="23"/>
        <v>923.67891499999996</v>
      </c>
      <c r="BJ14" s="6">
        <f t="shared" si="24"/>
        <v>4384.4975849999992</v>
      </c>
      <c r="BK14" s="8" t="s">
        <v>104</v>
      </c>
      <c r="BL14" s="8" t="s">
        <v>116</v>
      </c>
      <c r="BM14" s="38"/>
      <c r="BN14" s="38"/>
      <c r="BO14" t="s">
        <v>119</v>
      </c>
      <c r="BQ14" s="2">
        <f t="shared" si="25"/>
        <v>850</v>
      </c>
      <c r="BT14" t="s">
        <v>54</v>
      </c>
    </row>
    <row r="15" spans="2:72" ht="24" customHeight="1">
      <c r="B15" t="str">
        <f t="shared" si="17"/>
        <v>فتحى المغازى محمد</v>
      </c>
      <c r="C15" s="1">
        <v>525.58000000000004</v>
      </c>
      <c r="D15" s="3">
        <v>6</v>
      </c>
      <c r="E15" s="4"/>
      <c r="F15" s="5">
        <v>1703.22</v>
      </c>
      <c r="G15" s="5">
        <v>49.36</v>
      </c>
      <c r="H15" s="6">
        <f t="shared" si="0"/>
        <v>52.558000000000007</v>
      </c>
      <c r="I15" s="6">
        <f t="shared" si="1"/>
        <v>131.39500000000001</v>
      </c>
      <c r="J15" s="6">
        <f t="shared" si="2"/>
        <v>131.4</v>
      </c>
      <c r="K15" s="6">
        <f t="shared" si="3"/>
        <v>262.79000000000002</v>
      </c>
      <c r="L15" s="5">
        <v>919.76</v>
      </c>
      <c r="M15" s="28"/>
      <c r="N15" s="33">
        <f t="shared" si="4"/>
        <v>325</v>
      </c>
      <c r="O15" s="4">
        <v>150</v>
      </c>
      <c r="P15" s="4">
        <v>325</v>
      </c>
      <c r="Q15" s="34">
        <f t="shared" si="18"/>
        <v>350</v>
      </c>
      <c r="R15" s="4"/>
      <c r="S15" s="34">
        <f t="shared" si="5"/>
        <v>165</v>
      </c>
      <c r="T15" s="34">
        <f t="shared" si="6"/>
        <v>145</v>
      </c>
      <c r="U15" s="34">
        <f t="shared" si="7"/>
        <v>140</v>
      </c>
      <c r="V15" s="34" t="str">
        <f t="shared" si="8"/>
        <v/>
      </c>
      <c r="W15" s="4">
        <v>6</v>
      </c>
      <c r="X15" s="4">
        <v>4</v>
      </c>
      <c r="Y15" s="5"/>
      <c r="Z15" s="5"/>
      <c r="AA15" s="5"/>
      <c r="AB15" s="5"/>
      <c r="AC15" s="5"/>
      <c r="AD15" s="4"/>
      <c r="AE15" s="4"/>
      <c r="AF15" s="34">
        <f t="shared" si="9"/>
        <v>10</v>
      </c>
      <c r="AG15" s="6">
        <f t="shared" si="19"/>
        <v>4870.4830000000002</v>
      </c>
      <c r="AH15" s="4"/>
      <c r="AI15" s="6">
        <f t="shared" si="20"/>
        <v>437.44346999999999</v>
      </c>
      <c r="AJ15" s="4"/>
      <c r="AK15" s="6">
        <f t="shared" si="21"/>
        <v>48.60483</v>
      </c>
      <c r="AL15" s="6">
        <f t="shared" si="22"/>
        <v>48.60483</v>
      </c>
      <c r="AM15" s="7">
        <v>9</v>
      </c>
      <c r="AN15" s="6">
        <f t="shared" si="10"/>
        <v>2.8</v>
      </c>
      <c r="AO15" s="5"/>
      <c r="AP15" s="5">
        <v>132</v>
      </c>
      <c r="AQ15" s="5">
        <v>29.7</v>
      </c>
      <c r="AR15" s="5"/>
      <c r="AS15" s="5">
        <v>2</v>
      </c>
      <c r="AT15" s="6">
        <f t="shared" si="11"/>
        <v>4.5</v>
      </c>
      <c r="AU15" s="6">
        <f t="shared" si="12"/>
        <v>2</v>
      </c>
      <c r="AV15" s="6">
        <f t="shared" si="13"/>
        <v>0.25</v>
      </c>
      <c r="AW15" s="6">
        <f t="shared" si="14"/>
        <v>3</v>
      </c>
      <c r="AX15" s="6">
        <f t="shared" si="15"/>
        <v>0.5</v>
      </c>
      <c r="AY15" s="6">
        <f t="shared" si="16"/>
        <v>119.22540000000001</v>
      </c>
      <c r="AZ15" s="5">
        <v>9</v>
      </c>
      <c r="BA15" s="5"/>
      <c r="BB15" s="5"/>
      <c r="BC15" s="5"/>
      <c r="BD15" s="5"/>
      <c r="BE15" s="4"/>
      <c r="BF15" s="4"/>
      <c r="BG15" s="4"/>
      <c r="BH15" s="7"/>
      <c r="BI15" s="6">
        <f t="shared" si="23"/>
        <v>848.62853000000007</v>
      </c>
      <c r="BJ15" s="6">
        <f t="shared" si="24"/>
        <v>4021.8544700000002</v>
      </c>
      <c r="BK15" s="8" t="s">
        <v>105</v>
      </c>
      <c r="BL15" s="8" t="s">
        <v>51</v>
      </c>
      <c r="BM15" s="38"/>
      <c r="BN15" s="38"/>
      <c r="BO15" t="s">
        <v>119</v>
      </c>
      <c r="BQ15" s="2">
        <f t="shared" si="25"/>
        <v>825</v>
      </c>
      <c r="BT15" t="s">
        <v>137</v>
      </c>
    </row>
    <row r="16" spans="2:72" ht="24" customHeight="1">
      <c r="B16" t="str">
        <f t="shared" si="17"/>
        <v>احمد فتحى امام</v>
      </c>
      <c r="C16" s="1">
        <v>462.97</v>
      </c>
      <c r="D16" s="3">
        <v>7</v>
      </c>
      <c r="E16" s="4"/>
      <c r="F16" s="5">
        <v>1557.14</v>
      </c>
      <c r="G16" s="5">
        <v>43.01</v>
      </c>
      <c r="H16" s="6">
        <f t="shared" si="0"/>
        <v>46.297000000000004</v>
      </c>
      <c r="I16" s="6">
        <f t="shared" si="1"/>
        <v>115.74250000000001</v>
      </c>
      <c r="J16" s="6">
        <f t="shared" si="2"/>
        <v>115.74</v>
      </c>
      <c r="K16" s="6">
        <f t="shared" si="3"/>
        <v>231.48500000000001</v>
      </c>
      <c r="L16" s="5">
        <v>810.19</v>
      </c>
      <c r="M16" s="28"/>
      <c r="N16" s="33">
        <f t="shared" si="4"/>
        <v>325</v>
      </c>
      <c r="O16" s="4">
        <v>150</v>
      </c>
      <c r="P16" s="4">
        <v>300</v>
      </c>
      <c r="Q16" s="34">
        <f t="shared" si="18"/>
        <v>350</v>
      </c>
      <c r="R16" s="4"/>
      <c r="S16" s="34">
        <f t="shared" si="5"/>
        <v>165</v>
      </c>
      <c r="T16" s="34">
        <f t="shared" si="6"/>
        <v>145</v>
      </c>
      <c r="U16" s="34">
        <f t="shared" si="7"/>
        <v>140</v>
      </c>
      <c r="V16" s="34" t="str">
        <f t="shared" si="8"/>
        <v/>
      </c>
      <c r="W16" s="4">
        <v>6</v>
      </c>
      <c r="X16" s="4">
        <v>4</v>
      </c>
      <c r="Y16" s="5"/>
      <c r="Z16" s="5"/>
      <c r="AA16" s="5"/>
      <c r="AB16" s="5"/>
      <c r="AC16" s="5"/>
      <c r="AD16" s="4"/>
      <c r="AE16" s="4"/>
      <c r="AF16" s="34">
        <f t="shared" si="9"/>
        <v>10</v>
      </c>
      <c r="AG16" s="6">
        <f t="shared" si="19"/>
        <v>4514.6045000000004</v>
      </c>
      <c r="AH16" s="4"/>
      <c r="AI16" s="6">
        <f t="shared" si="20"/>
        <v>405.41440500000004</v>
      </c>
      <c r="AJ16" s="4"/>
      <c r="AK16" s="6">
        <f t="shared" si="21"/>
        <v>45.046045000000007</v>
      </c>
      <c r="AL16" s="6">
        <f t="shared" si="22"/>
        <v>45.046045000000007</v>
      </c>
      <c r="AM16" s="7">
        <v>9</v>
      </c>
      <c r="AN16" s="6">
        <f t="shared" si="10"/>
        <v>2.8</v>
      </c>
      <c r="AO16" s="5"/>
      <c r="AP16" s="5">
        <v>90.2</v>
      </c>
      <c r="AQ16" s="5">
        <v>27.5</v>
      </c>
      <c r="AR16" s="5"/>
      <c r="AS16" s="5">
        <v>2</v>
      </c>
      <c r="AT16" s="6">
        <f t="shared" si="11"/>
        <v>4.5</v>
      </c>
      <c r="AU16" s="6">
        <f t="shared" si="12"/>
        <v>2</v>
      </c>
      <c r="AV16" s="6">
        <f t="shared" si="13"/>
        <v>0.25</v>
      </c>
      <c r="AW16" s="6">
        <f t="shared" si="14"/>
        <v>3</v>
      </c>
      <c r="AX16" s="6">
        <f t="shared" si="15"/>
        <v>0.5</v>
      </c>
      <c r="AY16" s="6">
        <f t="shared" si="16"/>
        <v>108.99980000000002</v>
      </c>
      <c r="AZ16" s="5"/>
      <c r="BA16" s="5"/>
      <c r="BB16" s="5"/>
      <c r="BC16" s="5"/>
      <c r="BD16" s="5"/>
      <c r="BE16" s="4"/>
      <c r="BF16" s="4"/>
      <c r="BG16" s="4"/>
      <c r="BH16" s="7"/>
      <c r="BI16" s="6">
        <f t="shared" si="23"/>
        <v>746.25629500000014</v>
      </c>
      <c r="BJ16" s="6">
        <f t="shared" si="24"/>
        <v>3768.3482050000002</v>
      </c>
      <c r="BK16" s="8" t="s">
        <v>106</v>
      </c>
      <c r="BL16" s="8" t="s">
        <v>51</v>
      </c>
      <c r="BM16" s="38"/>
      <c r="BN16" s="38"/>
      <c r="BO16" t="s">
        <v>119</v>
      </c>
      <c r="BQ16" s="2">
        <f t="shared" si="25"/>
        <v>800</v>
      </c>
      <c r="BT16" t="s">
        <v>55</v>
      </c>
    </row>
    <row r="17" spans="2:72" ht="24" customHeight="1">
      <c r="B17" t="str">
        <f t="shared" si="17"/>
        <v>ابراهيم العرابى رزق</v>
      </c>
      <c r="C17" s="1">
        <v>654.98</v>
      </c>
      <c r="D17" s="3">
        <v>8</v>
      </c>
      <c r="E17" s="4"/>
      <c r="F17" s="5">
        <v>2026.93</v>
      </c>
      <c r="G17" s="5">
        <v>61.59</v>
      </c>
      <c r="H17" s="6">
        <f t="shared" si="0"/>
        <v>65.498000000000005</v>
      </c>
      <c r="I17" s="6">
        <f t="shared" si="1"/>
        <v>163.745</v>
      </c>
      <c r="J17" s="6">
        <f t="shared" si="2"/>
        <v>163.75</v>
      </c>
      <c r="K17" s="6">
        <f t="shared" si="3"/>
        <v>327.49</v>
      </c>
      <c r="L17" s="5">
        <v>1146.21</v>
      </c>
      <c r="M17" s="28"/>
      <c r="N17" s="33">
        <f t="shared" si="4"/>
        <v>325</v>
      </c>
      <c r="O17" s="4">
        <v>150</v>
      </c>
      <c r="P17" s="4">
        <v>325</v>
      </c>
      <c r="Q17" s="34">
        <f t="shared" si="18"/>
        <v>350</v>
      </c>
      <c r="R17" s="4"/>
      <c r="S17" s="34">
        <f t="shared" si="5"/>
        <v>165</v>
      </c>
      <c r="T17" s="34">
        <f t="shared" si="6"/>
        <v>145</v>
      </c>
      <c r="U17" s="34">
        <f t="shared" si="7"/>
        <v>140</v>
      </c>
      <c r="V17" s="34" t="str">
        <f t="shared" si="8"/>
        <v/>
      </c>
      <c r="W17" s="4">
        <v>6</v>
      </c>
      <c r="X17" s="4">
        <v>4</v>
      </c>
      <c r="Y17" s="5"/>
      <c r="Z17" s="5"/>
      <c r="AA17" s="5"/>
      <c r="AB17" s="5"/>
      <c r="AC17" s="5"/>
      <c r="AD17" s="4"/>
      <c r="AE17" s="4"/>
      <c r="AF17" s="34">
        <f t="shared" si="9"/>
        <v>10</v>
      </c>
      <c r="AG17" s="6">
        <f t="shared" si="19"/>
        <v>5575.2129999999997</v>
      </c>
      <c r="AH17" s="4"/>
      <c r="AI17" s="6">
        <f t="shared" si="20"/>
        <v>500.86916999999994</v>
      </c>
      <c r="AJ17" s="4"/>
      <c r="AK17" s="6">
        <f t="shared" si="21"/>
        <v>55.65213</v>
      </c>
      <c r="AL17" s="6">
        <f t="shared" si="22"/>
        <v>55.65213</v>
      </c>
      <c r="AM17" s="7">
        <v>9</v>
      </c>
      <c r="AN17" s="6">
        <f t="shared" si="10"/>
        <v>2.8</v>
      </c>
      <c r="AO17" s="5"/>
      <c r="AP17" s="5">
        <v>170</v>
      </c>
      <c r="AQ17" s="5">
        <v>33.75</v>
      </c>
      <c r="AR17" s="5"/>
      <c r="AS17" s="5">
        <v>2.5</v>
      </c>
      <c r="AT17" s="6">
        <f t="shared" si="11"/>
        <v>4.5</v>
      </c>
      <c r="AU17" s="6">
        <f t="shared" si="12"/>
        <v>2</v>
      </c>
      <c r="AV17" s="6">
        <f t="shared" si="13"/>
        <v>0.25</v>
      </c>
      <c r="AW17" s="6">
        <f t="shared" si="14"/>
        <v>3</v>
      </c>
      <c r="AX17" s="6">
        <f t="shared" si="15"/>
        <v>0.5</v>
      </c>
      <c r="AY17" s="6">
        <f t="shared" si="16"/>
        <v>141.88510000000002</v>
      </c>
      <c r="AZ17" s="5"/>
      <c r="BA17" s="5"/>
      <c r="BB17" s="5"/>
      <c r="BC17" s="5"/>
      <c r="BD17" s="5"/>
      <c r="BE17" s="4"/>
      <c r="BF17" s="4"/>
      <c r="BG17" s="4"/>
      <c r="BH17" s="7"/>
      <c r="BI17" s="6">
        <f t="shared" si="23"/>
        <v>982.35852999999975</v>
      </c>
      <c r="BJ17" s="6">
        <f t="shared" si="24"/>
        <v>4592.8544700000002</v>
      </c>
      <c r="BK17" s="8" t="s">
        <v>107</v>
      </c>
      <c r="BL17" s="8" t="s">
        <v>51</v>
      </c>
      <c r="BM17" s="38"/>
      <c r="BN17" s="38"/>
      <c r="BO17" t="s">
        <v>119</v>
      </c>
      <c r="BQ17" s="2">
        <f t="shared" si="25"/>
        <v>825</v>
      </c>
      <c r="BT17" t="s">
        <v>138</v>
      </c>
    </row>
    <row r="18" spans="2:72" ht="24" customHeight="1">
      <c r="B18" t="str">
        <f t="shared" si="17"/>
        <v>محمد العرابى رزق</v>
      </c>
      <c r="C18" s="1">
        <v>545.65</v>
      </c>
      <c r="D18" s="3">
        <v>9</v>
      </c>
      <c r="E18" s="4"/>
      <c r="F18" s="5">
        <v>1762.31</v>
      </c>
      <c r="G18" s="5">
        <v>51.39</v>
      </c>
      <c r="H18" s="6">
        <f t="shared" si="0"/>
        <v>54.564999999999998</v>
      </c>
      <c r="I18" s="6">
        <f t="shared" si="1"/>
        <v>136.41249999999999</v>
      </c>
      <c r="J18" s="6">
        <f t="shared" si="2"/>
        <v>136.41</v>
      </c>
      <c r="K18" s="6">
        <f t="shared" si="3"/>
        <v>272.82499999999999</v>
      </c>
      <c r="L18" s="5">
        <v>954.87</v>
      </c>
      <c r="M18" s="28"/>
      <c r="N18" s="33">
        <f t="shared" si="4"/>
        <v>325</v>
      </c>
      <c r="O18" s="4">
        <v>150</v>
      </c>
      <c r="P18" s="4">
        <v>325</v>
      </c>
      <c r="Q18" s="34">
        <f t="shared" si="18"/>
        <v>350</v>
      </c>
      <c r="R18" s="4"/>
      <c r="S18" s="34">
        <f t="shared" si="5"/>
        <v>165</v>
      </c>
      <c r="T18" s="34">
        <f t="shared" si="6"/>
        <v>145</v>
      </c>
      <c r="U18" s="34">
        <f t="shared" si="7"/>
        <v>140</v>
      </c>
      <c r="V18" s="34" t="str">
        <f t="shared" si="8"/>
        <v/>
      </c>
      <c r="W18" s="4">
        <v>6</v>
      </c>
      <c r="X18" s="4">
        <v>4</v>
      </c>
      <c r="Y18" s="5"/>
      <c r="Z18" s="5"/>
      <c r="AA18" s="5"/>
      <c r="AB18" s="5"/>
      <c r="AC18" s="5"/>
      <c r="AD18" s="4"/>
      <c r="AE18" s="4"/>
      <c r="AF18" s="34">
        <f t="shared" si="9"/>
        <v>10</v>
      </c>
      <c r="AG18" s="6">
        <f t="shared" si="19"/>
        <v>4988.7824999999993</v>
      </c>
      <c r="AH18" s="4"/>
      <c r="AI18" s="6">
        <f t="shared" si="20"/>
        <v>448.09042499999993</v>
      </c>
      <c r="AJ18" s="4"/>
      <c r="AK18" s="6">
        <f t="shared" si="21"/>
        <v>49.787824999999998</v>
      </c>
      <c r="AL18" s="6">
        <f t="shared" si="22"/>
        <v>49.787824999999998</v>
      </c>
      <c r="AM18" s="7">
        <v>9</v>
      </c>
      <c r="AN18" s="6">
        <f t="shared" si="10"/>
        <v>2.8</v>
      </c>
      <c r="AO18" s="5"/>
      <c r="AP18" s="5">
        <v>139</v>
      </c>
      <c r="AQ18" s="5">
        <v>30.55</v>
      </c>
      <c r="AR18" s="5"/>
      <c r="AS18" s="5">
        <v>2</v>
      </c>
      <c r="AT18" s="6">
        <f t="shared" si="11"/>
        <v>4.5</v>
      </c>
      <c r="AU18" s="6">
        <f t="shared" si="12"/>
        <v>2</v>
      </c>
      <c r="AV18" s="6">
        <f t="shared" si="13"/>
        <v>0.25</v>
      </c>
      <c r="AW18" s="6">
        <f t="shared" si="14"/>
        <v>3</v>
      </c>
      <c r="AX18" s="6">
        <f t="shared" si="15"/>
        <v>0.5</v>
      </c>
      <c r="AY18" s="6">
        <f t="shared" si="16"/>
        <v>123.36170000000001</v>
      </c>
      <c r="AZ18" s="5"/>
      <c r="BA18" s="5"/>
      <c r="BB18" s="5"/>
      <c r="BC18" s="5"/>
      <c r="BD18" s="5"/>
      <c r="BE18" s="4"/>
      <c r="BF18" s="4"/>
      <c r="BG18" s="4"/>
      <c r="BH18" s="7"/>
      <c r="BI18" s="6">
        <f t="shared" si="23"/>
        <v>864.62777499999982</v>
      </c>
      <c r="BJ18" s="6">
        <f t="shared" si="24"/>
        <v>4124.1547249999994</v>
      </c>
      <c r="BK18" s="8" t="s">
        <v>108</v>
      </c>
      <c r="BL18" s="8" t="s">
        <v>51</v>
      </c>
      <c r="BM18" s="38"/>
      <c r="BN18" s="38"/>
      <c r="BO18" t="s">
        <v>119</v>
      </c>
      <c r="BQ18" s="2">
        <f t="shared" si="25"/>
        <v>825</v>
      </c>
    </row>
    <row r="19" spans="2:72" ht="24" customHeight="1">
      <c r="B19" t="str">
        <f t="shared" si="17"/>
        <v>حامد عبدالرحمن عاصى</v>
      </c>
      <c r="C19" s="1">
        <v>526.62</v>
      </c>
      <c r="D19" s="3">
        <v>10</v>
      </c>
      <c r="E19" s="4"/>
      <c r="F19" s="5">
        <v>1705.2</v>
      </c>
      <c r="G19" s="5">
        <v>49.48</v>
      </c>
      <c r="H19" s="6">
        <f t="shared" si="0"/>
        <v>52.662000000000006</v>
      </c>
      <c r="I19" s="6">
        <f t="shared" si="1"/>
        <v>131.655</v>
      </c>
      <c r="J19" s="6">
        <f t="shared" si="2"/>
        <v>131.66</v>
      </c>
      <c r="K19" s="6">
        <f t="shared" si="3"/>
        <v>263.31</v>
      </c>
      <c r="L19" s="5">
        <v>921.58</v>
      </c>
      <c r="M19" s="28"/>
      <c r="N19" s="33">
        <f t="shared" si="4"/>
        <v>350</v>
      </c>
      <c r="O19" s="4">
        <v>150</v>
      </c>
      <c r="P19" s="4">
        <v>300</v>
      </c>
      <c r="Q19" s="34">
        <f t="shared" si="18"/>
        <v>325</v>
      </c>
      <c r="R19" s="4"/>
      <c r="S19" s="34">
        <f t="shared" si="5"/>
        <v>125</v>
      </c>
      <c r="T19" s="34">
        <f t="shared" si="6"/>
        <v>150</v>
      </c>
      <c r="U19" s="34">
        <f t="shared" si="7"/>
        <v>120</v>
      </c>
      <c r="V19" s="34" t="str">
        <f t="shared" si="8"/>
        <v/>
      </c>
      <c r="W19" s="4">
        <v>6</v>
      </c>
      <c r="X19" s="4">
        <v>4</v>
      </c>
      <c r="Y19" s="5"/>
      <c r="Z19" s="5"/>
      <c r="AA19" s="5"/>
      <c r="AB19" s="5"/>
      <c r="AC19" s="5"/>
      <c r="AD19" s="4"/>
      <c r="AE19" s="4"/>
      <c r="AF19" s="34">
        <f t="shared" si="9"/>
        <v>10</v>
      </c>
      <c r="AG19" s="6">
        <f t="shared" si="19"/>
        <v>4795.5470000000005</v>
      </c>
      <c r="AH19" s="4"/>
      <c r="AI19" s="6">
        <f t="shared" si="20"/>
        <v>430.69923</v>
      </c>
      <c r="AJ19" s="4"/>
      <c r="AK19" s="6">
        <f t="shared" si="21"/>
        <v>47.855470000000004</v>
      </c>
      <c r="AL19" s="6">
        <f t="shared" si="22"/>
        <v>47.855470000000004</v>
      </c>
      <c r="AM19" s="7">
        <v>7.9</v>
      </c>
      <c r="AN19" s="6">
        <f t="shared" si="10"/>
        <v>2.4</v>
      </c>
      <c r="AO19" s="5"/>
      <c r="AP19" s="5">
        <v>129</v>
      </c>
      <c r="AQ19" s="5">
        <v>29.1</v>
      </c>
      <c r="AR19" s="5"/>
      <c r="AS19" s="5">
        <v>2</v>
      </c>
      <c r="AT19" s="6">
        <f t="shared" si="11"/>
        <v>4.5</v>
      </c>
      <c r="AU19" s="6">
        <f t="shared" si="12"/>
        <v>2</v>
      </c>
      <c r="AV19" s="6">
        <f t="shared" si="13"/>
        <v>0.25</v>
      </c>
      <c r="AW19" s="6">
        <f t="shared" si="14"/>
        <v>3</v>
      </c>
      <c r="AX19" s="6">
        <f t="shared" si="15"/>
        <v>0.5</v>
      </c>
      <c r="AY19" s="6">
        <f t="shared" si="16"/>
        <v>119.36400000000002</v>
      </c>
      <c r="AZ19" s="5"/>
      <c r="BA19" s="5"/>
      <c r="BB19" s="5"/>
      <c r="BC19" s="5"/>
      <c r="BD19" s="5"/>
      <c r="BE19" s="4"/>
      <c r="BF19" s="4"/>
      <c r="BG19" s="4"/>
      <c r="BH19" s="7">
        <v>0.02</v>
      </c>
      <c r="BI19" s="6">
        <f t="shared" si="23"/>
        <v>826.44416999999999</v>
      </c>
      <c r="BJ19" s="6">
        <f t="shared" si="24"/>
        <v>3969.1028300000007</v>
      </c>
      <c r="BK19" s="8" t="s">
        <v>109</v>
      </c>
      <c r="BL19" s="8" t="s">
        <v>52</v>
      </c>
      <c r="BM19" s="38"/>
      <c r="BN19" s="38"/>
      <c r="BO19" t="s">
        <v>119</v>
      </c>
      <c r="BQ19" s="2">
        <f t="shared" si="25"/>
        <v>775</v>
      </c>
    </row>
    <row r="20" spans="2:72" ht="24" customHeight="1">
      <c r="B20" t="str">
        <f t="shared" si="17"/>
        <v>ممدوح احمد الغريب</v>
      </c>
      <c r="C20" s="1">
        <v>592.20000000000005</v>
      </c>
      <c r="D20" s="3">
        <v>11</v>
      </c>
      <c r="E20" s="4"/>
      <c r="F20" s="5">
        <v>1857.16</v>
      </c>
      <c r="G20" s="5">
        <v>55.65</v>
      </c>
      <c r="H20" s="6">
        <f t="shared" si="0"/>
        <v>59.220000000000006</v>
      </c>
      <c r="I20" s="6">
        <f t="shared" si="1"/>
        <v>148.05000000000001</v>
      </c>
      <c r="J20" s="6">
        <f t="shared" si="2"/>
        <v>296.10000000000002</v>
      </c>
      <c r="K20" s="6">
        <f t="shared" si="3"/>
        <v>296.10000000000002</v>
      </c>
      <c r="L20" s="5">
        <v>740.25</v>
      </c>
      <c r="M20" s="28"/>
      <c r="N20" s="33">
        <f t="shared" si="4"/>
        <v>375</v>
      </c>
      <c r="O20" s="4">
        <v>150</v>
      </c>
      <c r="P20" s="4">
        <v>250</v>
      </c>
      <c r="Q20" s="34">
        <f t="shared" si="18"/>
        <v>275</v>
      </c>
      <c r="R20" s="4"/>
      <c r="S20" s="34">
        <f t="shared" si="5"/>
        <v>100</v>
      </c>
      <c r="T20" s="34">
        <f t="shared" si="6"/>
        <v>165</v>
      </c>
      <c r="U20" s="34">
        <f t="shared" si="7"/>
        <v>85</v>
      </c>
      <c r="V20" s="34" t="str">
        <f t="shared" si="8"/>
        <v/>
      </c>
      <c r="W20" s="4">
        <v>6</v>
      </c>
      <c r="X20" s="4">
        <v>4</v>
      </c>
      <c r="Y20" s="5"/>
      <c r="Z20" s="5"/>
      <c r="AA20" s="5"/>
      <c r="AB20" s="5"/>
      <c r="AC20" s="5"/>
      <c r="AD20" s="4"/>
      <c r="AE20" s="4"/>
      <c r="AF20" s="34">
        <f t="shared" si="9"/>
        <v>10</v>
      </c>
      <c r="AG20" s="6">
        <f t="shared" si="19"/>
        <v>4872.5300000000007</v>
      </c>
      <c r="AH20" s="4"/>
      <c r="AI20" s="6">
        <f t="shared" si="20"/>
        <v>437.62770000000006</v>
      </c>
      <c r="AJ20" s="4"/>
      <c r="AK20" s="6">
        <f t="shared" si="21"/>
        <v>48.62530000000001</v>
      </c>
      <c r="AL20" s="6">
        <f t="shared" si="22"/>
        <v>48.62530000000001</v>
      </c>
      <c r="AM20" s="7">
        <v>7</v>
      </c>
      <c r="AN20" s="6">
        <f t="shared" si="10"/>
        <v>1.7</v>
      </c>
      <c r="AO20" s="5"/>
      <c r="AP20" s="5">
        <v>132</v>
      </c>
      <c r="AQ20" s="5">
        <v>29.1</v>
      </c>
      <c r="AR20" s="5"/>
      <c r="AS20" s="5">
        <v>2</v>
      </c>
      <c r="AT20" s="6">
        <f t="shared" si="11"/>
        <v>4.5</v>
      </c>
      <c r="AU20" s="6">
        <f t="shared" si="12"/>
        <v>2</v>
      </c>
      <c r="AV20" s="6">
        <f t="shared" si="13"/>
        <v>0.25</v>
      </c>
      <c r="AW20" s="6">
        <f t="shared" si="14"/>
        <v>3</v>
      </c>
      <c r="AX20" s="6">
        <f t="shared" si="15"/>
        <v>0.5</v>
      </c>
      <c r="AY20" s="6">
        <f t="shared" si="16"/>
        <v>130.00120000000001</v>
      </c>
      <c r="AZ20" s="5"/>
      <c r="BA20" s="5"/>
      <c r="BB20" s="5"/>
      <c r="BC20" s="5"/>
      <c r="BD20" s="5"/>
      <c r="BE20" s="4"/>
      <c r="BF20" s="4"/>
      <c r="BG20" s="4"/>
      <c r="BH20" s="7"/>
      <c r="BI20" s="6">
        <f t="shared" si="23"/>
        <v>846.92950000000019</v>
      </c>
      <c r="BJ20" s="6">
        <f t="shared" si="24"/>
        <v>4025.6005000000005</v>
      </c>
      <c r="BK20" s="8" t="s">
        <v>110</v>
      </c>
      <c r="BL20" s="8" t="s">
        <v>53</v>
      </c>
      <c r="BM20" s="38"/>
      <c r="BN20" s="38"/>
      <c r="BO20" t="s">
        <v>119</v>
      </c>
      <c r="BQ20" s="2">
        <f t="shared" si="25"/>
        <v>675</v>
      </c>
    </row>
    <row r="21" spans="2:72" ht="24" customHeight="1">
      <c r="B21" t="str">
        <f t="shared" si="17"/>
        <v>نبيله محمود ابراهيم</v>
      </c>
      <c r="C21" s="1">
        <v>253</v>
      </c>
      <c r="D21" s="3">
        <v>12</v>
      </c>
      <c r="E21" s="4"/>
      <c r="F21" s="5">
        <v>1076.9100000000001</v>
      </c>
      <c r="G21" s="5">
        <v>24.42</v>
      </c>
      <c r="H21" s="6">
        <f t="shared" si="0"/>
        <v>25.3</v>
      </c>
      <c r="I21" s="6">
        <f t="shared" si="1"/>
        <v>63.25</v>
      </c>
      <c r="J21" s="6">
        <f t="shared" si="2"/>
        <v>126.5</v>
      </c>
      <c r="K21" s="6">
        <f t="shared" si="3"/>
        <v>126.5</v>
      </c>
      <c r="L21" s="5">
        <v>316.25</v>
      </c>
      <c r="M21" s="28"/>
      <c r="N21" s="33">
        <f t="shared" si="4"/>
        <v>375</v>
      </c>
      <c r="O21" s="4">
        <v>150</v>
      </c>
      <c r="P21" s="4">
        <v>200</v>
      </c>
      <c r="Q21" s="34">
        <f t="shared" si="18"/>
        <v>275</v>
      </c>
      <c r="R21" s="4">
        <v>137</v>
      </c>
      <c r="S21" s="34">
        <f t="shared" si="5"/>
        <v>100</v>
      </c>
      <c r="T21" s="34">
        <f t="shared" si="6"/>
        <v>165</v>
      </c>
      <c r="U21" s="34">
        <f t="shared" si="7"/>
        <v>85</v>
      </c>
      <c r="V21" s="34" t="str">
        <f t="shared" si="8"/>
        <v/>
      </c>
      <c r="W21" s="4">
        <v>2</v>
      </c>
      <c r="X21" s="4">
        <v>4</v>
      </c>
      <c r="Y21" s="5"/>
      <c r="Z21" s="5"/>
      <c r="AA21" s="5"/>
      <c r="AB21" s="5"/>
      <c r="AC21" s="5"/>
      <c r="AD21" s="4"/>
      <c r="AE21" s="4"/>
      <c r="AF21" s="34">
        <f t="shared" si="9"/>
        <v>10</v>
      </c>
      <c r="AG21" s="6">
        <f t="shared" si="19"/>
        <v>3262.13</v>
      </c>
      <c r="AH21" s="4"/>
      <c r="AI21" s="6">
        <f t="shared" si="20"/>
        <v>292.69170000000003</v>
      </c>
      <c r="AJ21" s="4"/>
      <c r="AK21" s="6">
        <f t="shared" si="21"/>
        <v>32.521300000000004</v>
      </c>
      <c r="AL21" s="6">
        <f t="shared" si="22"/>
        <v>32.521300000000004</v>
      </c>
      <c r="AM21" s="7">
        <v>7</v>
      </c>
      <c r="AN21" s="6">
        <f t="shared" si="10"/>
        <v>1.7</v>
      </c>
      <c r="AO21" s="5"/>
      <c r="AP21" s="5">
        <v>25.7</v>
      </c>
      <c r="AQ21" s="5">
        <v>20</v>
      </c>
      <c r="AR21" s="5"/>
      <c r="AS21" s="5">
        <v>1.5</v>
      </c>
      <c r="AT21" s="6">
        <f t="shared" si="11"/>
        <v>4.5</v>
      </c>
      <c r="AU21" s="6">
        <f t="shared" si="12"/>
        <v>2</v>
      </c>
      <c r="AV21" s="6">
        <f t="shared" si="13"/>
        <v>0.25</v>
      </c>
      <c r="AW21" s="6">
        <f t="shared" si="14"/>
        <v>3</v>
      </c>
      <c r="AX21" s="6">
        <f t="shared" si="15"/>
        <v>0.5</v>
      </c>
      <c r="AY21" s="6">
        <f t="shared" si="16"/>
        <v>75.383700000000019</v>
      </c>
      <c r="AZ21" s="5"/>
      <c r="BA21" s="5"/>
      <c r="BB21" s="5"/>
      <c r="BC21" s="5"/>
      <c r="BD21" s="5"/>
      <c r="BE21" s="4"/>
      <c r="BF21" s="4"/>
      <c r="BG21" s="4"/>
      <c r="BH21" s="7">
        <v>0.01</v>
      </c>
      <c r="BI21" s="6">
        <f t="shared" si="23"/>
        <v>499.27800000000002</v>
      </c>
      <c r="BJ21" s="6">
        <f t="shared" si="24"/>
        <v>2762.8519999999999</v>
      </c>
      <c r="BK21" s="8" t="s">
        <v>111</v>
      </c>
      <c r="BL21" s="8" t="s">
        <v>53</v>
      </c>
      <c r="BM21" s="38"/>
      <c r="BN21" s="38"/>
      <c r="BO21" t="s">
        <v>119</v>
      </c>
      <c r="BQ21" s="2">
        <f t="shared" si="25"/>
        <v>625</v>
      </c>
    </row>
    <row r="22" spans="2:72" ht="24" customHeight="1">
      <c r="B22" t="str">
        <f t="shared" si="17"/>
        <v>محمود مصطفى محمود</v>
      </c>
      <c r="C22" s="1">
        <v>264</v>
      </c>
      <c r="D22" s="3">
        <v>13</v>
      </c>
      <c r="E22" s="4"/>
      <c r="F22" s="5">
        <v>1141.53</v>
      </c>
      <c r="G22" s="5">
        <v>24.92</v>
      </c>
      <c r="H22" s="6">
        <f t="shared" si="0"/>
        <v>26.400000000000002</v>
      </c>
      <c r="I22" s="6">
        <f t="shared" si="1"/>
        <v>66</v>
      </c>
      <c r="J22" s="6">
        <f t="shared" si="2"/>
        <v>132</v>
      </c>
      <c r="K22" s="6">
        <f t="shared" si="3"/>
        <v>132</v>
      </c>
      <c r="L22" s="5">
        <v>330</v>
      </c>
      <c r="M22" s="28"/>
      <c r="N22" s="33">
        <f t="shared" si="4"/>
        <v>375</v>
      </c>
      <c r="O22" s="4">
        <v>150</v>
      </c>
      <c r="P22" s="4">
        <v>250</v>
      </c>
      <c r="Q22" s="34">
        <f t="shared" si="18"/>
        <v>275</v>
      </c>
      <c r="R22" s="4">
        <v>338</v>
      </c>
      <c r="S22" s="34">
        <f t="shared" si="5"/>
        <v>100</v>
      </c>
      <c r="T22" s="34">
        <f t="shared" si="6"/>
        <v>165</v>
      </c>
      <c r="U22" s="34">
        <f t="shared" si="7"/>
        <v>85</v>
      </c>
      <c r="V22" s="34" t="str">
        <f t="shared" si="8"/>
        <v/>
      </c>
      <c r="W22" s="4">
        <v>6</v>
      </c>
      <c r="X22" s="4">
        <v>4</v>
      </c>
      <c r="Y22" s="5"/>
      <c r="Z22" s="5"/>
      <c r="AA22" s="5"/>
      <c r="AB22" s="5"/>
      <c r="AC22" s="5"/>
      <c r="AD22" s="4"/>
      <c r="AE22" s="4"/>
      <c r="AF22" s="34">
        <f t="shared" si="9"/>
        <v>10</v>
      </c>
      <c r="AG22" s="6">
        <f t="shared" si="19"/>
        <v>3610.8500000000004</v>
      </c>
      <c r="AH22" s="4"/>
      <c r="AI22" s="6">
        <f t="shared" si="20"/>
        <v>324.07650000000001</v>
      </c>
      <c r="AJ22" s="4"/>
      <c r="AK22" s="6">
        <f t="shared" si="21"/>
        <v>36.008500000000005</v>
      </c>
      <c r="AL22" s="6">
        <f t="shared" si="22"/>
        <v>36.008500000000005</v>
      </c>
      <c r="AM22" s="7">
        <v>7</v>
      </c>
      <c r="AN22" s="6">
        <f t="shared" si="10"/>
        <v>1.7</v>
      </c>
      <c r="AO22" s="5"/>
      <c r="AP22" s="5">
        <v>35.4</v>
      </c>
      <c r="AQ22" s="5">
        <v>22.35</v>
      </c>
      <c r="AR22" s="5"/>
      <c r="AS22" s="5">
        <v>1.5</v>
      </c>
      <c r="AT22" s="6">
        <f t="shared" si="11"/>
        <v>4.5</v>
      </c>
      <c r="AU22" s="6">
        <f t="shared" si="12"/>
        <v>2</v>
      </c>
      <c r="AV22" s="6">
        <f t="shared" si="13"/>
        <v>0.25</v>
      </c>
      <c r="AW22" s="6">
        <f t="shared" si="14"/>
        <v>3</v>
      </c>
      <c r="AX22" s="6">
        <f t="shared" si="15"/>
        <v>0.5</v>
      </c>
      <c r="AY22" s="6">
        <f t="shared" si="16"/>
        <v>79.9071</v>
      </c>
      <c r="AZ22" s="5"/>
      <c r="BA22" s="5"/>
      <c r="BB22" s="5"/>
      <c r="BC22" s="5"/>
      <c r="BD22" s="5"/>
      <c r="BE22" s="4"/>
      <c r="BF22" s="4"/>
      <c r="BG22" s="4"/>
      <c r="BH22" s="7"/>
      <c r="BI22" s="6">
        <f t="shared" si="23"/>
        <v>554.20060000000001</v>
      </c>
      <c r="BJ22" s="6">
        <f t="shared" si="24"/>
        <v>3056.6494000000002</v>
      </c>
      <c r="BK22" s="8" t="s">
        <v>112</v>
      </c>
      <c r="BL22" s="8" t="s">
        <v>53</v>
      </c>
      <c r="BM22" s="38"/>
      <c r="BN22" s="38"/>
      <c r="BO22" t="s">
        <v>119</v>
      </c>
      <c r="BQ22" s="2">
        <f t="shared" si="25"/>
        <v>675</v>
      </c>
    </row>
    <row r="23" spans="2:72" ht="24" customHeight="1">
      <c r="B23" t="str">
        <f t="shared" si="17"/>
        <v>لبنى عبدالرحمن يوسف</v>
      </c>
      <c r="C23" s="1">
        <v>246</v>
      </c>
      <c r="D23" s="3">
        <v>14</v>
      </c>
      <c r="E23" s="9"/>
      <c r="F23" s="10">
        <v>1025.8599999999999</v>
      </c>
      <c r="G23" s="5">
        <v>4.8</v>
      </c>
      <c r="H23" s="6">
        <v>4.8</v>
      </c>
      <c r="I23" s="6">
        <f t="shared" si="1"/>
        <v>61.5</v>
      </c>
      <c r="J23" s="6">
        <f t="shared" si="2"/>
        <v>184.5</v>
      </c>
      <c r="K23" s="6">
        <f t="shared" si="3"/>
        <v>123</v>
      </c>
      <c r="L23" s="5">
        <v>246</v>
      </c>
      <c r="M23" s="29"/>
      <c r="N23" s="33">
        <f t="shared" si="4"/>
        <v>400</v>
      </c>
      <c r="O23" s="4">
        <v>150</v>
      </c>
      <c r="P23" s="4">
        <v>200</v>
      </c>
      <c r="Q23" s="34">
        <f t="shared" si="18"/>
        <v>225</v>
      </c>
      <c r="R23" s="9">
        <v>248</v>
      </c>
      <c r="S23" s="34">
        <f t="shared" si="5"/>
        <v>75</v>
      </c>
      <c r="T23" s="34">
        <f t="shared" si="6"/>
        <v>185</v>
      </c>
      <c r="U23" s="34">
        <f t="shared" si="7"/>
        <v>65</v>
      </c>
      <c r="V23" s="34" t="str">
        <f t="shared" si="8"/>
        <v/>
      </c>
      <c r="W23" s="4">
        <v>2</v>
      </c>
      <c r="X23" s="4">
        <v>4</v>
      </c>
      <c r="Y23" s="10"/>
      <c r="Z23" s="10"/>
      <c r="AA23" s="10"/>
      <c r="AB23" s="10"/>
      <c r="AC23" s="10"/>
      <c r="AD23" s="9"/>
      <c r="AE23" s="9"/>
      <c r="AF23" s="34">
        <f t="shared" si="9"/>
        <v>10</v>
      </c>
      <c r="AG23" s="6">
        <f t="shared" si="19"/>
        <v>3214.46</v>
      </c>
      <c r="AH23" s="4"/>
      <c r="AI23" s="6">
        <f t="shared" si="20"/>
        <v>288.40139999999997</v>
      </c>
      <c r="AJ23" s="4"/>
      <c r="AK23" s="6">
        <f t="shared" si="21"/>
        <v>32.044600000000003</v>
      </c>
      <c r="AL23" s="6">
        <f t="shared" si="22"/>
        <v>32.044600000000003</v>
      </c>
      <c r="AM23" s="7">
        <v>6.5</v>
      </c>
      <c r="AN23" s="6">
        <f t="shared" si="10"/>
        <v>1.3</v>
      </c>
      <c r="AO23" s="5"/>
      <c r="AP23" s="5">
        <v>24.4</v>
      </c>
      <c r="AQ23" s="5">
        <v>19.8</v>
      </c>
      <c r="AR23" s="5"/>
      <c r="AS23" s="5">
        <v>1.5</v>
      </c>
      <c r="AT23" s="6">
        <f t="shared" si="11"/>
        <v>4.5</v>
      </c>
      <c r="AU23" s="6">
        <f t="shared" si="12"/>
        <v>2</v>
      </c>
      <c r="AV23" s="6">
        <f t="shared" si="13"/>
        <v>0.25</v>
      </c>
      <c r="AW23" s="6">
        <f t="shared" si="14"/>
        <v>3</v>
      </c>
      <c r="AX23" s="6">
        <f t="shared" si="15"/>
        <v>0.5</v>
      </c>
      <c r="AY23" s="6">
        <f t="shared" si="16"/>
        <v>71.810199999999995</v>
      </c>
      <c r="AZ23" s="5"/>
      <c r="BA23" s="5"/>
      <c r="BB23" s="5"/>
      <c r="BC23" s="5"/>
      <c r="BD23" s="5"/>
      <c r="BE23" s="4"/>
      <c r="BF23" s="4"/>
      <c r="BG23" s="4"/>
      <c r="BH23" s="7">
        <v>0.01</v>
      </c>
      <c r="BI23" s="6">
        <f t="shared" si="23"/>
        <v>488.06079999999997</v>
      </c>
      <c r="BJ23" s="6">
        <f t="shared" si="24"/>
        <v>2726.3991999999998</v>
      </c>
      <c r="BK23" s="11" t="s">
        <v>113</v>
      </c>
      <c r="BL23" s="8" t="s">
        <v>54</v>
      </c>
      <c r="BM23" s="38"/>
      <c r="BN23" s="38"/>
      <c r="BO23" t="s">
        <v>119</v>
      </c>
      <c r="BQ23" s="2">
        <f t="shared" si="25"/>
        <v>575</v>
      </c>
    </row>
    <row r="24" spans="2:72" ht="24" customHeight="1">
      <c r="B24" t="str">
        <f t="shared" si="17"/>
        <v>نجلاء جلال محمود</v>
      </c>
      <c r="C24" s="1">
        <v>246</v>
      </c>
      <c r="D24" s="3">
        <v>15</v>
      </c>
      <c r="E24" s="9"/>
      <c r="F24" s="10">
        <v>1025.8599999999999</v>
      </c>
      <c r="G24" s="5">
        <v>4.8</v>
      </c>
      <c r="H24" s="6">
        <v>4.8</v>
      </c>
      <c r="I24" s="6">
        <f t="shared" si="1"/>
        <v>61.5</v>
      </c>
      <c r="J24" s="6">
        <f t="shared" si="2"/>
        <v>184.5</v>
      </c>
      <c r="K24" s="6">
        <f t="shared" si="3"/>
        <v>123</v>
      </c>
      <c r="L24" s="5">
        <v>246</v>
      </c>
      <c r="M24" s="29"/>
      <c r="N24" s="33">
        <f t="shared" si="4"/>
        <v>400</v>
      </c>
      <c r="O24" s="4">
        <v>150</v>
      </c>
      <c r="P24" s="4">
        <v>200</v>
      </c>
      <c r="Q24" s="34">
        <f t="shared" si="18"/>
        <v>225</v>
      </c>
      <c r="R24" s="9">
        <v>248</v>
      </c>
      <c r="S24" s="34">
        <f t="shared" si="5"/>
        <v>75</v>
      </c>
      <c r="T24" s="34">
        <f t="shared" si="6"/>
        <v>185</v>
      </c>
      <c r="U24" s="34">
        <f t="shared" si="7"/>
        <v>65</v>
      </c>
      <c r="V24" s="34" t="str">
        <f t="shared" si="8"/>
        <v/>
      </c>
      <c r="W24" s="4">
        <v>2</v>
      </c>
      <c r="X24" s="4">
        <v>4</v>
      </c>
      <c r="Y24" s="10"/>
      <c r="Z24" s="10"/>
      <c r="AA24" s="10"/>
      <c r="AB24" s="10"/>
      <c r="AC24" s="10"/>
      <c r="AD24" s="9"/>
      <c r="AE24" s="9"/>
      <c r="AF24" s="34">
        <f t="shared" si="9"/>
        <v>10</v>
      </c>
      <c r="AG24" s="6">
        <f t="shared" si="19"/>
        <v>3214.46</v>
      </c>
      <c r="AH24" s="4"/>
      <c r="AI24" s="6">
        <f t="shared" si="20"/>
        <v>288.40139999999997</v>
      </c>
      <c r="AJ24" s="4"/>
      <c r="AK24" s="6">
        <f t="shared" si="21"/>
        <v>32.044600000000003</v>
      </c>
      <c r="AL24" s="6">
        <f t="shared" si="22"/>
        <v>32.044600000000003</v>
      </c>
      <c r="AM24" s="7">
        <v>6.5</v>
      </c>
      <c r="AN24" s="6">
        <f t="shared" si="10"/>
        <v>1.3</v>
      </c>
      <c r="AO24" s="5"/>
      <c r="AP24" s="5">
        <v>24.4</v>
      </c>
      <c r="AQ24" s="5">
        <v>19.8</v>
      </c>
      <c r="AR24" s="5"/>
      <c r="AS24" s="5">
        <v>1.5</v>
      </c>
      <c r="AT24" s="6">
        <f t="shared" si="11"/>
        <v>4.5</v>
      </c>
      <c r="AU24" s="6">
        <f t="shared" si="12"/>
        <v>2</v>
      </c>
      <c r="AV24" s="6">
        <f t="shared" si="13"/>
        <v>0.25</v>
      </c>
      <c r="AW24" s="6">
        <f t="shared" si="14"/>
        <v>3</v>
      </c>
      <c r="AX24" s="6">
        <f t="shared" si="15"/>
        <v>0.5</v>
      </c>
      <c r="AY24" s="6">
        <f t="shared" si="16"/>
        <v>71.810199999999995</v>
      </c>
      <c r="AZ24" s="5"/>
      <c r="BA24" s="5"/>
      <c r="BB24" s="5"/>
      <c r="BC24" s="5"/>
      <c r="BD24" s="5"/>
      <c r="BE24" s="4"/>
      <c r="BF24" s="4"/>
      <c r="BG24" s="4"/>
      <c r="BH24" s="7">
        <v>0.01</v>
      </c>
      <c r="BI24" s="6">
        <f t="shared" si="23"/>
        <v>488.06079999999997</v>
      </c>
      <c r="BJ24" s="6">
        <f t="shared" si="24"/>
        <v>2726.3991999999998</v>
      </c>
      <c r="BK24" s="11" t="s">
        <v>114</v>
      </c>
      <c r="BL24" s="8" t="s">
        <v>54</v>
      </c>
      <c r="BM24" s="38"/>
      <c r="BN24" s="38"/>
      <c r="BO24" t="s">
        <v>119</v>
      </c>
      <c r="BQ24" s="2">
        <f t="shared" si="25"/>
        <v>575</v>
      </c>
    </row>
    <row r="25" spans="2:72" ht="24" customHeight="1">
      <c r="B25" t="str">
        <f t="shared" si="17"/>
        <v>ام الخير المغازى محمد</v>
      </c>
      <c r="C25" s="1">
        <v>262</v>
      </c>
      <c r="D25" s="3">
        <v>16</v>
      </c>
      <c r="E25" s="9"/>
      <c r="F25" s="10">
        <v>1161.6199999999999</v>
      </c>
      <c r="G25" s="5">
        <v>25.32</v>
      </c>
      <c r="H25" s="6">
        <f>IF(BO25="مدرس",C25*10%,"")</f>
        <v>26.200000000000003</v>
      </c>
      <c r="I25" s="6">
        <f t="shared" si="1"/>
        <v>65.5</v>
      </c>
      <c r="J25" s="6">
        <f t="shared" si="2"/>
        <v>131</v>
      </c>
      <c r="K25" s="6">
        <f t="shared" si="3"/>
        <v>131</v>
      </c>
      <c r="L25" s="5">
        <v>327.5</v>
      </c>
      <c r="M25" s="29"/>
      <c r="N25" s="33">
        <f t="shared" si="4"/>
        <v>375</v>
      </c>
      <c r="O25" s="4">
        <v>150</v>
      </c>
      <c r="P25" s="9">
        <v>250</v>
      </c>
      <c r="Q25" s="34">
        <f t="shared" si="18"/>
        <v>275</v>
      </c>
      <c r="R25" s="9">
        <v>336</v>
      </c>
      <c r="S25" s="34">
        <f t="shared" si="5"/>
        <v>100</v>
      </c>
      <c r="T25" s="34">
        <f t="shared" si="6"/>
        <v>165</v>
      </c>
      <c r="U25" s="34">
        <f t="shared" si="7"/>
        <v>85</v>
      </c>
      <c r="V25" s="34" t="str">
        <f t="shared" si="8"/>
        <v/>
      </c>
      <c r="W25" s="4">
        <v>2</v>
      </c>
      <c r="X25" s="4">
        <v>4</v>
      </c>
      <c r="Y25" s="10"/>
      <c r="Z25" s="10"/>
      <c r="AA25" s="10"/>
      <c r="AB25" s="10"/>
      <c r="AC25" s="10"/>
      <c r="AD25" s="9"/>
      <c r="AE25" s="9"/>
      <c r="AF25" s="34">
        <f t="shared" si="9"/>
        <v>10</v>
      </c>
      <c r="AG25" s="6">
        <f t="shared" si="19"/>
        <v>3620.14</v>
      </c>
      <c r="AH25" s="4"/>
      <c r="AI25" s="6">
        <f t="shared" si="20"/>
        <v>324.9126</v>
      </c>
      <c r="AJ25" s="4"/>
      <c r="AK25" s="6">
        <f t="shared" si="21"/>
        <v>36.101399999999998</v>
      </c>
      <c r="AL25" s="6">
        <f t="shared" si="22"/>
        <v>36.101399999999998</v>
      </c>
      <c r="AM25" s="7">
        <v>7</v>
      </c>
      <c r="AN25" s="6">
        <f t="shared" si="10"/>
        <v>1.7</v>
      </c>
      <c r="AO25" s="5"/>
      <c r="AP25" s="5">
        <v>35.799999999999997</v>
      </c>
      <c r="AQ25" s="5">
        <v>22.35</v>
      </c>
      <c r="AR25" s="5"/>
      <c r="AS25" s="5">
        <v>1.5</v>
      </c>
      <c r="AT25" s="6">
        <f t="shared" si="11"/>
        <v>4.5</v>
      </c>
      <c r="AU25" s="6">
        <f t="shared" si="12"/>
        <v>2</v>
      </c>
      <c r="AV25" s="6">
        <f t="shared" si="13"/>
        <v>0.25</v>
      </c>
      <c r="AW25" s="6">
        <f t="shared" si="14"/>
        <v>3</v>
      </c>
      <c r="AX25" s="6">
        <f t="shared" si="15"/>
        <v>0.5</v>
      </c>
      <c r="AY25" s="6">
        <f t="shared" si="16"/>
        <v>81.313400000000001</v>
      </c>
      <c r="AZ25" s="5"/>
      <c r="BA25" s="5"/>
      <c r="BB25" s="5"/>
      <c r="BC25" s="5"/>
      <c r="BD25" s="5"/>
      <c r="BE25" s="4"/>
      <c r="BF25" s="4"/>
      <c r="BG25" s="4"/>
      <c r="BH25" s="7">
        <v>0.01</v>
      </c>
      <c r="BI25" s="6">
        <f t="shared" si="23"/>
        <v>557.03880000000004</v>
      </c>
      <c r="BJ25" s="6">
        <f t="shared" si="24"/>
        <v>3063.1012000000001</v>
      </c>
      <c r="BK25" s="11" t="s">
        <v>115</v>
      </c>
      <c r="BL25" s="11" t="s">
        <v>53</v>
      </c>
      <c r="BM25" s="38"/>
      <c r="BN25" s="38"/>
      <c r="BO25" t="s">
        <v>119</v>
      </c>
      <c r="BQ25" s="2">
        <f t="shared" si="25"/>
        <v>675</v>
      </c>
    </row>
    <row r="26" spans="2:72" ht="24" customHeight="1">
      <c r="B26">
        <f t="shared" si="17"/>
        <v>0</v>
      </c>
      <c r="C26" s="1"/>
      <c r="D26" s="3"/>
      <c r="E26" s="9"/>
      <c r="F26" s="10"/>
      <c r="G26" s="5"/>
      <c r="H26" s="6" t="str">
        <f>IF(BO26="مدرس",C26*10%,"")</f>
        <v/>
      </c>
      <c r="I26" s="6" t="str">
        <f t="shared" si="1"/>
        <v/>
      </c>
      <c r="J26" s="6" t="str">
        <f t="shared" si="2"/>
        <v/>
      </c>
      <c r="K26" s="6" t="str">
        <f t="shared" si="3"/>
        <v/>
      </c>
      <c r="L26" s="5"/>
      <c r="M26" s="29"/>
      <c r="N26" s="33" t="str">
        <f t="shared" si="4"/>
        <v/>
      </c>
      <c r="O26" s="4"/>
      <c r="P26" s="9"/>
      <c r="Q26" s="34">
        <f t="shared" si="18"/>
        <v>0</v>
      </c>
      <c r="R26" s="9"/>
      <c r="S26" s="34" t="str">
        <f t="shared" si="5"/>
        <v/>
      </c>
      <c r="T26" s="34" t="str">
        <f t="shared" si="6"/>
        <v/>
      </c>
      <c r="U26" s="34" t="str">
        <f t="shared" si="7"/>
        <v/>
      </c>
      <c r="V26" s="34">
        <f t="shared" si="8"/>
        <v>0</v>
      </c>
      <c r="W26" s="4"/>
      <c r="X26" s="4"/>
      <c r="Y26" s="10"/>
      <c r="Z26" s="10"/>
      <c r="AA26" s="10"/>
      <c r="AB26" s="10"/>
      <c r="AC26" s="10"/>
      <c r="AD26" s="9"/>
      <c r="AE26" s="9"/>
      <c r="AF26" s="34" t="str">
        <f t="shared" si="9"/>
        <v/>
      </c>
      <c r="AG26" s="6">
        <f t="shared" si="19"/>
        <v>0</v>
      </c>
      <c r="AH26" s="4"/>
      <c r="AI26" s="6">
        <f t="shared" si="20"/>
        <v>0</v>
      </c>
      <c r="AJ26" s="4"/>
      <c r="AK26" s="6">
        <f t="shared" si="21"/>
        <v>0</v>
      </c>
      <c r="AL26" s="6">
        <f t="shared" si="22"/>
        <v>0</v>
      </c>
      <c r="AM26" s="7"/>
      <c r="AN26" s="6" t="str">
        <f t="shared" si="10"/>
        <v/>
      </c>
      <c r="AO26" s="5"/>
      <c r="AP26" s="5"/>
      <c r="AQ26" s="5"/>
      <c r="AR26" s="5"/>
      <c r="AS26" s="5"/>
      <c r="AT26" s="6" t="str">
        <f t="shared" si="11"/>
        <v/>
      </c>
      <c r="AU26" s="6" t="str">
        <f t="shared" si="12"/>
        <v/>
      </c>
      <c r="AV26" s="6" t="str">
        <f t="shared" si="13"/>
        <v/>
      </c>
      <c r="AW26" s="6" t="str">
        <f t="shared" si="14"/>
        <v/>
      </c>
      <c r="AX26" s="6" t="str">
        <f t="shared" si="15"/>
        <v/>
      </c>
      <c r="AY26" s="6" t="str">
        <f t="shared" si="16"/>
        <v/>
      </c>
      <c r="AZ26" s="5"/>
      <c r="BA26" s="5"/>
      <c r="BB26" s="5"/>
      <c r="BC26" s="5"/>
      <c r="BD26" s="5"/>
      <c r="BE26" s="4"/>
      <c r="BF26" s="4"/>
      <c r="BG26" s="4"/>
      <c r="BH26" s="51">
        <v>0.02</v>
      </c>
      <c r="BI26" s="49">
        <f t="shared" si="23"/>
        <v>0.02</v>
      </c>
      <c r="BJ26" s="50">
        <f t="shared" si="24"/>
        <v>-0.02</v>
      </c>
      <c r="BK26" s="11"/>
      <c r="BL26" s="11"/>
      <c r="BM26" s="38"/>
      <c r="BN26" s="38"/>
      <c r="BQ26" s="2"/>
    </row>
    <row r="27" spans="2:72" ht="24" customHeight="1">
      <c r="B27">
        <f t="shared" si="17"/>
        <v>0</v>
      </c>
      <c r="C27" s="1"/>
      <c r="D27" s="30"/>
      <c r="E27" s="31"/>
      <c r="F27" s="32">
        <f>SUM(F10:F25)</f>
        <v>26155.469999999998</v>
      </c>
      <c r="G27" s="32">
        <f t="shared" ref="G27:BF27" si="26">SUM(G10:G25)</f>
        <v>700.8599999999999</v>
      </c>
      <c r="H27" s="32">
        <f t="shared" si="26"/>
        <v>744.78700000000003</v>
      </c>
      <c r="I27" s="32">
        <f t="shared" si="26"/>
        <v>1960.9674999999997</v>
      </c>
      <c r="J27" s="32">
        <f t="shared" si="26"/>
        <v>2549.7800000000002</v>
      </c>
      <c r="K27" s="32">
        <f t="shared" si="26"/>
        <v>3921.9349999999995</v>
      </c>
      <c r="L27" s="52">
        <f t="shared" si="26"/>
        <v>13488.3</v>
      </c>
      <c r="M27" s="32">
        <f t="shared" si="26"/>
        <v>0</v>
      </c>
      <c r="N27" s="54">
        <f t="shared" si="26"/>
        <v>5450</v>
      </c>
      <c r="O27" s="54">
        <f t="shared" si="26"/>
        <v>2400</v>
      </c>
      <c r="P27" s="54">
        <f t="shared" si="26"/>
        <v>4650</v>
      </c>
      <c r="Q27" s="54">
        <f t="shared" si="26"/>
        <v>5150</v>
      </c>
      <c r="R27" s="54">
        <f t="shared" si="26"/>
        <v>1307</v>
      </c>
      <c r="S27" s="54">
        <f t="shared" si="26"/>
        <v>2235</v>
      </c>
      <c r="T27" s="54">
        <f t="shared" si="26"/>
        <v>2460</v>
      </c>
      <c r="U27" s="54">
        <f t="shared" si="26"/>
        <v>1925</v>
      </c>
      <c r="V27" s="32">
        <f t="shared" si="26"/>
        <v>0</v>
      </c>
      <c r="W27" s="54">
        <f t="shared" si="26"/>
        <v>76</v>
      </c>
      <c r="X27" s="54">
        <f t="shared" si="26"/>
        <v>64</v>
      </c>
      <c r="Y27" s="32">
        <f t="shared" si="26"/>
        <v>0</v>
      </c>
      <c r="Z27" s="32">
        <f t="shared" si="26"/>
        <v>0</v>
      </c>
      <c r="AA27" s="32">
        <f t="shared" si="26"/>
        <v>0</v>
      </c>
      <c r="AB27" s="32">
        <f t="shared" si="26"/>
        <v>0</v>
      </c>
      <c r="AC27" s="32">
        <f t="shared" si="26"/>
        <v>0</v>
      </c>
      <c r="AD27" s="32">
        <f t="shared" si="26"/>
        <v>0</v>
      </c>
      <c r="AE27" s="32">
        <f t="shared" si="26"/>
        <v>0</v>
      </c>
      <c r="AF27" s="54">
        <f t="shared" si="26"/>
        <v>160</v>
      </c>
      <c r="AG27" s="32">
        <f t="shared" si="26"/>
        <v>75399.099499999997</v>
      </c>
      <c r="AH27" s="32">
        <f t="shared" si="26"/>
        <v>0</v>
      </c>
      <c r="AI27" s="32">
        <f t="shared" si="26"/>
        <v>6771.5189549999996</v>
      </c>
      <c r="AJ27" s="32">
        <f t="shared" si="26"/>
        <v>0</v>
      </c>
      <c r="AK27" s="32">
        <f t="shared" si="26"/>
        <v>752.39099499999998</v>
      </c>
      <c r="AL27" s="32">
        <f t="shared" si="26"/>
        <v>752.39099499999998</v>
      </c>
      <c r="AM27" s="32">
        <f t="shared" si="26"/>
        <v>132.4</v>
      </c>
      <c r="AN27" s="32">
        <f t="shared" si="26"/>
        <v>38.5</v>
      </c>
      <c r="AO27" s="32">
        <f t="shared" si="26"/>
        <v>0</v>
      </c>
      <c r="AP27" s="32">
        <f t="shared" si="26"/>
        <v>1826.9000000000003</v>
      </c>
      <c r="AQ27" s="32">
        <f t="shared" si="26"/>
        <v>462.80000000000013</v>
      </c>
      <c r="AR27" s="32">
        <f t="shared" si="26"/>
        <v>0</v>
      </c>
      <c r="AS27" s="32">
        <f t="shared" si="26"/>
        <v>32</v>
      </c>
      <c r="AT27" s="32">
        <f t="shared" si="26"/>
        <v>72</v>
      </c>
      <c r="AU27" s="32">
        <f t="shared" si="26"/>
        <v>32</v>
      </c>
      <c r="AV27" s="32">
        <f t="shared" si="26"/>
        <v>4</v>
      </c>
      <c r="AW27" s="32">
        <f t="shared" si="26"/>
        <v>48</v>
      </c>
      <c r="AX27" s="32">
        <f t="shared" si="26"/>
        <v>8</v>
      </c>
      <c r="AY27" s="32">
        <f t="shared" si="26"/>
        <v>1830.8828999999998</v>
      </c>
      <c r="AZ27" s="32">
        <f t="shared" si="26"/>
        <v>9</v>
      </c>
      <c r="BA27" s="32">
        <f t="shared" si="26"/>
        <v>0</v>
      </c>
      <c r="BB27" s="32">
        <f t="shared" si="26"/>
        <v>0</v>
      </c>
      <c r="BC27" s="32">
        <f t="shared" si="26"/>
        <v>0</v>
      </c>
      <c r="BD27" s="32">
        <f t="shared" si="26"/>
        <v>0</v>
      </c>
      <c r="BE27" s="32">
        <f t="shared" si="26"/>
        <v>0</v>
      </c>
      <c r="BF27" s="32">
        <f t="shared" si="26"/>
        <v>0</v>
      </c>
      <c r="BG27" s="32"/>
      <c r="BH27" s="32">
        <f>SUM(BH10:BH26)</f>
        <v>0.17</v>
      </c>
      <c r="BI27" s="32">
        <f>SUM(BI10:BI26)</f>
        <v>12772.953845</v>
      </c>
      <c r="BJ27" s="32">
        <f>SUM(BJ10:BJ26)</f>
        <v>62626.145655</v>
      </c>
      <c r="BK27" s="32"/>
      <c r="BL27" s="32"/>
      <c r="BM27" s="153"/>
      <c r="BN27" s="153"/>
      <c r="BQ27" s="2"/>
    </row>
    <row r="28" spans="2:72" ht="24" customHeight="1">
      <c r="B28">
        <f t="shared" si="17"/>
        <v>0</v>
      </c>
      <c r="C28" s="1"/>
      <c r="D28" s="3"/>
      <c r="E28" s="9"/>
      <c r="F28" s="10"/>
      <c r="G28" s="5"/>
      <c r="H28" s="6"/>
      <c r="I28" s="6"/>
      <c r="J28" s="6"/>
      <c r="K28" s="6"/>
      <c r="L28" s="53"/>
      <c r="M28" s="29"/>
      <c r="N28" s="54"/>
      <c r="O28" s="9"/>
      <c r="P28" s="9"/>
      <c r="Q28" s="31"/>
      <c r="R28" s="9"/>
      <c r="S28" s="31"/>
      <c r="T28" s="31"/>
      <c r="U28" s="31"/>
      <c r="V28" s="31"/>
      <c r="W28" s="9"/>
      <c r="X28" s="9"/>
      <c r="Y28" s="10"/>
      <c r="Z28" s="10"/>
      <c r="AA28" s="10"/>
      <c r="AB28" s="10"/>
      <c r="AC28" s="10"/>
      <c r="AD28" s="9"/>
      <c r="AE28" s="9"/>
      <c r="AF28" s="31"/>
      <c r="AG28" s="6"/>
      <c r="AH28" s="4"/>
      <c r="AI28" s="6"/>
      <c r="AJ28" s="4"/>
      <c r="AK28" s="6"/>
      <c r="AL28" s="6"/>
      <c r="AM28" s="7"/>
      <c r="AN28" s="6"/>
      <c r="AO28" s="5"/>
      <c r="AP28" s="5"/>
      <c r="AQ28" s="5"/>
      <c r="AR28" s="5"/>
      <c r="AS28" s="5"/>
      <c r="AT28" s="6"/>
      <c r="AU28" s="6"/>
      <c r="AV28" s="6"/>
      <c r="AW28" s="6"/>
      <c r="AX28" s="6"/>
      <c r="AY28" s="6"/>
      <c r="AZ28" s="5"/>
      <c r="BA28" s="5"/>
      <c r="BB28" s="5"/>
      <c r="BC28" s="5"/>
      <c r="BD28" s="5"/>
      <c r="BE28" s="4"/>
      <c r="BF28" s="4"/>
      <c r="BG28" s="4"/>
      <c r="BH28" s="7"/>
      <c r="BI28" s="6"/>
      <c r="BJ28" s="6"/>
      <c r="BK28" s="11"/>
      <c r="BL28" s="11"/>
      <c r="BM28" s="38"/>
      <c r="BN28" s="38"/>
      <c r="BQ28" s="2"/>
    </row>
    <row r="29" spans="2:72" ht="24" customHeight="1">
      <c r="B29">
        <f t="shared" si="17"/>
        <v>0</v>
      </c>
      <c r="C29" s="1"/>
      <c r="D29" s="30"/>
      <c r="E29" s="31"/>
      <c r="F29" s="32">
        <f>اعدادى!F35</f>
        <v>35646.33</v>
      </c>
      <c r="G29" s="32">
        <f>اعدادى!G35</f>
        <v>994.9799999999999</v>
      </c>
      <c r="H29" s="32">
        <f>اعدادى!H35</f>
        <v>1061.0650000000003</v>
      </c>
      <c r="I29" s="32">
        <f>اعدادى!I35</f>
        <v>2652.6624999999999</v>
      </c>
      <c r="J29" s="32">
        <f>اعدادى!J35</f>
        <v>2975.0999999999995</v>
      </c>
      <c r="K29" s="32">
        <f>اعدادى!K35</f>
        <v>5305.3249999999998</v>
      </c>
      <c r="L29" s="52">
        <f>اعدادى!L35</f>
        <v>18485.48</v>
      </c>
      <c r="M29" s="32">
        <f>اعدادى!M35</f>
        <v>0</v>
      </c>
      <c r="N29" s="54">
        <f>اعدادى!N35</f>
        <v>7300</v>
      </c>
      <c r="O29" s="54">
        <f>اعدادى!O35</f>
        <v>3300</v>
      </c>
      <c r="P29" s="54">
        <f>اعدادى!P35</f>
        <v>6775</v>
      </c>
      <c r="Q29" s="54">
        <f>اعدادى!Q35</f>
        <v>7450</v>
      </c>
      <c r="R29" s="54">
        <f>اعدادى!R35</f>
        <v>1933</v>
      </c>
      <c r="S29" s="54">
        <f>اعدادى!S35</f>
        <v>3325</v>
      </c>
      <c r="T29" s="54">
        <f>اعدادى!T35</f>
        <v>3260</v>
      </c>
      <c r="U29" s="54">
        <f>اعدادى!U35</f>
        <v>2875</v>
      </c>
      <c r="V29" s="54">
        <f>اعدادى!V35</f>
        <v>0</v>
      </c>
      <c r="W29" s="54">
        <f>اعدادى!W35</f>
        <v>78</v>
      </c>
      <c r="X29" s="54">
        <f>اعدادى!X35</f>
        <v>88</v>
      </c>
      <c r="Y29" s="32">
        <f>اعدادى!Y35</f>
        <v>173.82</v>
      </c>
      <c r="Z29" s="32">
        <f>اعدادى!Z35</f>
        <v>0</v>
      </c>
      <c r="AA29" s="32">
        <f>اعدادى!AA35</f>
        <v>0</v>
      </c>
      <c r="AB29" s="32">
        <f>اعدادى!AB35</f>
        <v>0</v>
      </c>
      <c r="AC29" s="32">
        <f>اعدادى!AC35</f>
        <v>0</v>
      </c>
      <c r="AD29" s="32">
        <f>اعدادى!AD35</f>
        <v>0</v>
      </c>
      <c r="AE29" s="32">
        <f>اعدادى!AE35</f>
        <v>0</v>
      </c>
      <c r="AF29" s="54">
        <f>اعدادى!AF35</f>
        <v>220</v>
      </c>
      <c r="AG29" s="32">
        <f>اعدادى!AG35</f>
        <v>103898.7625</v>
      </c>
      <c r="AH29" s="32">
        <f>اعدادى!AH35</f>
        <v>0</v>
      </c>
      <c r="AI29" s="32">
        <f>اعدادى!AI35</f>
        <v>9331.0886249999985</v>
      </c>
      <c r="AJ29" s="32">
        <f>اعدادى!AJ35</f>
        <v>2.82</v>
      </c>
      <c r="AK29" s="32">
        <f>اعدادى!AK35</f>
        <v>1036.7876249999999</v>
      </c>
      <c r="AL29" s="32">
        <f>اعدادى!AL35</f>
        <v>1036.7876249999999</v>
      </c>
      <c r="AM29" s="32">
        <f>اعدادى!AM35</f>
        <v>189.20000000000002</v>
      </c>
      <c r="AN29" s="32">
        <f>اعدادى!AN35</f>
        <v>57.5</v>
      </c>
      <c r="AO29" s="32">
        <f>اعدادى!AO35</f>
        <v>90</v>
      </c>
      <c r="AP29" s="32">
        <f>اعدادى!AP35</f>
        <v>2427.8000000000002</v>
      </c>
      <c r="AQ29" s="32">
        <f>اعدادى!AQ35</f>
        <v>636.29999999999995</v>
      </c>
      <c r="AR29" s="32">
        <f>اعدادى!AR35</f>
        <v>0</v>
      </c>
      <c r="AS29" s="32">
        <f>اعدادى!AS35</f>
        <v>42.5</v>
      </c>
      <c r="AT29" s="32">
        <f>اعدادى!AT35</f>
        <v>99</v>
      </c>
      <c r="AU29" s="32">
        <f>اعدادى!AU35</f>
        <v>44</v>
      </c>
      <c r="AV29" s="32">
        <f>اعدادى!AV35</f>
        <v>5.5</v>
      </c>
      <c r="AW29" s="32">
        <f>اعدادى!AW35</f>
        <v>66</v>
      </c>
      <c r="AX29" s="32">
        <f>اعدادى!AX35</f>
        <v>11</v>
      </c>
      <c r="AY29" s="32">
        <f>اعدادى!AY35</f>
        <v>2495.2431000000006</v>
      </c>
      <c r="AZ29" s="32">
        <f>اعدادى!AZ35</f>
        <v>9</v>
      </c>
      <c r="BA29" s="32">
        <f>اعدادى!BA35</f>
        <v>250</v>
      </c>
      <c r="BB29" s="32">
        <f>اعدادى!BB35</f>
        <v>0</v>
      </c>
      <c r="BC29" s="32">
        <f>اعدادى!BC35</f>
        <v>0</v>
      </c>
      <c r="BD29" s="32">
        <f>اعدادى!BD35</f>
        <v>0</v>
      </c>
      <c r="BE29" s="32">
        <f>اعدادى!BE35</f>
        <v>0</v>
      </c>
      <c r="BF29" s="32">
        <f>اعدادى!BF35</f>
        <v>0</v>
      </c>
      <c r="BG29" s="32"/>
      <c r="BH29" s="32">
        <f>اعدادى!BH35</f>
        <v>0.44000000000000011</v>
      </c>
      <c r="BI29" s="32">
        <f>اعدادى!BI35</f>
        <v>17830.966974999996</v>
      </c>
      <c r="BJ29" s="32">
        <f>اعدادى!BJ35</f>
        <v>86067.79552499998</v>
      </c>
      <c r="BK29" s="32"/>
      <c r="BL29" s="32"/>
      <c r="BM29" s="153"/>
      <c r="BN29" s="153"/>
      <c r="BQ29" s="2"/>
    </row>
    <row r="30" spans="2:72" ht="24" customHeight="1">
      <c r="B30">
        <f t="shared" si="17"/>
        <v>0</v>
      </c>
      <c r="C30" s="1"/>
      <c r="D30" s="3"/>
      <c r="E30" s="9"/>
      <c r="F30" s="10"/>
      <c r="G30" s="5"/>
      <c r="H30" s="6"/>
      <c r="I30" s="6"/>
      <c r="J30" s="6"/>
      <c r="K30" s="6"/>
      <c r="L30" s="53"/>
      <c r="M30" s="29"/>
      <c r="N30" s="54"/>
      <c r="O30" s="9"/>
      <c r="P30" s="9"/>
      <c r="Q30" s="31"/>
      <c r="R30" s="9"/>
      <c r="S30" s="31"/>
      <c r="T30" s="31"/>
      <c r="U30" s="31"/>
      <c r="V30" s="31"/>
      <c r="W30" s="9"/>
      <c r="X30" s="9"/>
      <c r="Y30" s="10"/>
      <c r="Z30" s="10"/>
      <c r="AA30" s="10"/>
      <c r="AB30" s="10"/>
      <c r="AC30" s="10"/>
      <c r="AD30" s="9"/>
      <c r="AE30" s="9"/>
      <c r="AF30" s="31"/>
      <c r="AG30" s="6"/>
      <c r="AH30" s="4"/>
      <c r="AI30" s="6"/>
      <c r="AJ30" s="4"/>
      <c r="AK30" s="6"/>
      <c r="AL30" s="6"/>
      <c r="AM30" s="7"/>
      <c r="AN30" s="6"/>
      <c r="AO30" s="5"/>
      <c r="AP30" s="5"/>
      <c r="AQ30" s="5"/>
      <c r="AR30" s="5"/>
      <c r="AS30" s="5"/>
      <c r="AT30" s="6"/>
      <c r="AU30" s="6"/>
      <c r="AV30" s="6"/>
      <c r="AW30" s="6"/>
      <c r="AX30" s="6"/>
      <c r="AY30" s="6"/>
      <c r="AZ30" s="5"/>
      <c r="BA30" s="5"/>
      <c r="BB30" s="5"/>
      <c r="BC30" s="5"/>
      <c r="BD30" s="5"/>
      <c r="BE30" s="4"/>
      <c r="BF30" s="4"/>
      <c r="BG30" s="4"/>
      <c r="BH30" s="7"/>
      <c r="BI30" s="6"/>
      <c r="BJ30" s="6"/>
      <c r="BK30" s="11"/>
      <c r="BL30" s="11"/>
      <c r="BM30" s="38"/>
      <c r="BN30" s="38"/>
      <c r="BQ30" s="2"/>
    </row>
    <row r="31" spans="2:72" ht="24" customHeight="1">
      <c r="B31">
        <f t="shared" si="17"/>
        <v>0</v>
      </c>
      <c r="C31" s="1"/>
      <c r="D31" s="30"/>
      <c r="E31" s="31"/>
      <c r="F31" s="32">
        <f>'اعدادى 1'!F34</f>
        <v>13798.490000000002</v>
      </c>
      <c r="G31" s="32">
        <f>'اعدادى 1'!G34</f>
        <v>287.65000000000003</v>
      </c>
      <c r="H31" s="32">
        <f>'اعدادى 1'!H34</f>
        <v>300.09800000000007</v>
      </c>
      <c r="I31" s="32">
        <f>'اعدادى 1'!I34</f>
        <v>849.245</v>
      </c>
      <c r="J31" s="32">
        <f>'اعدادى 1'!J34</f>
        <v>1546.25</v>
      </c>
      <c r="K31" s="32">
        <f>'اعدادى 1'!K34</f>
        <v>1698.49</v>
      </c>
      <c r="L31" s="52">
        <f>'اعدادى 1'!L34</f>
        <v>4145.55</v>
      </c>
      <c r="M31" s="32">
        <f>'اعدادى 1'!M34</f>
        <v>40</v>
      </c>
      <c r="N31" s="54">
        <f>'اعدادى 1'!N34</f>
        <v>3700</v>
      </c>
      <c r="O31" s="54">
        <f>'اعدادى 1'!O34</f>
        <v>3150</v>
      </c>
      <c r="P31" s="54">
        <f>'اعدادى 1'!P34</f>
        <v>4950</v>
      </c>
      <c r="Q31" s="54">
        <f>'اعدادى 1'!Q34</f>
        <v>5625</v>
      </c>
      <c r="R31" s="54">
        <f>'اعدادى 1'!R34</f>
        <v>4042</v>
      </c>
      <c r="S31" s="54">
        <f>'اعدادى 1'!S34</f>
        <v>1215</v>
      </c>
      <c r="T31" s="54">
        <f>'اعدادى 1'!T34</f>
        <v>2005</v>
      </c>
      <c r="U31" s="54">
        <f>'اعدادى 1'!U34</f>
        <v>1050</v>
      </c>
      <c r="V31" s="54">
        <f>'اعدادى 1'!V34</f>
        <v>600</v>
      </c>
      <c r="W31" s="54">
        <f>'اعدادى 1'!W34</f>
        <v>36</v>
      </c>
      <c r="X31" s="54">
        <f>'اعدادى 1'!X34</f>
        <v>48</v>
      </c>
      <c r="Y31" s="32">
        <f>'اعدادى 1'!Y34</f>
        <v>177.07999999999998</v>
      </c>
      <c r="Z31" s="32">
        <f>'اعدادى 1'!Z34</f>
        <v>21820.82</v>
      </c>
      <c r="AA31" s="32">
        <f>'اعدادى 1'!AA34</f>
        <v>2207.9600000000005</v>
      </c>
      <c r="AB31" s="32">
        <f>'اعدادى 1'!AB34</f>
        <v>465.56</v>
      </c>
      <c r="AC31" s="32">
        <f>'اعدادى 1'!AC34</f>
        <v>227.83</v>
      </c>
      <c r="AD31" s="32">
        <f>'اعدادى 1'!AD34</f>
        <v>385</v>
      </c>
      <c r="AE31" s="32">
        <f>'اعدادى 1'!AE34</f>
        <v>200</v>
      </c>
      <c r="AF31" s="54">
        <f>'اعدادى 1'!AF34</f>
        <v>120</v>
      </c>
      <c r="AG31" s="32">
        <f>'اعدادى 1'!AG34</f>
        <v>74691.023000000016</v>
      </c>
      <c r="AH31" s="32">
        <f>'اعدادى 1'!AH34</f>
        <v>0</v>
      </c>
      <c r="AI31" s="32">
        <f>'اعدادى 1'!AI34</f>
        <v>6711.392069999999</v>
      </c>
      <c r="AJ31" s="32">
        <f>'اعدادى 1'!AJ34</f>
        <v>0</v>
      </c>
      <c r="AK31" s="32">
        <f>'اعدادى 1'!AK34</f>
        <v>745.71022999999991</v>
      </c>
      <c r="AL31" s="32">
        <f>'اعدادى 1'!AL34</f>
        <v>745.71022999999991</v>
      </c>
      <c r="AM31" s="32">
        <f>'اعدادى 1'!AM34</f>
        <v>130.4</v>
      </c>
      <c r="AN31" s="32">
        <f>'اعدادى 1'!AN34</f>
        <v>21</v>
      </c>
      <c r="AO31" s="32">
        <f>'اعدادى 1'!AO34</f>
        <v>13.26</v>
      </c>
      <c r="AP31" s="32">
        <f>'اعدادى 1'!AP34</f>
        <v>750</v>
      </c>
      <c r="AQ31" s="32">
        <f>'اعدادى 1'!AQ34</f>
        <v>495.59999999999997</v>
      </c>
      <c r="AR31" s="32">
        <f>'اعدادى 1'!AR34</f>
        <v>70</v>
      </c>
      <c r="AS31" s="32">
        <f>'اعدادى 1'!AS34</f>
        <v>32.5</v>
      </c>
      <c r="AT31" s="32">
        <f>'اعدادى 1'!AT34</f>
        <v>54</v>
      </c>
      <c r="AU31" s="32">
        <f>'اعدادى 1'!AU34</f>
        <v>24</v>
      </c>
      <c r="AV31" s="32">
        <f>'اعدادى 1'!AV34</f>
        <v>3</v>
      </c>
      <c r="AW31" s="32">
        <f>'اعدادى 1'!AW34</f>
        <v>36</v>
      </c>
      <c r="AX31" s="32">
        <f>'اعدادى 1'!AX34</f>
        <v>6</v>
      </c>
      <c r="AY31" s="32">
        <f>'اعدادى 1'!AY34</f>
        <v>965.89430000000027</v>
      </c>
      <c r="AZ31" s="32">
        <f>'اعدادى 1'!AZ34</f>
        <v>9</v>
      </c>
      <c r="BA31" s="32">
        <f>'اعدادى 1'!BA34</f>
        <v>0</v>
      </c>
      <c r="BB31" s="32">
        <f>'اعدادى 1'!BB34</f>
        <v>2</v>
      </c>
      <c r="BC31" s="32">
        <f>'اعدادى 1'!BC34</f>
        <v>3</v>
      </c>
      <c r="BD31" s="32">
        <f>'اعدادى 1'!BD34</f>
        <v>41.45</v>
      </c>
      <c r="BE31" s="32">
        <f>'اعدادى 1'!BE34</f>
        <v>0</v>
      </c>
      <c r="BF31" s="32">
        <f>'اعدادى 1'!BF34</f>
        <v>265.43</v>
      </c>
      <c r="BG31" s="32"/>
      <c r="BH31" s="32">
        <f>'اعدادى 1'!BH34</f>
        <v>0.33</v>
      </c>
      <c r="BI31" s="32">
        <f>'اعدادى 1'!BI34</f>
        <v>11125.676829999999</v>
      </c>
      <c r="BJ31" s="32">
        <f>'اعدادى 1'!BJ34</f>
        <v>63565.346169999997</v>
      </c>
      <c r="BK31" s="32">
        <f>'اعدادى 1'!BK34</f>
        <v>0</v>
      </c>
      <c r="BL31" s="32">
        <f>'اعدادى 1'!BL34</f>
        <v>0</v>
      </c>
      <c r="BM31" s="153"/>
      <c r="BN31" s="153"/>
      <c r="BQ31" s="2"/>
    </row>
    <row r="32" spans="2:72" ht="24" customHeight="1">
      <c r="B32">
        <f t="shared" si="17"/>
        <v>0</v>
      </c>
      <c r="C32" s="1"/>
      <c r="D32" s="3"/>
      <c r="E32" s="9"/>
      <c r="F32" s="10"/>
      <c r="G32" s="5"/>
      <c r="H32" s="6"/>
      <c r="I32" s="6"/>
      <c r="J32" s="6"/>
      <c r="K32" s="6"/>
      <c r="L32" s="53"/>
      <c r="M32" s="29"/>
      <c r="N32" s="54"/>
      <c r="O32" s="9"/>
      <c r="P32" s="9"/>
      <c r="Q32" s="31"/>
      <c r="R32" s="9"/>
      <c r="S32" s="31"/>
      <c r="T32" s="31"/>
      <c r="U32" s="31"/>
      <c r="V32" s="31"/>
      <c r="W32" s="9"/>
      <c r="X32" s="9"/>
      <c r="Y32" s="10"/>
      <c r="Z32" s="10"/>
      <c r="AA32" s="10"/>
      <c r="AB32" s="10"/>
      <c r="AC32" s="10"/>
      <c r="AD32" s="9"/>
      <c r="AE32" s="9"/>
      <c r="AF32" s="31"/>
      <c r="AG32" s="6"/>
      <c r="AH32" s="4"/>
      <c r="AI32" s="6"/>
      <c r="AJ32" s="4"/>
      <c r="AK32" s="6"/>
      <c r="AL32" s="6"/>
      <c r="AM32" s="7"/>
      <c r="AN32" s="6"/>
      <c r="AO32" s="5"/>
      <c r="AP32" s="5"/>
      <c r="AQ32" s="5"/>
      <c r="AR32" s="5"/>
      <c r="AS32" s="5"/>
      <c r="AT32" s="6"/>
      <c r="AU32" s="6"/>
      <c r="AV32" s="6"/>
      <c r="AW32" s="6"/>
      <c r="AX32" s="6"/>
      <c r="AY32" s="6"/>
      <c r="AZ32" s="5"/>
      <c r="BA32" s="5"/>
      <c r="BB32" s="5"/>
      <c r="BC32" s="5"/>
      <c r="BD32" s="5"/>
      <c r="BE32" s="4"/>
      <c r="BF32" s="4"/>
      <c r="BG32" s="4"/>
      <c r="BH32" s="7"/>
      <c r="BI32" s="6"/>
      <c r="BJ32" s="6"/>
      <c r="BK32" s="11"/>
      <c r="BL32" s="11"/>
      <c r="BM32" s="38"/>
      <c r="BN32" s="38"/>
      <c r="BQ32" s="2"/>
    </row>
    <row r="33" spans="2:69" ht="24" customHeight="1">
      <c r="B33">
        <f t="shared" si="17"/>
        <v>0</v>
      </c>
      <c r="C33" s="1"/>
      <c r="D33" s="3"/>
      <c r="E33" s="9"/>
      <c r="F33" s="10"/>
      <c r="G33" s="5"/>
      <c r="H33" s="6"/>
      <c r="I33" s="6"/>
      <c r="J33" s="6"/>
      <c r="K33" s="6"/>
      <c r="L33" s="53"/>
      <c r="M33" s="29"/>
      <c r="N33" s="54"/>
      <c r="O33" s="9"/>
      <c r="P33" s="9"/>
      <c r="Q33" s="31"/>
      <c r="R33" s="9"/>
      <c r="S33" s="31"/>
      <c r="T33" s="31"/>
      <c r="U33" s="31"/>
      <c r="V33" s="31"/>
      <c r="W33" s="9"/>
      <c r="X33" s="9"/>
      <c r="Y33" s="10"/>
      <c r="Z33" s="10"/>
      <c r="AA33" s="10"/>
      <c r="AB33" s="10"/>
      <c r="AC33" s="10"/>
      <c r="AD33" s="9"/>
      <c r="AE33" s="9"/>
      <c r="AF33" s="34"/>
      <c r="AG33" s="6"/>
      <c r="AH33" s="4"/>
      <c r="AI33" s="6"/>
      <c r="AJ33" s="4"/>
      <c r="AK33" s="6"/>
      <c r="AL33" s="6"/>
      <c r="AM33" s="7"/>
      <c r="AN33" s="6"/>
      <c r="AO33" s="5"/>
      <c r="AP33" s="5"/>
      <c r="AQ33" s="5"/>
      <c r="AR33" s="5"/>
      <c r="AS33" s="5"/>
      <c r="AT33" s="6"/>
      <c r="AU33" s="6"/>
      <c r="AV33" s="6"/>
      <c r="AW33" s="6"/>
      <c r="AX33" s="6"/>
      <c r="AY33" s="6"/>
      <c r="AZ33" s="5"/>
      <c r="BA33" s="5"/>
      <c r="BB33" s="5"/>
      <c r="BC33" s="5"/>
      <c r="BD33" s="5"/>
      <c r="BE33" s="4"/>
      <c r="BF33" s="4"/>
      <c r="BG33" s="4"/>
      <c r="BH33" s="7"/>
      <c r="BI33" s="6"/>
      <c r="BJ33" s="6"/>
      <c r="BK33" s="11"/>
      <c r="BL33" s="11"/>
      <c r="BM33" s="38"/>
      <c r="BN33" s="38"/>
      <c r="BQ33" s="2"/>
    </row>
    <row r="34" spans="2:69" ht="24" customHeight="1">
      <c r="B34">
        <f t="shared" si="17"/>
        <v>0</v>
      </c>
      <c r="C34" s="1"/>
      <c r="D34" s="3"/>
      <c r="E34" s="9"/>
      <c r="F34" s="10"/>
      <c r="G34" s="5"/>
      <c r="H34" s="6"/>
      <c r="I34" s="6"/>
      <c r="J34" s="6"/>
      <c r="K34" s="6"/>
      <c r="L34" s="5"/>
      <c r="M34" s="29"/>
      <c r="N34" s="33"/>
      <c r="O34" s="9"/>
      <c r="P34" s="9"/>
      <c r="Q34" s="34"/>
      <c r="R34" s="9"/>
      <c r="S34" s="34"/>
      <c r="T34" s="34"/>
      <c r="U34" s="34"/>
      <c r="V34" s="34"/>
      <c r="W34" s="4"/>
      <c r="X34" s="9"/>
      <c r="Y34" s="10"/>
      <c r="Z34" s="10"/>
      <c r="AA34" s="10"/>
      <c r="AB34" s="10"/>
      <c r="AC34" s="10"/>
      <c r="AD34" s="9"/>
      <c r="AE34" s="9"/>
      <c r="AF34" s="34"/>
      <c r="AG34" s="6"/>
      <c r="AH34" s="4"/>
      <c r="AI34" s="6"/>
      <c r="AJ34" s="4"/>
      <c r="AK34" s="6"/>
      <c r="AL34" s="6"/>
      <c r="AM34" s="7"/>
      <c r="AN34" s="6"/>
      <c r="AO34" s="5"/>
      <c r="AP34" s="5"/>
      <c r="AQ34" s="5"/>
      <c r="AR34" s="5"/>
      <c r="AS34" s="5"/>
      <c r="AT34" s="6"/>
      <c r="AU34" s="6"/>
      <c r="AV34" s="6"/>
      <c r="AW34" s="6"/>
      <c r="AX34" s="6"/>
      <c r="AY34" s="6"/>
      <c r="AZ34" s="5"/>
      <c r="BA34" s="5"/>
      <c r="BB34" s="5"/>
      <c r="BC34" s="5"/>
      <c r="BD34" s="5"/>
      <c r="BE34" s="4"/>
      <c r="BF34" s="4"/>
      <c r="BG34" s="4"/>
      <c r="BH34" s="7"/>
      <c r="BI34" s="6"/>
      <c r="BJ34" s="6"/>
      <c r="BK34" s="11"/>
      <c r="BL34" s="11"/>
      <c r="BM34" s="38"/>
      <c r="BN34" s="38"/>
      <c r="BQ34" s="2"/>
    </row>
    <row r="35" spans="2:69" s="1" customFormat="1" ht="24" customHeight="1" thickBot="1">
      <c r="D35" s="12"/>
      <c r="E35" s="13"/>
      <c r="F35" s="13">
        <f>SUM(F27:F34)</f>
        <v>75600.290000000008</v>
      </c>
      <c r="G35" s="13">
        <f t="shared" ref="G35:BF35" si="27">SUM(G27:G34)</f>
        <v>1983.4899999999998</v>
      </c>
      <c r="H35" s="13">
        <f t="shared" si="27"/>
        <v>2105.9500000000003</v>
      </c>
      <c r="I35" s="13">
        <f t="shared" si="27"/>
        <v>5462.8749999999991</v>
      </c>
      <c r="J35" s="13">
        <f t="shared" si="27"/>
        <v>7071.1299999999992</v>
      </c>
      <c r="K35" s="13">
        <f t="shared" si="27"/>
        <v>10925.749999999998</v>
      </c>
      <c r="L35" s="13">
        <f t="shared" si="27"/>
        <v>36119.33</v>
      </c>
      <c r="M35" s="13">
        <f t="shared" si="27"/>
        <v>40</v>
      </c>
      <c r="N35" s="14">
        <f t="shared" si="27"/>
        <v>16450</v>
      </c>
      <c r="O35" s="14">
        <f t="shared" si="27"/>
        <v>8850</v>
      </c>
      <c r="P35" s="14">
        <f t="shared" si="27"/>
        <v>16375</v>
      </c>
      <c r="Q35" s="14">
        <f t="shared" si="27"/>
        <v>18225</v>
      </c>
      <c r="R35" s="14">
        <f t="shared" si="27"/>
        <v>7282</v>
      </c>
      <c r="S35" s="14">
        <f t="shared" si="27"/>
        <v>6775</v>
      </c>
      <c r="T35" s="14">
        <f t="shared" si="27"/>
        <v>7725</v>
      </c>
      <c r="U35" s="14">
        <f t="shared" si="27"/>
        <v>5850</v>
      </c>
      <c r="V35" s="14">
        <f t="shared" si="27"/>
        <v>600</v>
      </c>
      <c r="W35" s="14">
        <f t="shared" si="27"/>
        <v>190</v>
      </c>
      <c r="X35" s="14">
        <f t="shared" si="27"/>
        <v>200</v>
      </c>
      <c r="Y35" s="13">
        <f t="shared" si="27"/>
        <v>350.9</v>
      </c>
      <c r="Z35" s="13">
        <f t="shared" si="27"/>
        <v>21820.82</v>
      </c>
      <c r="AA35" s="13">
        <f t="shared" si="27"/>
        <v>2207.9600000000005</v>
      </c>
      <c r="AB35" s="13">
        <f t="shared" si="27"/>
        <v>465.56</v>
      </c>
      <c r="AC35" s="13">
        <f t="shared" si="27"/>
        <v>227.83</v>
      </c>
      <c r="AD35" s="13">
        <f t="shared" si="27"/>
        <v>385</v>
      </c>
      <c r="AE35" s="13">
        <f t="shared" si="27"/>
        <v>200</v>
      </c>
      <c r="AF35" s="14">
        <f t="shared" si="27"/>
        <v>500</v>
      </c>
      <c r="AG35" s="13">
        <v>253988.88</v>
      </c>
      <c r="AH35" s="13">
        <f t="shared" si="27"/>
        <v>0</v>
      </c>
      <c r="AI35" s="13">
        <f t="shared" si="27"/>
        <v>22813.999649999998</v>
      </c>
      <c r="AJ35" s="13">
        <f t="shared" si="27"/>
        <v>2.82</v>
      </c>
      <c r="AK35" s="13">
        <f t="shared" si="27"/>
        <v>2534.8888499999998</v>
      </c>
      <c r="AL35" s="13">
        <f t="shared" si="27"/>
        <v>2534.8888499999998</v>
      </c>
      <c r="AM35" s="13">
        <f t="shared" si="27"/>
        <v>452</v>
      </c>
      <c r="AN35" s="13">
        <f t="shared" si="27"/>
        <v>117</v>
      </c>
      <c r="AO35" s="13">
        <f t="shared" si="27"/>
        <v>103.26</v>
      </c>
      <c r="AP35" s="13">
        <f t="shared" si="27"/>
        <v>5004.7000000000007</v>
      </c>
      <c r="AQ35" s="13">
        <f t="shared" si="27"/>
        <v>1594.7</v>
      </c>
      <c r="AR35" s="13">
        <f t="shared" si="27"/>
        <v>70</v>
      </c>
      <c r="AS35" s="13">
        <f t="shared" si="27"/>
        <v>107</v>
      </c>
      <c r="AT35" s="13">
        <f t="shared" si="27"/>
        <v>225</v>
      </c>
      <c r="AU35" s="13">
        <f t="shared" si="27"/>
        <v>100</v>
      </c>
      <c r="AV35" s="13">
        <f t="shared" si="27"/>
        <v>12.5</v>
      </c>
      <c r="AW35" s="13">
        <f t="shared" si="27"/>
        <v>150</v>
      </c>
      <c r="AX35" s="13">
        <f t="shared" si="27"/>
        <v>25</v>
      </c>
      <c r="AY35" s="13">
        <f t="shared" si="27"/>
        <v>5292.0203000000001</v>
      </c>
      <c r="AZ35" s="13">
        <f t="shared" si="27"/>
        <v>27</v>
      </c>
      <c r="BA35" s="13">
        <f t="shared" si="27"/>
        <v>250</v>
      </c>
      <c r="BB35" s="13">
        <f t="shared" si="27"/>
        <v>2</v>
      </c>
      <c r="BC35" s="13">
        <f t="shared" si="27"/>
        <v>3</v>
      </c>
      <c r="BD35" s="13">
        <f t="shared" si="27"/>
        <v>41.45</v>
      </c>
      <c r="BE35" s="13">
        <f t="shared" si="27"/>
        <v>0</v>
      </c>
      <c r="BF35" s="13">
        <f t="shared" si="27"/>
        <v>265.43</v>
      </c>
      <c r="BG35" s="13"/>
      <c r="BH35" s="13">
        <v>0.93</v>
      </c>
      <c r="BI35" s="13">
        <v>41729.58</v>
      </c>
      <c r="BJ35" s="6">
        <v>212259.3</v>
      </c>
      <c r="BK35" s="15"/>
      <c r="BL35" s="15"/>
      <c r="BM35" s="152"/>
      <c r="BN35" s="152"/>
      <c r="BQ35" s="2"/>
    </row>
    <row r="36" spans="2:69" ht="15.75" thickTop="1"/>
    <row r="39" spans="2:69">
      <c r="AY39" s="1"/>
    </row>
  </sheetData>
  <mergeCells count="10">
    <mergeCell ref="D7:D9"/>
    <mergeCell ref="E7:E9"/>
    <mergeCell ref="F7:F8"/>
    <mergeCell ref="G7:AF7"/>
    <mergeCell ref="AH7:AQ7"/>
    <mergeCell ref="AR7:BH7"/>
    <mergeCell ref="BI7:BI8"/>
    <mergeCell ref="BJ7:BJ8"/>
    <mergeCell ref="BK7:BK9"/>
    <mergeCell ref="BL7:BL9"/>
  </mergeCells>
  <dataValidations count="1">
    <dataValidation type="list" allowBlank="1" showInputMessage="1" showErrorMessage="1" sqref="BL10:BN30 BL32:BN34">
      <formula1>$BT$10:$BT$17</formula1>
    </dataValidation>
  </dataValidations>
  <printOptions horizontalCentered="1"/>
  <pageMargins left="0" right="0" top="0.25" bottom="0" header="0.3" footer="0.3"/>
  <pageSetup paperSize="9" scale="70" orientation="landscape" r:id="rId1"/>
  <colBreaks count="2" manualBreakCount="2">
    <brk id="25" min="5" max="34" man="1"/>
    <brk id="44" min="5" max="3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U33"/>
  <sheetViews>
    <sheetView showZeros="0" rightToLeft="1" view="pageBreakPreview" topLeftCell="A5" zoomScale="60" zoomScaleNormal="100" workbookViewId="0">
      <pane xSplit="3" ySplit="5" topLeftCell="G22" activePane="bottomRight" state="frozen"/>
      <selection activeCell="A5" sqref="A5"/>
      <selection pane="topRight" activeCell="C5" sqref="C5"/>
      <selection pane="bottomLeft" activeCell="A9" sqref="A9"/>
      <selection pane="bottomRight" activeCell="BX10" sqref="BX10:CC28"/>
    </sheetView>
  </sheetViews>
  <sheetFormatPr defaultRowHeight="15"/>
  <cols>
    <col min="2" max="2" width="19" bestFit="1" customWidth="1"/>
    <col min="3" max="3" width="10.5703125" customWidth="1"/>
    <col min="4" max="4" width="5.85546875" customWidth="1"/>
    <col min="5" max="5" width="9.42578125" customWidth="1"/>
    <col min="6" max="6" width="12" bestFit="1" customWidth="1"/>
    <col min="7" max="9" width="10.85546875" bestFit="1" customWidth="1"/>
    <col min="10" max="10" width="11.140625" bestFit="1" customWidth="1"/>
    <col min="11" max="11" width="10.5703125" bestFit="1" customWidth="1"/>
    <col min="12" max="12" width="12.28515625" bestFit="1" customWidth="1"/>
    <col min="13" max="13" width="7.7109375" customWidth="1"/>
    <col min="14" max="14" width="8" bestFit="1" customWidth="1"/>
    <col min="15" max="22" width="7.7109375" customWidth="1"/>
    <col min="23" max="23" width="6.140625" customWidth="1"/>
    <col min="24" max="24" width="6" customWidth="1"/>
    <col min="25" max="25" width="9.140625" bestFit="1" customWidth="1"/>
    <col min="26" max="26" width="12" style="1" bestFit="1" customWidth="1"/>
    <col min="27" max="27" width="10.5703125" style="1" bestFit="1" customWidth="1"/>
    <col min="28" max="28" width="9.42578125" style="1" bestFit="1" customWidth="1"/>
    <col min="29" max="29" width="9.85546875" bestFit="1" customWidth="1"/>
    <col min="30" max="31" width="9.140625" bestFit="1" customWidth="1"/>
    <col min="32" max="32" width="7.140625" customWidth="1"/>
    <col min="33" max="33" width="13.7109375" style="1" bestFit="1" customWidth="1"/>
    <col min="34" max="34" width="11.5703125" customWidth="1"/>
    <col min="35" max="35" width="10.85546875" style="1" bestFit="1" customWidth="1"/>
    <col min="36" max="36" width="10.28515625" customWidth="1"/>
    <col min="37" max="38" width="10.85546875" style="1" bestFit="1" customWidth="1"/>
    <col min="39" max="39" width="8" bestFit="1" customWidth="1"/>
    <col min="40" max="40" width="9.140625" bestFit="1" customWidth="1"/>
    <col min="41" max="41" width="7.7109375" style="1" customWidth="1"/>
    <col min="42" max="42" width="10.85546875" style="1" bestFit="1" customWidth="1"/>
    <col min="43" max="43" width="9.140625" style="1" bestFit="1" customWidth="1"/>
    <col min="44" max="44" width="7.7109375" customWidth="1"/>
    <col min="45" max="45" width="9.140625" bestFit="1" customWidth="1"/>
    <col min="46" max="46" width="11.140625" bestFit="1" customWidth="1"/>
    <col min="47" max="47" width="9.140625" customWidth="1"/>
    <col min="48" max="48" width="10.140625" customWidth="1"/>
    <col min="49" max="49" width="7.7109375" customWidth="1"/>
    <col min="50" max="50" width="9.140625" customWidth="1"/>
    <col min="51" max="51" width="10.85546875" bestFit="1" customWidth="1"/>
    <col min="52" max="52" width="8" bestFit="1" customWidth="1"/>
    <col min="53" max="53" width="9.42578125" bestFit="1" customWidth="1"/>
    <col min="54" max="54" width="7.7109375" customWidth="1"/>
    <col min="55" max="55" width="9.42578125" customWidth="1"/>
    <col min="56" max="58" width="7.7109375" customWidth="1"/>
    <col min="59" max="59" width="10.140625" customWidth="1"/>
    <col min="60" max="60" width="7.7109375" customWidth="1"/>
    <col min="61" max="61" width="13.85546875" style="1" customWidth="1"/>
    <col min="62" max="62" width="12" style="1" bestFit="1" customWidth="1"/>
    <col min="63" max="63" width="33" bestFit="1" customWidth="1"/>
    <col min="64" max="64" width="8" bestFit="1" customWidth="1"/>
    <col min="65" max="65" width="18.42578125" bestFit="1" customWidth="1"/>
    <col min="66" max="66" width="18.42578125" hidden="1" customWidth="1"/>
    <col min="69" max="69" width="9.140625" customWidth="1"/>
    <col min="79" max="79" width="15.28515625" customWidth="1"/>
  </cols>
  <sheetData>
    <row r="5" spans="1:73">
      <c r="A5">
        <v>1</v>
      </c>
      <c r="B5">
        <v>2</v>
      </c>
      <c r="C5">
        <v>3</v>
      </c>
      <c r="D5">
        <v>4</v>
      </c>
      <c r="E5">
        <v>5</v>
      </c>
      <c r="F5">
        <v>6</v>
      </c>
      <c r="G5">
        <v>7</v>
      </c>
      <c r="H5">
        <v>8</v>
      </c>
      <c r="I5">
        <v>9</v>
      </c>
      <c r="J5">
        <v>10</v>
      </c>
      <c r="K5">
        <v>11</v>
      </c>
      <c r="L5">
        <v>12</v>
      </c>
      <c r="M5">
        <v>13</v>
      </c>
      <c r="N5">
        <v>14</v>
      </c>
      <c r="O5">
        <v>15</v>
      </c>
      <c r="P5">
        <v>16</v>
      </c>
      <c r="Q5">
        <v>17</v>
      </c>
      <c r="R5">
        <v>18</v>
      </c>
      <c r="S5">
        <v>19</v>
      </c>
      <c r="T5">
        <v>20</v>
      </c>
      <c r="U5">
        <v>21</v>
      </c>
      <c r="V5">
        <v>22</v>
      </c>
      <c r="W5">
        <v>23</v>
      </c>
      <c r="X5">
        <v>24</v>
      </c>
      <c r="Y5">
        <v>25</v>
      </c>
      <c r="Z5">
        <v>26</v>
      </c>
      <c r="AA5">
        <v>27</v>
      </c>
      <c r="AB5">
        <v>28</v>
      </c>
      <c r="AC5">
        <v>29</v>
      </c>
      <c r="AD5">
        <v>30</v>
      </c>
      <c r="AE5">
        <v>31</v>
      </c>
      <c r="AF5">
        <v>32</v>
      </c>
      <c r="AG5">
        <v>33</v>
      </c>
      <c r="AH5">
        <v>34</v>
      </c>
      <c r="AI5">
        <v>35</v>
      </c>
      <c r="AJ5">
        <v>36</v>
      </c>
      <c r="AK5">
        <v>37</v>
      </c>
      <c r="AL5">
        <v>38</v>
      </c>
      <c r="AM5">
        <v>39</v>
      </c>
      <c r="AN5">
        <v>40</v>
      </c>
      <c r="AO5">
        <v>41</v>
      </c>
      <c r="AP5">
        <v>42</v>
      </c>
      <c r="AQ5">
        <v>43</v>
      </c>
      <c r="AR5">
        <v>44</v>
      </c>
      <c r="AS5">
        <v>45</v>
      </c>
      <c r="AT5">
        <v>46</v>
      </c>
      <c r="AU5">
        <v>47</v>
      </c>
      <c r="AV5">
        <v>48</v>
      </c>
      <c r="AW5">
        <v>49</v>
      </c>
      <c r="AX5">
        <v>50</v>
      </c>
      <c r="AY5">
        <v>51</v>
      </c>
      <c r="AZ5">
        <v>52</v>
      </c>
      <c r="BA5">
        <v>53</v>
      </c>
      <c r="BB5">
        <v>54</v>
      </c>
      <c r="BC5">
        <v>55</v>
      </c>
      <c r="BD5">
        <v>56</v>
      </c>
      <c r="BE5">
        <v>57</v>
      </c>
      <c r="BF5">
        <v>58</v>
      </c>
      <c r="BG5">
        <v>59</v>
      </c>
      <c r="BH5">
        <v>60</v>
      </c>
      <c r="BI5">
        <v>61</v>
      </c>
      <c r="BJ5">
        <v>62</v>
      </c>
      <c r="BK5">
        <v>63</v>
      </c>
      <c r="BL5">
        <v>64</v>
      </c>
      <c r="BM5">
        <v>65</v>
      </c>
      <c r="BO5">
        <v>66</v>
      </c>
      <c r="BP5">
        <v>67</v>
      </c>
      <c r="BQ5">
        <v>68</v>
      </c>
      <c r="BR5">
        <v>69</v>
      </c>
      <c r="BS5">
        <v>70</v>
      </c>
      <c r="BT5">
        <v>71</v>
      </c>
      <c r="BU5">
        <v>72</v>
      </c>
    </row>
    <row r="6" spans="1:73" s="43" customFormat="1" ht="25.5" customHeight="1" thickBot="1">
      <c r="E6" s="43" t="s">
        <v>147</v>
      </c>
      <c r="U6" s="43">
        <v>1</v>
      </c>
      <c r="Z6" s="45"/>
      <c r="AA6" s="45" t="s">
        <v>147</v>
      </c>
      <c r="AB6" s="45"/>
      <c r="AG6" s="45"/>
      <c r="AI6" s="45"/>
      <c r="AK6" s="45"/>
      <c r="AL6" s="45"/>
      <c r="AO6" s="45">
        <v>2</v>
      </c>
      <c r="AP6" s="45"/>
      <c r="AQ6" s="45"/>
      <c r="AT6" s="43" t="s">
        <v>147</v>
      </c>
      <c r="BH6" s="43">
        <v>3</v>
      </c>
      <c r="BI6" s="45"/>
      <c r="BJ6" s="45"/>
    </row>
    <row r="7" spans="1:73" s="16" customFormat="1" ht="33" customHeight="1" thickTop="1">
      <c r="D7" s="166" t="s">
        <v>0</v>
      </c>
      <c r="E7" s="169" t="s">
        <v>7</v>
      </c>
      <c r="F7" s="172" t="s">
        <v>9</v>
      </c>
      <c r="G7" s="174">
        <v>44205</v>
      </c>
      <c r="H7" s="175"/>
      <c r="I7" s="175"/>
      <c r="J7" s="175"/>
      <c r="K7" s="175"/>
      <c r="L7" s="175"/>
      <c r="M7" s="175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7"/>
      <c r="AG7" s="17"/>
      <c r="AH7" s="178" t="s">
        <v>61</v>
      </c>
      <c r="AI7" s="176"/>
      <c r="AJ7" s="176"/>
      <c r="AK7" s="176"/>
      <c r="AL7" s="176"/>
      <c r="AM7" s="176"/>
      <c r="AN7" s="176"/>
      <c r="AO7" s="176"/>
      <c r="AP7" s="176"/>
      <c r="AQ7" s="177"/>
      <c r="AR7" s="178" t="s">
        <v>62</v>
      </c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6"/>
      <c r="BD7" s="176"/>
      <c r="BE7" s="176"/>
      <c r="BF7" s="176"/>
      <c r="BG7" s="176"/>
      <c r="BH7" s="177"/>
      <c r="BI7" s="179" t="s">
        <v>38</v>
      </c>
      <c r="BJ7" s="179" t="s">
        <v>39</v>
      </c>
      <c r="BK7" s="181" t="s">
        <v>40</v>
      </c>
      <c r="BL7" s="181" t="s">
        <v>50</v>
      </c>
      <c r="BM7" s="181" t="s">
        <v>235</v>
      </c>
      <c r="BN7" s="150"/>
    </row>
    <row r="8" spans="1:73" s="18" customFormat="1" ht="52.5" customHeight="1">
      <c r="C8" s="18" t="s">
        <v>77</v>
      </c>
      <c r="D8" s="167"/>
      <c r="E8" s="170"/>
      <c r="F8" s="173"/>
      <c r="G8" s="19" t="s">
        <v>1</v>
      </c>
      <c r="H8" s="20" t="s">
        <v>2</v>
      </c>
      <c r="I8" s="20" t="s">
        <v>3</v>
      </c>
      <c r="J8" s="9" t="s">
        <v>4</v>
      </c>
      <c r="K8" s="9" t="s">
        <v>5</v>
      </c>
      <c r="L8" s="9" t="s">
        <v>6</v>
      </c>
      <c r="M8" s="9" t="s">
        <v>8</v>
      </c>
      <c r="N8" s="9" t="s">
        <v>10</v>
      </c>
      <c r="O8" s="9">
        <v>2019</v>
      </c>
      <c r="P8" s="9">
        <v>2020</v>
      </c>
      <c r="Q8" s="9">
        <v>2021</v>
      </c>
      <c r="R8" s="20" t="s">
        <v>56</v>
      </c>
      <c r="S8" s="20" t="s">
        <v>57</v>
      </c>
      <c r="T8" s="20" t="s">
        <v>58</v>
      </c>
      <c r="U8" s="20" t="s">
        <v>117</v>
      </c>
      <c r="V8" s="20" t="s">
        <v>118</v>
      </c>
      <c r="W8" s="9" t="s">
        <v>11</v>
      </c>
      <c r="X8" s="9" t="s">
        <v>12</v>
      </c>
      <c r="Y8" s="20" t="s">
        <v>120</v>
      </c>
      <c r="Z8" s="21" t="s">
        <v>13</v>
      </c>
      <c r="AA8" s="21" t="s">
        <v>14</v>
      </c>
      <c r="AB8" s="21" t="s">
        <v>15</v>
      </c>
      <c r="AC8" s="22">
        <v>0.91500000000000004</v>
      </c>
      <c r="AD8" s="20" t="s">
        <v>59</v>
      </c>
      <c r="AE8" s="20" t="s">
        <v>16</v>
      </c>
      <c r="AF8" s="20" t="s">
        <v>17</v>
      </c>
      <c r="AG8" s="21" t="s">
        <v>18</v>
      </c>
      <c r="AH8" s="20" t="s">
        <v>19</v>
      </c>
      <c r="AI8" s="21" t="s">
        <v>64</v>
      </c>
      <c r="AJ8" s="20" t="s">
        <v>20</v>
      </c>
      <c r="AK8" s="23">
        <v>0.01</v>
      </c>
      <c r="AL8" s="21" t="s">
        <v>60</v>
      </c>
      <c r="AM8" s="20" t="s">
        <v>21</v>
      </c>
      <c r="AN8" s="23">
        <v>0.02</v>
      </c>
      <c r="AO8" s="21" t="s">
        <v>22</v>
      </c>
      <c r="AP8" s="21" t="s">
        <v>23</v>
      </c>
      <c r="AQ8" s="21" t="s">
        <v>24</v>
      </c>
      <c r="AR8" s="20" t="s">
        <v>25</v>
      </c>
      <c r="AS8" s="20" t="s">
        <v>26</v>
      </c>
      <c r="AT8" s="20" t="s">
        <v>27</v>
      </c>
      <c r="AU8" s="20" t="s">
        <v>28</v>
      </c>
      <c r="AV8" s="20" t="s">
        <v>29</v>
      </c>
      <c r="AW8" s="20" t="s">
        <v>30</v>
      </c>
      <c r="AX8" s="20" t="s">
        <v>31</v>
      </c>
      <c r="AY8" s="20" t="s">
        <v>32</v>
      </c>
      <c r="AZ8" s="20" t="s">
        <v>33</v>
      </c>
      <c r="BA8" s="20" t="s">
        <v>34</v>
      </c>
      <c r="BB8" s="20" t="s">
        <v>35</v>
      </c>
      <c r="BC8" s="20" t="s">
        <v>32</v>
      </c>
      <c r="BD8" s="20" t="s">
        <v>36</v>
      </c>
      <c r="BE8" s="20" t="s">
        <v>121</v>
      </c>
      <c r="BF8" s="9" t="s">
        <v>233</v>
      </c>
      <c r="BG8" s="20" t="s">
        <v>355</v>
      </c>
      <c r="BH8" s="20" t="s">
        <v>37</v>
      </c>
      <c r="BI8" s="180"/>
      <c r="BJ8" s="180"/>
      <c r="BK8" s="182"/>
      <c r="BL8" s="182"/>
      <c r="BM8" s="182"/>
      <c r="BN8" s="151"/>
      <c r="BQ8" s="18" t="s">
        <v>212</v>
      </c>
    </row>
    <row r="9" spans="1:73" s="16" customFormat="1" ht="19.5" thickBot="1">
      <c r="D9" s="168"/>
      <c r="E9" s="171"/>
      <c r="F9" s="24"/>
      <c r="G9" s="25"/>
      <c r="H9" s="25"/>
      <c r="I9" s="25"/>
      <c r="J9" s="25"/>
      <c r="K9" s="25"/>
      <c r="L9" s="25"/>
      <c r="M9" s="25"/>
      <c r="N9" s="25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7"/>
      <c r="AA9" s="27"/>
      <c r="AB9" s="27"/>
      <c r="AC9" s="26"/>
      <c r="AD9" s="26"/>
      <c r="AE9" s="26"/>
      <c r="AF9" s="26"/>
      <c r="AG9" s="27"/>
      <c r="AH9" s="26"/>
      <c r="AI9" s="27"/>
      <c r="AJ9" s="26"/>
      <c r="AK9" s="27"/>
      <c r="AL9" s="27"/>
      <c r="AM9" s="37">
        <v>5</v>
      </c>
      <c r="AN9" s="26"/>
      <c r="AO9" s="27"/>
      <c r="AP9" s="27"/>
      <c r="AQ9" s="27"/>
      <c r="AR9" s="26"/>
      <c r="AS9" s="26"/>
      <c r="AT9" s="37">
        <v>4.5</v>
      </c>
      <c r="AU9" s="37">
        <v>2</v>
      </c>
      <c r="AV9" s="37">
        <v>0.25</v>
      </c>
      <c r="AW9" s="37">
        <v>3</v>
      </c>
      <c r="AX9" s="37">
        <v>0.5</v>
      </c>
      <c r="AY9" s="26"/>
      <c r="AZ9" s="26"/>
      <c r="BA9" s="26" t="s">
        <v>99</v>
      </c>
      <c r="BB9" s="26"/>
      <c r="BC9" s="26"/>
      <c r="BD9" s="26"/>
      <c r="BE9" s="26"/>
      <c r="BF9" s="26"/>
      <c r="BG9" s="26"/>
      <c r="BH9" s="26"/>
      <c r="BI9" s="27"/>
      <c r="BJ9" s="27"/>
      <c r="BK9" s="183"/>
      <c r="BL9" s="183"/>
      <c r="BM9" s="183"/>
      <c r="BN9" s="151"/>
    </row>
    <row r="10" spans="1:73" ht="24" customHeight="1">
      <c r="B10" t="str">
        <f>BK10</f>
        <v>السعيد عبدالنبى السيد</v>
      </c>
      <c r="C10" s="1">
        <v>579.83000000000004</v>
      </c>
      <c r="D10" s="3">
        <v>1</v>
      </c>
      <c r="E10" s="4"/>
      <c r="F10" s="5">
        <v>1830.2</v>
      </c>
      <c r="G10" s="5">
        <v>53.9</v>
      </c>
      <c r="H10" s="6">
        <f t="shared" ref="H10:H31" si="0">IF(BO10="مدرس",C10*10%,"")</f>
        <v>57.983000000000004</v>
      </c>
      <c r="I10" s="6">
        <f t="shared" ref="I10:I31" si="1">IF(BO10="مدرس",C10*25%,"")</f>
        <v>144.95750000000001</v>
      </c>
      <c r="J10" s="6">
        <f t="shared" ref="J10:J31" si="2">IF(BO10="مدرس",ROUND(IF(BL10="كبير",C10*25%,IF(BL10="كبير ا",C10*25%,IF(BL10="اولى",C10*25%,IF(BL10="ثانيه",C10*50%,IF(BL10="ثالثه",C10*75%,IF(BL10="م م",C10*125%,)))))),2),"")</f>
        <v>144.96</v>
      </c>
      <c r="K10" s="6">
        <f t="shared" ref="K10:K31" si="3">IF(BO10="مدرس",C10*50%,"")</f>
        <v>289.91500000000002</v>
      </c>
      <c r="L10" s="5">
        <v>1159.6400000000001</v>
      </c>
      <c r="M10" s="28"/>
      <c r="N10" s="33">
        <f t="shared" ref="N10:N31" si="4">IF(BO10="مدرس",IF(BL10="كبير ا",300,IF(BL10="كبير",325,IF(BL10="اولى",350,IF(BL10="ثانيه",375,IF(BL10="ثالثه",400,""))))),"")</f>
        <v>300</v>
      </c>
      <c r="O10" s="4">
        <v>150</v>
      </c>
      <c r="P10" s="4">
        <v>325</v>
      </c>
      <c r="Q10" s="34">
        <f>IF(BL10="كبير ا",375,IF(BL10="كبير",350,IF(BL10="اولى",325,IF(BL10="ثانيه",275,IF(BL10="ثالثه",225,)))))</f>
        <v>375</v>
      </c>
      <c r="R10" s="4"/>
      <c r="S10" s="34">
        <f t="shared" ref="S10:S31" si="5">IF(BO10="مدرس",IF(BL10="كبير ا",180,IF(BL10="كبير",165,IF(BL10="اولى",125,IF(BL10="ثانيه",100,IF(BL10="ثالثه",75,))))),"")</f>
        <v>180</v>
      </c>
      <c r="T10" s="34">
        <f t="shared" ref="T10:T31" si="6">IF(BO10="مدرس",IF(BL10="كبير ا",140,IF(BL10="كبير",145,IF(BL10="اولى",150,IF(BL10="ثانيه",165,IF(BL10="ثالثه",185,))))),"")</f>
        <v>140</v>
      </c>
      <c r="U10" s="34">
        <f t="shared" ref="U10:U31" si="7">IF(BO10="مدرس",IF(BL10="كبير ا",155,IF(BL10="كبير",140,IF(BL10="اولى",120,IF(BL10="ثانيه",85,IF(BL10="ثالثه",65,))))),"")</f>
        <v>155</v>
      </c>
      <c r="V10" s="4" t="str">
        <f t="shared" ref="V10:V31" si="8">IF(BO10="مدرس","",IF(BL10="اولى",85,IF(BL10="ثانيه",65,IF(BL10="ثالثه",55,IF(BL10="رابعه",50,IF(BL10="خامسه",50,))))))</f>
        <v/>
      </c>
      <c r="W10" s="4">
        <v>6</v>
      </c>
      <c r="X10" s="4">
        <v>4</v>
      </c>
      <c r="Y10" s="5"/>
      <c r="Z10" s="5"/>
      <c r="AA10" s="5"/>
      <c r="AB10" s="5"/>
      <c r="AC10" s="5"/>
      <c r="AD10" s="4"/>
      <c r="AE10" s="4"/>
      <c r="AF10" s="4">
        <v>10</v>
      </c>
      <c r="AG10" s="6">
        <f>SUM(F10:AF10)</f>
        <v>5326.5555000000004</v>
      </c>
      <c r="AH10" s="4"/>
      <c r="AI10" s="6">
        <f>SUM(F10:AE10)*9%</f>
        <v>478.48999500000002</v>
      </c>
      <c r="AJ10" s="4"/>
      <c r="AK10" s="6">
        <f>SUM(F10:AE10)*1%</f>
        <v>53.165555000000005</v>
      </c>
      <c r="AL10" s="6">
        <f>SUM(F10:AE10)*1%</f>
        <v>53.165555000000005</v>
      </c>
      <c r="AM10" s="7">
        <v>9.5</v>
      </c>
      <c r="AN10" s="6">
        <f t="shared" ref="AN10:AN31" si="9">IF(BO10="مدرس",IF(BL10="كبير ا",3.1,IF(BL10="كبير",2.8,IF(BL10="اولى",2.4,IF(BL10="ثانيه",1.7,IF(BL10="ثالثه",1.3,))))),"")</f>
        <v>3.1</v>
      </c>
      <c r="AO10" s="5"/>
      <c r="AP10" s="5">
        <v>157</v>
      </c>
      <c r="AQ10" s="5">
        <v>32.6</v>
      </c>
      <c r="AR10" s="5"/>
      <c r="AS10" s="5">
        <v>2</v>
      </c>
      <c r="AT10" s="6">
        <f t="shared" ref="AT10:AT31" si="10">IF($BO10="مدرس",AT9,"")</f>
        <v>4.5</v>
      </c>
      <c r="AU10" s="6">
        <f t="shared" ref="AU10:AU31" si="11">IF($BO10="مدرس",AU9,"")</f>
        <v>2</v>
      </c>
      <c r="AV10" s="6">
        <f t="shared" ref="AV10:AV31" si="12">IF($BO10="مدرس",AV9,"")</f>
        <v>0.25</v>
      </c>
      <c r="AW10" s="6">
        <f t="shared" ref="AW10:AW31" si="13">IF($BO10="مدرس",AW9,"")</f>
        <v>3</v>
      </c>
      <c r="AX10" s="6">
        <f t="shared" ref="AX10:AX31" si="14">IF($BO10="مدرس",AX9,"")</f>
        <v>0.5</v>
      </c>
      <c r="AY10" s="6">
        <f t="shared" ref="AY10:AY27" si="15">IF(BO10="مدرس",F10*7%,"")</f>
        <v>128.114</v>
      </c>
      <c r="AZ10" s="5"/>
      <c r="BA10" s="5"/>
      <c r="BB10" s="5"/>
      <c r="BC10" s="5"/>
      <c r="BD10" s="5"/>
      <c r="BE10" s="4"/>
      <c r="BF10" s="4"/>
      <c r="BG10" s="4"/>
      <c r="BH10" s="7">
        <v>0.02</v>
      </c>
      <c r="BI10" s="6">
        <f>SUM(AH10:BH10)</f>
        <v>927.40510500000016</v>
      </c>
      <c r="BJ10" s="6">
        <f>AG10-BI10</f>
        <v>4399.1503950000006</v>
      </c>
      <c r="BK10" s="8" t="s">
        <v>122</v>
      </c>
      <c r="BL10" s="8" t="s">
        <v>116</v>
      </c>
      <c r="BM10" s="8" t="s">
        <v>236</v>
      </c>
      <c r="BN10" s="38"/>
      <c r="BO10" t="s">
        <v>119</v>
      </c>
      <c r="BQ10" s="2"/>
      <c r="BR10" s="1"/>
      <c r="BT10" t="s">
        <v>116</v>
      </c>
    </row>
    <row r="11" spans="1:73" ht="24" customHeight="1">
      <c r="B11" t="str">
        <f t="shared" ref="B11:B31" si="16">BK11</f>
        <v>فاطمه جابر عباس</v>
      </c>
      <c r="C11" s="1">
        <v>690.85</v>
      </c>
      <c r="D11" s="3">
        <v>2</v>
      </c>
      <c r="E11" s="4"/>
      <c r="F11" s="5">
        <v>2117.86</v>
      </c>
      <c r="G11" s="5">
        <v>64.92</v>
      </c>
      <c r="H11" s="6">
        <f t="shared" si="0"/>
        <v>69.085000000000008</v>
      </c>
      <c r="I11" s="6">
        <f t="shared" si="1"/>
        <v>172.71250000000001</v>
      </c>
      <c r="J11" s="6">
        <f t="shared" si="2"/>
        <v>172.71</v>
      </c>
      <c r="K11" s="6">
        <f t="shared" si="3"/>
        <v>345.42500000000001</v>
      </c>
      <c r="L11" s="5">
        <v>1381.68</v>
      </c>
      <c r="M11" s="28"/>
      <c r="N11" s="33">
        <f t="shared" si="4"/>
        <v>300</v>
      </c>
      <c r="O11" s="4">
        <v>150</v>
      </c>
      <c r="P11" s="4">
        <v>350</v>
      </c>
      <c r="Q11" s="34">
        <f t="shared" ref="Q11:Q31" si="17">IF(BL11="كبير ا",375,IF(BL11="كبير",350,IF(BL11="اولى",325,IF(BL11="ثانيه",275,IF(BL11="ثالثه",225,)))))</f>
        <v>375</v>
      </c>
      <c r="R11" s="4"/>
      <c r="S11" s="34">
        <f t="shared" si="5"/>
        <v>180</v>
      </c>
      <c r="T11" s="34">
        <f t="shared" si="6"/>
        <v>140</v>
      </c>
      <c r="U11" s="34">
        <f t="shared" si="7"/>
        <v>155</v>
      </c>
      <c r="V11" s="4" t="str">
        <f t="shared" si="8"/>
        <v/>
      </c>
      <c r="W11" s="4">
        <v>2</v>
      </c>
      <c r="X11" s="4">
        <v>4</v>
      </c>
      <c r="Y11" s="5"/>
      <c r="Z11" s="5"/>
      <c r="AA11" s="5"/>
      <c r="AB11" s="5"/>
      <c r="AC11" s="5"/>
      <c r="AD11" s="4"/>
      <c r="AE11" s="4"/>
      <c r="AF11" s="4">
        <v>10</v>
      </c>
      <c r="AG11" s="6">
        <f t="shared" ref="AG11:AG31" si="18">SUM(F11:AF11)</f>
        <v>5990.3925000000008</v>
      </c>
      <c r="AH11" s="4"/>
      <c r="AI11" s="6">
        <f t="shared" ref="AI11:AI31" si="19">SUM(F11:AE11)*9%</f>
        <v>538.2353250000001</v>
      </c>
      <c r="AJ11" s="4"/>
      <c r="AK11" s="6">
        <f t="shared" ref="AK11:AK31" si="20">SUM(F11:AE11)*1%</f>
        <v>59.803925000000007</v>
      </c>
      <c r="AL11" s="6">
        <f t="shared" ref="AL11:AL31" si="21">SUM(F11:AE11)*1%</f>
        <v>59.803925000000007</v>
      </c>
      <c r="AM11" s="7">
        <v>9.5</v>
      </c>
      <c r="AN11" s="6">
        <f t="shared" si="9"/>
        <v>3.1</v>
      </c>
      <c r="AO11" s="5">
        <v>6.07</v>
      </c>
      <c r="AP11" s="5">
        <v>191.3</v>
      </c>
      <c r="AQ11" s="5">
        <v>36.5</v>
      </c>
      <c r="AR11" s="5"/>
      <c r="AS11" s="5">
        <v>2.5</v>
      </c>
      <c r="AT11" s="6">
        <f t="shared" si="10"/>
        <v>4.5</v>
      </c>
      <c r="AU11" s="6">
        <f t="shared" si="11"/>
        <v>2</v>
      </c>
      <c r="AV11" s="6">
        <f t="shared" si="12"/>
        <v>0.25</v>
      </c>
      <c r="AW11" s="6">
        <f t="shared" si="13"/>
        <v>3</v>
      </c>
      <c r="AX11" s="6">
        <f t="shared" si="14"/>
        <v>0.5</v>
      </c>
      <c r="AY11" s="6">
        <f t="shared" si="15"/>
        <v>148.25020000000004</v>
      </c>
      <c r="AZ11" s="5"/>
      <c r="BA11" s="5"/>
      <c r="BB11" s="5"/>
      <c r="BC11" s="5"/>
      <c r="BD11" s="5"/>
      <c r="BE11" s="4"/>
      <c r="BF11" s="4"/>
      <c r="BG11" s="4"/>
      <c r="BH11" s="7">
        <v>0.03</v>
      </c>
      <c r="BI11" s="6">
        <f t="shared" ref="BI11:BI24" si="22">SUM(AH11:BH11)</f>
        <v>1065.3433750000002</v>
      </c>
      <c r="BJ11" s="6">
        <f t="shared" ref="BJ11:BJ24" si="23">AG11-BI11</f>
        <v>4925.0491250000005</v>
      </c>
      <c r="BK11" s="8" t="s">
        <v>123</v>
      </c>
      <c r="BL11" s="8" t="s">
        <v>116</v>
      </c>
      <c r="BM11" s="8" t="s">
        <v>237</v>
      </c>
      <c r="BN11" s="38"/>
      <c r="BO11" t="s">
        <v>119</v>
      </c>
      <c r="BQ11" s="2"/>
      <c r="BT11" t="s">
        <v>51</v>
      </c>
    </row>
    <row r="12" spans="1:73" ht="24" customHeight="1">
      <c r="B12" t="str">
        <f t="shared" si="16"/>
        <v>رجاء صلاح محمد</v>
      </c>
      <c r="C12" s="1">
        <v>486.69</v>
      </c>
      <c r="D12" s="3">
        <v>3</v>
      </c>
      <c r="E12" s="4"/>
      <c r="F12" s="5">
        <v>1612.06</v>
      </c>
      <c r="G12" s="5">
        <v>45.76</v>
      </c>
      <c r="H12" s="6">
        <f t="shared" si="0"/>
        <v>48.669000000000004</v>
      </c>
      <c r="I12" s="6">
        <f t="shared" si="1"/>
        <v>121.6725</v>
      </c>
      <c r="J12" s="6">
        <f t="shared" si="2"/>
        <v>121.67</v>
      </c>
      <c r="K12" s="6">
        <f t="shared" si="3"/>
        <v>243.345</v>
      </c>
      <c r="L12" s="5">
        <v>851.7</v>
      </c>
      <c r="M12" s="28"/>
      <c r="N12" s="33">
        <f t="shared" si="4"/>
        <v>325</v>
      </c>
      <c r="O12" s="4">
        <v>150</v>
      </c>
      <c r="P12" s="4">
        <v>325</v>
      </c>
      <c r="Q12" s="34">
        <f t="shared" si="17"/>
        <v>350</v>
      </c>
      <c r="R12" s="4"/>
      <c r="S12" s="34">
        <f t="shared" si="5"/>
        <v>165</v>
      </c>
      <c r="T12" s="34">
        <f t="shared" si="6"/>
        <v>145</v>
      </c>
      <c r="U12" s="34">
        <f t="shared" si="7"/>
        <v>140</v>
      </c>
      <c r="V12" s="4" t="str">
        <f t="shared" si="8"/>
        <v/>
      </c>
      <c r="W12" s="4">
        <v>2</v>
      </c>
      <c r="X12" s="4">
        <v>4</v>
      </c>
      <c r="Y12" s="5">
        <v>121.67</v>
      </c>
      <c r="Z12" s="5"/>
      <c r="AA12" s="5"/>
      <c r="AB12" s="5"/>
      <c r="AC12" s="5"/>
      <c r="AD12" s="4"/>
      <c r="AE12" s="4"/>
      <c r="AF12" s="4">
        <v>10</v>
      </c>
      <c r="AG12" s="6">
        <f t="shared" si="18"/>
        <v>4782.5465000000004</v>
      </c>
      <c r="AH12" s="4"/>
      <c r="AI12" s="6">
        <f t="shared" si="19"/>
        <v>429.52918500000004</v>
      </c>
      <c r="AJ12" s="4"/>
      <c r="AK12" s="6">
        <f t="shared" si="20"/>
        <v>47.725465000000007</v>
      </c>
      <c r="AL12" s="6">
        <f t="shared" si="21"/>
        <v>47.725465000000007</v>
      </c>
      <c r="AM12" s="7">
        <v>9</v>
      </c>
      <c r="AN12" s="6">
        <f t="shared" si="9"/>
        <v>2.8</v>
      </c>
      <c r="AO12" s="5"/>
      <c r="AP12" s="5">
        <v>129</v>
      </c>
      <c r="AQ12" s="5">
        <v>29.4</v>
      </c>
      <c r="AR12" s="5"/>
      <c r="AS12" s="5">
        <v>2</v>
      </c>
      <c r="AT12" s="6">
        <f t="shared" si="10"/>
        <v>4.5</v>
      </c>
      <c r="AU12" s="6">
        <f t="shared" si="11"/>
        <v>2</v>
      </c>
      <c r="AV12" s="6">
        <f t="shared" si="12"/>
        <v>0.25</v>
      </c>
      <c r="AW12" s="6">
        <f t="shared" si="13"/>
        <v>3</v>
      </c>
      <c r="AX12" s="6">
        <f t="shared" si="14"/>
        <v>0.5</v>
      </c>
      <c r="AY12" s="6">
        <f t="shared" si="15"/>
        <v>112.8442</v>
      </c>
      <c r="AZ12" s="5"/>
      <c r="BA12" s="5"/>
      <c r="BB12" s="5"/>
      <c r="BC12" s="5"/>
      <c r="BD12" s="5"/>
      <c r="BE12" s="4"/>
      <c r="BF12" s="4"/>
      <c r="BG12" s="4"/>
      <c r="BH12" s="7">
        <v>0.02</v>
      </c>
      <c r="BI12" s="6">
        <f t="shared" si="22"/>
        <v>820.29431499999998</v>
      </c>
      <c r="BJ12" s="6">
        <f t="shared" si="23"/>
        <v>3962.2521850000003</v>
      </c>
      <c r="BK12" s="8" t="s">
        <v>124</v>
      </c>
      <c r="BL12" s="8" t="s">
        <v>51</v>
      </c>
      <c r="BM12" s="8" t="s">
        <v>238</v>
      </c>
      <c r="BN12" s="38"/>
      <c r="BO12" t="s">
        <v>119</v>
      </c>
      <c r="BQ12" s="2"/>
      <c r="BT12" t="s">
        <v>52</v>
      </c>
    </row>
    <row r="13" spans="1:73" ht="24" customHeight="1">
      <c r="B13" t="str">
        <f t="shared" si="16"/>
        <v>السيد بدير السيد</v>
      </c>
      <c r="C13" s="1">
        <v>487.09</v>
      </c>
      <c r="D13" s="3">
        <v>4</v>
      </c>
      <c r="E13" s="4"/>
      <c r="F13" s="5">
        <v>1612.98</v>
      </c>
      <c r="G13" s="5">
        <v>45.8</v>
      </c>
      <c r="H13" s="6">
        <f t="shared" si="0"/>
        <v>48.709000000000003</v>
      </c>
      <c r="I13" s="6">
        <f t="shared" si="1"/>
        <v>121.77249999999999</v>
      </c>
      <c r="J13" s="6">
        <f t="shared" si="2"/>
        <v>121.77</v>
      </c>
      <c r="K13" s="6">
        <f t="shared" si="3"/>
        <v>243.54499999999999</v>
      </c>
      <c r="L13" s="5">
        <v>852.4</v>
      </c>
      <c r="M13" s="28"/>
      <c r="N13" s="33">
        <f t="shared" si="4"/>
        <v>325</v>
      </c>
      <c r="O13" s="4">
        <v>150</v>
      </c>
      <c r="P13" s="4">
        <v>325</v>
      </c>
      <c r="Q13" s="34">
        <f t="shared" si="17"/>
        <v>350</v>
      </c>
      <c r="R13" s="4"/>
      <c r="S13" s="34">
        <f t="shared" si="5"/>
        <v>165</v>
      </c>
      <c r="T13" s="34">
        <f t="shared" si="6"/>
        <v>145</v>
      </c>
      <c r="U13" s="34">
        <f t="shared" si="7"/>
        <v>140</v>
      </c>
      <c r="V13" s="4" t="str">
        <f t="shared" si="8"/>
        <v/>
      </c>
      <c r="W13" s="4">
        <v>6</v>
      </c>
      <c r="X13" s="4">
        <v>4</v>
      </c>
      <c r="Y13" s="5"/>
      <c r="Z13" s="5"/>
      <c r="AA13" s="5"/>
      <c r="AB13" s="5"/>
      <c r="AC13" s="5"/>
      <c r="AD13" s="4"/>
      <c r="AE13" s="4"/>
      <c r="AF13" s="4">
        <v>10</v>
      </c>
      <c r="AG13" s="6">
        <f t="shared" si="18"/>
        <v>4666.9765000000007</v>
      </c>
      <c r="AH13" s="4"/>
      <c r="AI13" s="6">
        <f t="shared" si="19"/>
        <v>419.12788500000005</v>
      </c>
      <c r="AJ13" s="4"/>
      <c r="AK13" s="6">
        <f t="shared" si="20"/>
        <v>46.569765000000011</v>
      </c>
      <c r="AL13" s="6">
        <f t="shared" si="21"/>
        <v>46.569765000000011</v>
      </c>
      <c r="AM13" s="7">
        <v>9</v>
      </c>
      <c r="AN13" s="6">
        <f t="shared" si="9"/>
        <v>2.8</v>
      </c>
      <c r="AO13" s="5"/>
      <c r="AP13" s="5">
        <v>96.5</v>
      </c>
      <c r="AQ13" s="5">
        <v>28.5</v>
      </c>
      <c r="AR13" s="5"/>
      <c r="AS13" s="5">
        <v>2</v>
      </c>
      <c r="AT13" s="6">
        <f t="shared" si="10"/>
        <v>4.5</v>
      </c>
      <c r="AU13" s="6">
        <f t="shared" si="11"/>
        <v>2</v>
      </c>
      <c r="AV13" s="6">
        <f t="shared" si="12"/>
        <v>0.25</v>
      </c>
      <c r="AW13" s="6">
        <f t="shared" si="13"/>
        <v>3</v>
      </c>
      <c r="AX13" s="6">
        <f t="shared" si="14"/>
        <v>0.5</v>
      </c>
      <c r="AY13" s="6">
        <f t="shared" si="15"/>
        <v>112.90860000000001</v>
      </c>
      <c r="AZ13" s="5"/>
      <c r="BA13" s="5"/>
      <c r="BB13" s="5"/>
      <c r="BC13" s="5"/>
      <c r="BD13" s="5"/>
      <c r="BE13" s="4"/>
      <c r="BF13" s="4"/>
      <c r="BG13" s="4"/>
      <c r="BH13" s="7"/>
      <c r="BI13" s="6">
        <f t="shared" si="22"/>
        <v>774.22601499999996</v>
      </c>
      <c r="BJ13" s="6">
        <f t="shared" si="23"/>
        <v>3892.7504850000005</v>
      </c>
      <c r="BK13" s="8" t="s">
        <v>125</v>
      </c>
      <c r="BL13" s="8" t="s">
        <v>51</v>
      </c>
      <c r="BM13" s="8" t="s">
        <v>239</v>
      </c>
      <c r="BN13" s="38"/>
      <c r="BO13" t="s">
        <v>119</v>
      </c>
      <c r="BQ13" s="2"/>
      <c r="BT13" t="s">
        <v>53</v>
      </c>
    </row>
    <row r="14" spans="1:73" ht="24" customHeight="1">
      <c r="B14" t="str">
        <f t="shared" si="16"/>
        <v>نعيمه المغازى طه</v>
      </c>
      <c r="C14" s="1">
        <v>548.27</v>
      </c>
      <c r="D14" s="3">
        <v>5</v>
      </c>
      <c r="E14" s="4"/>
      <c r="F14" s="5">
        <v>1767.69</v>
      </c>
      <c r="G14" s="5">
        <v>51.53</v>
      </c>
      <c r="H14" s="6">
        <f t="shared" si="0"/>
        <v>54.826999999999998</v>
      </c>
      <c r="I14" s="6">
        <f t="shared" si="1"/>
        <v>137.0675</v>
      </c>
      <c r="J14" s="6">
        <f t="shared" si="2"/>
        <v>137.07</v>
      </c>
      <c r="K14" s="6">
        <f t="shared" si="3"/>
        <v>274.13499999999999</v>
      </c>
      <c r="L14" s="5">
        <v>959.45</v>
      </c>
      <c r="M14" s="28"/>
      <c r="N14" s="33">
        <f t="shared" si="4"/>
        <v>325</v>
      </c>
      <c r="O14" s="4">
        <v>150</v>
      </c>
      <c r="P14" s="4">
        <v>325</v>
      </c>
      <c r="Q14" s="34">
        <f t="shared" si="17"/>
        <v>350</v>
      </c>
      <c r="R14" s="4"/>
      <c r="S14" s="34">
        <f t="shared" si="5"/>
        <v>165</v>
      </c>
      <c r="T14" s="34">
        <f t="shared" si="6"/>
        <v>145</v>
      </c>
      <c r="U14" s="34">
        <f t="shared" si="7"/>
        <v>140</v>
      </c>
      <c r="V14" s="4" t="str">
        <f t="shared" si="8"/>
        <v/>
      </c>
      <c r="W14" s="4">
        <v>2</v>
      </c>
      <c r="X14" s="4">
        <v>4</v>
      </c>
      <c r="Y14" s="5"/>
      <c r="Z14" s="5"/>
      <c r="AA14" s="5"/>
      <c r="AB14" s="5"/>
      <c r="AC14" s="5"/>
      <c r="AD14" s="4"/>
      <c r="AE14" s="4"/>
      <c r="AF14" s="4">
        <v>10</v>
      </c>
      <c r="AG14" s="6">
        <f t="shared" si="18"/>
        <v>4997.7695000000003</v>
      </c>
      <c r="AH14" s="4"/>
      <c r="AI14" s="6">
        <f t="shared" si="19"/>
        <v>448.89925500000004</v>
      </c>
      <c r="AJ14" s="4"/>
      <c r="AK14" s="6">
        <f t="shared" si="20"/>
        <v>49.877695000000003</v>
      </c>
      <c r="AL14" s="6">
        <f t="shared" si="21"/>
        <v>49.877695000000003</v>
      </c>
      <c r="AM14" s="7">
        <v>9</v>
      </c>
      <c r="AN14" s="6">
        <f t="shared" si="9"/>
        <v>2.8</v>
      </c>
      <c r="AO14" s="5"/>
      <c r="AP14" s="5">
        <v>139.6</v>
      </c>
      <c r="AQ14" s="5">
        <v>30.4</v>
      </c>
      <c r="AR14" s="5"/>
      <c r="AS14" s="5">
        <v>2</v>
      </c>
      <c r="AT14" s="6">
        <f t="shared" si="10"/>
        <v>4.5</v>
      </c>
      <c r="AU14" s="6">
        <f t="shared" si="11"/>
        <v>2</v>
      </c>
      <c r="AV14" s="6">
        <f t="shared" si="12"/>
        <v>0.25</v>
      </c>
      <c r="AW14" s="6">
        <f t="shared" si="13"/>
        <v>3</v>
      </c>
      <c r="AX14" s="6">
        <f t="shared" si="14"/>
        <v>0.5</v>
      </c>
      <c r="AY14" s="6">
        <f t="shared" si="15"/>
        <v>123.73830000000001</v>
      </c>
      <c r="AZ14" s="5"/>
      <c r="BA14" s="5"/>
      <c r="BB14" s="5"/>
      <c r="BC14" s="5"/>
      <c r="BD14" s="5"/>
      <c r="BE14" s="4"/>
      <c r="BF14" s="4"/>
      <c r="BG14" s="4"/>
      <c r="BH14" s="7">
        <v>0.03</v>
      </c>
      <c r="BI14" s="6">
        <f t="shared" si="22"/>
        <v>866.47294499999998</v>
      </c>
      <c r="BJ14" s="6">
        <f t="shared" si="23"/>
        <v>4131.2965550000008</v>
      </c>
      <c r="BK14" s="8" t="s">
        <v>126</v>
      </c>
      <c r="BL14" s="8" t="s">
        <v>51</v>
      </c>
      <c r="BM14" s="8" t="s">
        <v>240</v>
      </c>
      <c r="BN14" s="38"/>
      <c r="BO14" t="s">
        <v>119</v>
      </c>
      <c r="BQ14" s="2"/>
      <c r="BT14" t="s">
        <v>54</v>
      </c>
    </row>
    <row r="15" spans="1:73" ht="24" customHeight="1">
      <c r="B15" t="str">
        <f t="shared" si="16"/>
        <v>حنان راشد بركات</v>
      </c>
      <c r="C15" s="1">
        <v>462.97</v>
      </c>
      <c r="D15" s="3">
        <v>6</v>
      </c>
      <c r="E15" s="4"/>
      <c r="F15" s="5">
        <v>1557.13</v>
      </c>
      <c r="G15" s="5">
        <v>43.01</v>
      </c>
      <c r="H15" s="6">
        <f t="shared" si="0"/>
        <v>46.297000000000004</v>
      </c>
      <c r="I15" s="6">
        <f t="shared" si="1"/>
        <v>115.74250000000001</v>
      </c>
      <c r="J15" s="6">
        <f t="shared" si="2"/>
        <v>115.74</v>
      </c>
      <c r="K15" s="6">
        <f t="shared" si="3"/>
        <v>231.48500000000001</v>
      </c>
      <c r="L15" s="5">
        <v>810.19</v>
      </c>
      <c r="M15" s="28"/>
      <c r="N15" s="33">
        <f t="shared" si="4"/>
        <v>325</v>
      </c>
      <c r="O15" s="4">
        <v>150</v>
      </c>
      <c r="P15" s="4">
        <v>300</v>
      </c>
      <c r="Q15" s="34">
        <f t="shared" si="17"/>
        <v>350</v>
      </c>
      <c r="R15" s="4"/>
      <c r="S15" s="34">
        <f t="shared" si="5"/>
        <v>165</v>
      </c>
      <c r="T15" s="34">
        <f t="shared" si="6"/>
        <v>145</v>
      </c>
      <c r="U15" s="34">
        <f t="shared" si="7"/>
        <v>140</v>
      </c>
      <c r="V15" s="4" t="str">
        <f t="shared" si="8"/>
        <v/>
      </c>
      <c r="W15" s="4">
        <v>2</v>
      </c>
      <c r="X15" s="4">
        <v>4</v>
      </c>
      <c r="Y15" s="5"/>
      <c r="Z15" s="5"/>
      <c r="AA15" s="5"/>
      <c r="AB15" s="5"/>
      <c r="AC15" s="5"/>
      <c r="AD15" s="4"/>
      <c r="AE15" s="4"/>
      <c r="AF15" s="4">
        <v>10</v>
      </c>
      <c r="AG15" s="6">
        <f t="shared" si="18"/>
        <v>4510.5945000000002</v>
      </c>
      <c r="AH15" s="4"/>
      <c r="AI15" s="6">
        <f t="shared" si="19"/>
        <v>405.05350499999997</v>
      </c>
      <c r="AJ15" s="4"/>
      <c r="AK15" s="6">
        <f t="shared" si="20"/>
        <v>45.005945000000004</v>
      </c>
      <c r="AL15" s="6">
        <f t="shared" si="21"/>
        <v>45.005945000000004</v>
      </c>
      <c r="AM15" s="7">
        <v>9</v>
      </c>
      <c r="AN15" s="6">
        <f t="shared" si="9"/>
        <v>2.8</v>
      </c>
      <c r="AO15" s="5"/>
      <c r="AP15" s="5">
        <v>89.7</v>
      </c>
      <c r="AQ15" s="5">
        <v>27.5</v>
      </c>
      <c r="AR15" s="5"/>
      <c r="AS15" s="5">
        <v>2</v>
      </c>
      <c r="AT15" s="6">
        <f t="shared" si="10"/>
        <v>4.5</v>
      </c>
      <c r="AU15" s="6">
        <f t="shared" si="11"/>
        <v>2</v>
      </c>
      <c r="AV15" s="6">
        <f t="shared" si="12"/>
        <v>0.25</v>
      </c>
      <c r="AW15" s="6">
        <f t="shared" si="13"/>
        <v>3</v>
      </c>
      <c r="AX15" s="6">
        <f t="shared" si="14"/>
        <v>0.5</v>
      </c>
      <c r="AY15" s="6">
        <f t="shared" si="15"/>
        <v>108.99910000000001</v>
      </c>
      <c r="AZ15" s="5"/>
      <c r="BA15" s="5"/>
      <c r="BB15" s="5"/>
      <c r="BC15" s="5"/>
      <c r="BD15" s="5"/>
      <c r="BE15" s="4"/>
      <c r="BF15" s="4"/>
      <c r="BG15" s="4"/>
      <c r="BH15" s="7">
        <v>0.03</v>
      </c>
      <c r="BI15" s="6">
        <f t="shared" si="22"/>
        <v>745.34449499999994</v>
      </c>
      <c r="BJ15" s="6">
        <f t="shared" si="23"/>
        <v>3765.2500050000003</v>
      </c>
      <c r="BK15" s="8" t="s">
        <v>127</v>
      </c>
      <c r="BL15" s="8" t="s">
        <v>51</v>
      </c>
      <c r="BM15" s="8" t="s">
        <v>237</v>
      </c>
      <c r="BN15" s="38"/>
      <c r="BO15" t="s">
        <v>119</v>
      </c>
      <c r="BQ15" s="2"/>
      <c r="BT15" t="s">
        <v>137</v>
      </c>
    </row>
    <row r="16" spans="1:73" ht="24" customHeight="1">
      <c r="B16" t="str">
        <f t="shared" si="16"/>
        <v>نجلاء فتحى عبدالمتعال</v>
      </c>
      <c r="C16" s="1">
        <v>461.58</v>
      </c>
      <c r="D16" s="3">
        <v>7</v>
      </c>
      <c r="E16" s="4"/>
      <c r="F16" s="5">
        <v>1553.93</v>
      </c>
      <c r="G16" s="5">
        <v>42.87</v>
      </c>
      <c r="H16" s="6">
        <f t="shared" si="0"/>
        <v>46.158000000000001</v>
      </c>
      <c r="I16" s="6">
        <f t="shared" si="1"/>
        <v>115.395</v>
      </c>
      <c r="J16" s="6">
        <f t="shared" si="2"/>
        <v>115.4</v>
      </c>
      <c r="K16" s="6">
        <f t="shared" si="3"/>
        <v>230.79</v>
      </c>
      <c r="L16" s="5">
        <v>808.12</v>
      </c>
      <c r="M16" s="28"/>
      <c r="N16" s="33">
        <f t="shared" si="4"/>
        <v>325</v>
      </c>
      <c r="O16" s="4">
        <v>150</v>
      </c>
      <c r="P16" s="4">
        <v>300</v>
      </c>
      <c r="Q16" s="34">
        <f t="shared" si="17"/>
        <v>350</v>
      </c>
      <c r="R16" s="4"/>
      <c r="S16" s="34">
        <f t="shared" si="5"/>
        <v>165</v>
      </c>
      <c r="T16" s="34">
        <f t="shared" si="6"/>
        <v>145</v>
      </c>
      <c r="U16" s="34">
        <f t="shared" si="7"/>
        <v>140</v>
      </c>
      <c r="V16" s="4" t="str">
        <f t="shared" si="8"/>
        <v/>
      </c>
      <c r="W16" s="4">
        <v>2</v>
      </c>
      <c r="X16" s="4">
        <v>4</v>
      </c>
      <c r="Y16" s="5"/>
      <c r="Z16" s="5"/>
      <c r="AA16" s="5"/>
      <c r="AB16" s="5"/>
      <c r="AC16" s="5"/>
      <c r="AD16" s="4"/>
      <c r="AE16" s="4"/>
      <c r="AF16" s="4">
        <v>10</v>
      </c>
      <c r="AG16" s="6">
        <f t="shared" si="18"/>
        <v>4503.6630000000005</v>
      </c>
      <c r="AH16" s="4"/>
      <c r="AI16" s="6">
        <f t="shared" si="19"/>
        <v>404.42967000000004</v>
      </c>
      <c r="AJ16" s="4"/>
      <c r="AK16" s="6">
        <f t="shared" si="20"/>
        <v>44.936630000000008</v>
      </c>
      <c r="AL16" s="6">
        <f t="shared" si="21"/>
        <v>44.936630000000008</v>
      </c>
      <c r="AM16" s="7">
        <v>9</v>
      </c>
      <c r="AN16" s="6">
        <f t="shared" si="9"/>
        <v>2.8</v>
      </c>
      <c r="AO16" s="5"/>
      <c r="AP16" s="5">
        <v>89.7</v>
      </c>
      <c r="AQ16" s="5">
        <v>27.5</v>
      </c>
      <c r="AR16" s="5"/>
      <c r="AS16" s="5">
        <v>2</v>
      </c>
      <c r="AT16" s="6">
        <f t="shared" si="10"/>
        <v>4.5</v>
      </c>
      <c r="AU16" s="6">
        <f t="shared" si="11"/>
        <v>2</v>
      </c>
      <c r="AV16" s="6">
        <f t="shared" si="12"/>
        <v>0.25</v>
      </c>
      <c r="AW16" s="6">
        <f t="shared" si="13"/>
        <v>3</v>
      </c>
      <c r="AX16" s="6">
        <f t="shared" si="14"/>
        <v>0.5</v>
      </c>
      <c r="AY16" s="6">
        <f t="shared" si="15"/>
        <v>108.77510000000001</v>
      </c>
      <c r="AZ16" s="5"/>
      <c r="BA16" s="5"/>
      <c r="BB16" s="5"/>
      <c r="BC16" s="5"/>
      <c r="BD16" s="5"/>
      <c r="BE16" s="4"/>
      <c r="BF16" s="4"/>
      <c r="BG16" s="4"/>
      <c r="BH16" s="7">
        <v>0.03</v>
      </c>
      <c r="BI16" s="6">
        <f t="shared" si="22"/>
        <v>744.3580300000001</v>
      </c>
      <c r="BJ16" s="6">
        <f t="shared" si="23"/>
        <v>3759.3049700000001</v>
      </c>
      <c r="BK16" s="8" t="s">
        <v>128</v>
      </c>
      <c r="BL16" s="8" t="s">
        <v>51</v>
      </c>
      <c r="BM16" s="8" t="s">
        <v>239</v>
      </c>
      <c r="BN16" s="38"/>
      <c r="BO16" t="s">
        <v>119</v>
      </c>
      <c r="BQ16" s="2"/>
      <c r="BT16" t="s">
        <v>55</v>
      </c>
    </row>
    <row r="17" spans="1:72" ht="24" customHeight="1">
      <c r="B17" t="str">
        <f t="shared" si="16"/>
        <v>رحاب فؤاد مجاهد</v>
      </c>
      <c r="C17" s="1">
        <v>359.64</v>
      </c>
      <c r="D17" s="3">
        <v>8</v>
      </c>
      <c r="E17" s="4"/>
      <c r="F17" s="5">
        <v>1352.59</v>
      </c>
      <c r="G17" s="5">
        <v>33.81</v>
      </c>
      <c r="H17" s="6">
        <f t="shared" si="0"/>
        <v>35.963999999999999</v>
      </c>
      <c r="I17" s="6">
        <f t="shared" si="1"/>
        <v>89.91</v>
      </c>
      <c r="J17" s="6">
        <f t="shared" si="2"/>
        <v>89.91</v>
      </c>
      <c r="K17" s="6">
        <f t="shared" si="3"/>
        <v>179.82</v>
      </c>
      <c r="L17" s="5">
        <v>539.46</v>
      </c>
      <c r="M17" s="28"/>
      <c r="N17" s="33">
        <f t="shared" si="4"/>
        <v>350</v>
      </c>
      <c r="O17" s="4">
        <v>150</v>
      </c>
      <c r="P17" s="4">
        <v>300</v>
      </c>
      <c r="Q17" s="34">
        <f t="shared" si="17"/>
        <v>325</v>
      </c>
      <c r="R17" s="4">
        <v>274</v>
      </c>
      <c r="S17" s="34">
        <f t="shared" si="5"/>
        <v>125</v>
      </c>
      <c r="T17" s="34">
        <f t="shared" si="6"/>
        <v>150</v>
      </c>
      <c r="U17" s="34">
        <f t="shared" si="7"/>
        <v>120</v>
      </c>
      <c r="V17" s="4" t="str">
        <f t="shared" si="8"/>
        <v/>
      </c>
      <c r="W17" s="4">
        <v>2</v>
      </c>
      <c r="X17" s="4">
        <v>4</v>
      </c>
      <c r="Y17" s="5"/>
      <c r="Z17" s="5"/>
      <c r="AA17" s="5"/>
      <c r="AB17" s="5"/>
      <c r="AC17" s="5"/>
      <c r="AD17" s="4"/>
      <c r="AE17" s="4"/>
      <c r="AF17" s="4">
        <v>10</v>
      </c>
      <c r="AG17" s="6">
        <f t="shared" si="18"/>
        <v>4131.4639999999999</v>
      </c>
      <c r="AH17" s="4"/>
      <c r="AI17" s="6">
        <f t="shared" si="19"/>
        <v>370.93176</v>
      </c>
      <c r="AJ17" s="4"/>
      <c r="AK17" s="6">
        <f t="shared" si="20"/>
        <v>41.214640000000003</v>
      </c>
      <c r="AL17" s="6">
        <f t="shared" si="21"/>
        <v>41.214640000000003</v>
      </c>
      <c r="AM17" s="7">
        <v>7.9</v>
      </c>
      <c r="AN17" s="6">
        <f t="shared" si="9"/>
        <v>2.4</v>
      </c>
      <c r="AO17" s="5">
        <v>4.8899999999999997</v>
      </c>
      <c r="AP17" s="5">
        <v>78.099999999999994</v>
      </c>
      <c r="AQ17" s="5">
        <v>25.5</v>
      </c>
      <c r="AR17" s="5"/>
      <c r="AS17" s="5">
        <v>2</v>
      </c>
      <c r="AT17" s="6">
        <f t="shared" si="10"/>
        <v>4.5</v>
      </c>
      <c r="AU17" s="6">
        <f t="shared" si="11"/>
        <v>2</v>
      </c>
      <c r="AV17" s="6">
        <f t="shared" si="12"/>
        <v>0.25</v>
      </c>
      <c r="AW17" s="6">
        <f t="shared" si="13"/>
        <v>3</v>
      </c>
      <c r="AX17" s="6">
        <f t="shared" si="14"/>
        <v>0.5</v>
      </c>
      <c r="AY17" s="6">
        <f t="shared" si="15"/>
        <v>94.681300000000007</v>
      </c>
      <c r="AZ17" s="5"/>
      <c r="BA17" s="5"/>
      <c r="BB17" s="5"/>
      <c r="BC17" s="5"/>
      <c r="BD17" s="5"/>
      <c r="BE17" s="4">
        <v>7.1</v>
      </c>
      <c r="BF17" s="4"/>
      <c r="BG17" s="4"/>
      <c r="BH17" s="7">
        <v>0.03</v>
      </c>
      <c r="BI17" s="6">
        <f t="shared" si="22"/>
        <v>686.21233999999993</v>
      </c>
      <c r="BJ17" s="6">
        <f t="shared" si="23"/>
        <v>3445.2516599999999</v>
      </c>
      <c r="BK17" s="8" t="s">
        <v>129</v>
      </c>
      <c r="BL17" s="8" t="s">
        <v>52</v>
      </c>
      <c r="BM17" s="8" t="s">
        <v>239</v>
      </c>
      <c r="BN17" s="38"/>
      <c r="BO17" t="s">
        <v>119</v>
      </c>
      <c r="BQ17" s="2"/>
      <c r="BT17" t="s">
        <v>138</v>
      </c>
    </row>
    <row r="18" spans="1:72" ht="24" customHeight="1">
      <c r="B18" t="str">
        <f t="shared" si="16"/>
        <v>محمد ابوالنجا محمد</v>
      </c>
      <c r="C18" s="1">
        <v>512.70000000000005</v>
      </c>
      <c r="D18" s="3">
        <v>9</v>
      </c>
      <c r="E18" s="4"/>
      <c r="F18" s="5">
        <v>1660.81</v>
      </c>
      <c r="G18" s="5">
        <v>48.19</v>
      </c>
      <c r="H18" s="6">
        <f t="shared" si="0"/>
        <v>51.27000000000001</v>
      </c>
      <c r="I18" s="6">
        <f t="shared" si="1"/>
        <v>128.17500000000001</v>
      </c>
      <c r="J18" s="6">
        <f t="shared" si="2"/>
        <v>128.18</v>
      </c>
      <c r="K18" s="6">
        <f t="shared" si="3"/>
        <v>256.35000000000002</v>
      </c>
      <c r="L18" s="5">
        <v>769.08</v>
      </c>
      <c r="M18" s="28"/>
      <c r="N18" s="33">
        <f t="shared" si="4"/>
        <v>350</v>
      </c>
      <c r="O18" s="4">
        <v>150</v>
      </c>
      <c r="P18" s="4">
        <v>300</v>
      </c>
      <c r="Q18" s="34">
        <f t="shared" si="17"/>
        <v>325</v>
      </c>
      <c r="R18" s="4"/>
      <c r="S18" s="34">
        <f t="shared" si="5"/>
        <v>125</v>
      </c>
      <c r="T18" s="34">
        <f t="shared" si="6"/>
        <v>150</v>
      </c>
      <c r="U18" s="34">
        <f t="shared" si="7"/>
        <v>120</v>
      </c>
      <c r="V18" s="4" t="str">
        <f t="shared" si="8"/>
        <v/>
      </c>
      <c r="W18" s="4">
        <v>6</v>
      </c>
      <c r="X18" s="4">
        <v>4</v>
      </c>
      <c r="Y18" s="5"/>
      <c r="Z18" s="5"/>
      <c r="AA18" s="5"/>
      <c r="AB18" s="5"/>
      <c r="AC18" s="5"/>
      <c r="AD18" s="4"/>
      <c r="AE18" s="4"/>
      <c r="AF18" s="4">
        <v>10</v>
      </c>
      <c r="AG18" s="6">
        <f t="shared" si="18"/>
        <v>4582.0550000000003</v>
      </c>
      <c r="AH18" s="4"/>
      <c r="AI18" s="6">
        <f t="shared" si="19"/>
        <v>411.48495000000003</v>
      </c>
      <c r="AJ18" s="4"/>
      <c r="AK18" s="6">
        <f t="shared" si="20"/>
        <v>45.720550000000003</v>
      </c>
      <c r="AL18" s="6">
        <f t="shared" si="21"/>
        <v>45.720550000000003</v>
      </c>
      <c r="AM18" s="7">
        <v>7.9</v>
      </c>
      <c r="AN18" s="6">
        <f t="shared" si="9"/>
        <v>2.4</v>
      </c>
      <c r="AO18" s="5"/>
      <c r="AP18" s="5">
        <v>92.6</v>
      </c>
      <c r="AQ18" s="5">
        <v>27.7</v>
      </c>
      <c r="AR18" s="5"/>
      <c r="AS18" s="5">
        <v>2</v>
      </c>
      <c r="AT18" s="6">
        <f t="shared" si="10"/>
        <v>4.5</v>
      </c>
      <c r="AU18" s="6">
        <f t="shared" si="11"/>
        <v>2</v>
      </c>
      <c r="AV18" s="6">
        <f t="shared" si="12"/>
        <v>0.25</v>
      </c>
      <c r="AW18" s="6">
        <f t="shared" si="13"/>
        <v>3</v>
      </c>
      <c r="AX18" s="6">
        <f t="shared" si="14"/>
        <v>0.5</v>
      </c>
      <c r="AY18" s="6">
        <f t="shared" si="15"/>
        <v>116.25670000000001</v>
      </c>
      <c r="AZ18" s="5"/>
      <c r="BA18" s="5"/>
      <c r="BB18" s="5"/>
      <c r="BC18" s="5"/>
      <c r="BD18" s="5"/>
      <c r="BE18" s="4"/>
      <c r="BF18" s="4"/>
      <c r="BG18" s="4"/>
      <c r="BH18" s="7">
        <v>0.02</v>
      </c>
      <c r="BI18" s="6">
        <f t="shared" si="22"/>
        <v>762.05275000000006</v>
      </c>
      <c r="BJ18" s="6">
        <f t="shared" si="23"/>
        <v>3820.0022500000005</v>
      </c>
      <c r="BK18" s="8" t="s">
        <v>130</v>
      </c>
      <c r="BL18" s="8" t="s">
        <v>52</v>
      </c>
      <c r="BM18" s="8" t="s">
        <v>241</v>
      </c>
      <c r="BN18" s="38"/>
      <c r="BO18" t="s">
        <v>119</v>
      </c>
      <c r="BQ18" s="2"/>
    </row>
    <row r="19" spans="1:72" ht="24" customHeight="1">
      <c r="B19" t="str">
        <f t="shared" si="16"/>
        <v>محمد فتحى بدر</v>
      </c>
      <c r="C19" s="1">
        <v>246</v>
      </c>
      <c r="D19" s="3">
        <v>10</v>
      </c>
      <c r="E19" s="4"/>
      <c r="F19" s="5">
        <v>1041.6300000000001</v>
      </c>
      <c r="G19" s="5">
        <v>24.12</v>
      </c>
      <c r="H19" s="6">
        <f t="shared" si="0"/>
        <v>24.6</v>
      </c>
      <c r="I19" s="6">
        <f t="shared" si="1"/>
        <v>61.5</v>
      </c>
      <c r="J19" s="6">
        <f t="shared" si="2"/>
        <v>123</v>
      </c>
      <c r="K19" s="6">
        <f t="shared" si="3"/>
        <v>123</v>
      </c>
      <c r="L19" s="5">
        <v>307.5</v>
      </c>
      <c r="M19" s="28">
        <v>40</v>
      </c>
      <c r="N19" s="33">
        <f t="shared" si="4"/>
        <v>375</v>
      </c>
      <c r="O19" s="4">
        <v>150</v>
      </c>
      <c r="P19" s="4">
        <v>200</v>
      </c>
      <c r="Q19" s="34">
        <f t="shared" si="17"/>
        <v>275</v>
      </c>
      <c r="R19" s="4">
        <v>189</v>
      </c>
      <c r="S19" s="34">
        <f t="shared" si="5"/>
        <v>100</v>
      </c>
      <c r="T19" s="34">
        <f t="shared" si="6"/>
        <v>165</v>
      </c>
      <c r="U19" s="34">
        <f t="shared" si="7"/>
        <v>85</v>
      </c>
      <c r="V19" s="4" t="str">
        <f t="shared" si="8"/>
        <v/>
      </c>
      <c r="W19" s="4">
        <v>4</v>
      </c>
      <c r="X19" s="4">
        <v>4</v>
      </c>
      <c r="Y19" s="5"/>
      <c r="Z19" s="5"/>
      <c r="AA19" s="5"/>
      <c r="AB19" s="5"/>
      <c r="AC19" s="5"/>
      <c r="AD19" s="4"/>
      <c r="AE19" s="4"/>
      <c r="AF19" s="4">
        <v>10</v>
      </c>
      <c r="AG19" s="6">
        <f t="shared" si="18"/>
        <v>3302.35</v>
      </c>
      <c r="AH19" s="4"/>
      <c r="AI19" s="6">
        <f t="shared" si="19"/>
        <v>296.31149999999997</v>
      </c>
      <c r="AJ19" s="4"/>
      <c r="AK19" s="6">
        <f t="shared" si="20"/>
        <v>32.923499999999997</v>
      </c>
      <c r="AL19" s="6">
        <f t="shared" si="21"/>
        <v>32.923499999999997</v>
      </c>
      <c r="AM19" s="7">
        <v>7</v>
      </c>
      <c r="AN19" s="6">
        <f t="shared" si="9"/>
        <v>1.7</v>
      </c>
      <c r="AO19" s="5"/>
      <c r="AP19" s="5">
        <v>26.7</v>
      </c>
      <c r="AQ19" s="5">
        <v>20.399999999999999</v>
      </c>
      <c r="AR19" s="5"/>
      <c r="AS19" s="5">
        <v>1.5</v>
      </c>
      <c r="AT19" s="6">
        <f t="shared" si="10"/>
        <v>4.5</v>
      </c>
      <c r="AU19" s="6">
        <f t="shared" si="11"/>
        <v>2</v>
      </c>
      <c r="AV19" s="6">
        <f t="shared" si="12"/>
        <v>0.25</v>
      </c>
      <c r="AW19" s="6">
        <f t="shared" si="13"/>
        <v>3</v>
      </c>
      <c r="AX19" s="6">
        <f t="shared" si="14"/>
        <v>0.5</v>
      </c>
      <c r="AY19" s="6">
        <f t="shared" si="15"/>
        <v>72.914100000000019</v>
      </c>
      <c r="AZ19" s="5"/>
      <c r="BA19" s="5"/>
      <c r="BB19" s="5"/>
      <c r="BC19" s="5"/>
      <c r="BD19" s="5"/>
      <c r="BE19" s="4"/>
      <c r="BF19" s="4"/>
      <c r="BG19" s="4"/>
      <c r="BH19" s="7">
        <v>0.03</v>
      </c>
      <c r="BI19" s="6">
        <f t="shared" si="22"/>
        <v>502.65259999999989</v>
      </c>
      <c r="BJ19" s="6">
        <f t="shared" si="23"/>
        <v>2799.6974</v>
      </c>
      <c r="BK19" s="8" t="s">
        <v>131</v>
      </c>
      <c r="BL19" s="8" t="s">
        <v>53</v>
      </c>
      <c r="BM19" s="8" t="s">
        <v>242</v>
      </c>
      <c r="BN19" s="38"/>
      <c r="BO19" t="s">
        <v>119</v>
      </c>
      <c r="BQ19" s="2"/>
    </row>
    <row r="20" spans="1:72" ht="24" customHeight="1">
      <c r="B20" t="str">
        <f t="shared" si="16"/>
        <v>ايمان محمد ابراهيم</v>
      </c>
      <c r="C20" s="1">
        <v>258</v>
      </c>
      <c r="D20" s="3">
        <v>11</v>
      </c>
      <c r="E20" s="4"/>
      <c r="F20" s="5">
        <v>1154.67</v>
      </c>
      <c r="G20" s="5">
        <v>24.92</v>
      </c>
      <c r="H20" s="6">
        <f t="shared" si="0"/>
        <v>25.8</v>
      </c>
      <c r="I20" s="6">
        <f t="shared" si="1"/>
        <v>64.5</v>
      </c>
      <c r="J20" s="6">
        <f t="shared" si="2"/>
        <v>129</v>
      </c>
      <c r="K20" s="6">
        <f t="shared" si="3"/>
        <v>129</v>
      </c>
      <c r="L20" s="5">
        <v>322.5</v>
      </c>
      <c r="M20" s="28"/>
      <c r="N20" s="33">
        <f t="shared" si="4"/>
        <v>375</v>
      </c>
      <c r="O20" s="4">
        <v>150</v>
      </c>
      <c r="P20" s="4">
        <v>250</v>
      </c>
      <c r="Q20" s="34">
        <f t="shared" si="17"/>
        <v>275</v>
      </c>
      <c r="R20" s="4">
        <v>360</v>
      </c>
      <c r="S20" s="34">
        <f t="shared" si="5"/>
        <v>100</v>
      </c>
      <c r="T20" s="34">
        <f t="shared" si="6"/>
        <v>165</v>
      </c>
      <c r="U20" s="34">
        <f t="shared" si="7"/>
        <v>85</v>
      </c>
      <c r="V20" s="4" t="str">
        <f t="shared" si="8"/>
        <v/>
      </c>
      <c r="W20" s="4">
        <v>2</v>
      </c>
      <c r="X20" s="4">
        <v>4</v>
      </c>
      <c r="Y20" s="5"/>
      <c r="Z20" s="5"/>
      <c r="AA20" s="5"/>
      <c r="AB20" s="5"/>
      <c r="AC20" s="5"/>
      <c r="AD20" s="4"/>
      <c r="AE20" s="4"/>
      <c r="AF20" s="4">
        <v>10</v>
      </c>
      <c r="AG20" s="6">
        <f t="shared" si="18"/>
        <v>3626.3900000000003</v>
      </c>
      <c r="AH20" s="4"/>
      <c r="AI20" s="6">
        <f t="shared" si="19"/>
        <v>325.4751</v>
      </c>
      <c r="AJ20" s="4"/>
      <c r="AK20" s="6">
        <f t="shared" si="20"/>
        <v>36.163900000000005</v>
      </c>
      <c r="AL20" s="6">
        <f t="shared" si="21"/>
        <v>36.163900000000005</v>
      </c>
      <c r="AM20" s="7">
        <v>7</v>
      </c>
      <c r="AN20" s="6">
        <f t="shared" si="9"/>
        <v>1.7</v>
      </c>
      <c r="AO20" s="5"/>
      <c r="AP20" s="5">
        <v>35.799999999999997</v>
      </c>
      <c r="AQ20" s="5">
        <v>22.4</v>
      </c>
      <c r="AR20" s="5"/>
      <c r="AS20" s="5">
        <v>1.5</v>
      </c>
      <c r="AT20" s="6">
        <f t="shared" si="10"/>
        <v>4.5</v>
      </c>
      <c r="AU20" s="6">
        <f t="shared" si="11"/>
        <v>2</v>
      </c>
      <c r="AV20" s="6">
        <f t="shared" si="12"/>
        <v>0.25</v>
      </c>
      <c r="AW20" s="6">
        <f t="shared" si="13"/>
        <v>3</v>
      </c>
      <c r="AX20" s="6">
        <f t="shared" si="14"/>
        <v>0.5</v>
      </c>
      <c r="AY20" s="6">
        <f t="shared" si="15"/>
        <v>80.826900000000009</v>
      </c>
      <c r="AZ20" s="5"/>
      <c r="BA20" s="5"/>
      <c r="BB20" s="5"/>
      <c r="BC20" s="5"/>
      <c r="BD20" s="5"/>
      <c r="BE20" s="4"/>
      <c r="BF20" s="4"/>
      <c r="BG20" s="4"/>
      <c r="BH20" s="7">
        <v>0.01</v>
      </c>
      <c r="BI20" s="6">
        <f t="shared" si="22"/>
        <v>557.28980000000001</v>
      </c>
      <c r="BJ20" s="6">
        <f t="shared" si="23"/>
        <v>3069.1002000000003</v>
      </c>
      <c r="BK20" s="8" t="s">
        <v>132</v>
      </c>
      <c r="BL20" s="8" t="s">
        <v>53</v>
      </c>
      <c r="BM20" s="8" t="s">
        <v>240</v>
      </c>
      <c r="BN20" s="38"/>
      <c r="BO20" t="s">
        <v>119</v>
      </c>
      <c r="BQ20" s="2"/>
    </row>
    <row r="21" spans="1:72" ht="24" customHeight="1">
      <c r="A21">
        <v>945.29</v>
      </c>
      <c r="B21" t="str">
        <f t="shared" si="16"/>
        <v xml:space="preserve">عبدالحليم انور صالح </v>
      </c>
      <c r="C21" s="1"/>
      <c r="D21" s="3">
        <v>12</v>
      </c>
      <c r="E21" s="4"/>
      <c r="F21" s="5"/>
      <c r="G21" s="5"/>
      <c r="H21" s="6" t="str">
        <f t="shared" si="0"/>
        <v/>
      </c>
      <c r="I21" s="6" t="str">
        <f t="shared" si="1"/>
        <v/>
      </c>
      <c r="J21" s="6" t="str">
        <f t="shared" si="2"/>
        <v/>
      </c>
      <c r="K21" s="6" t="str">
        <f t="shared" si="3"/>
        <v/>
      </c>
      <c r="L21" s="5"/>
      <c r="M21" s="28"/>
      <c r="N21" s="33" t="str">
        <f t="shared" si="4"/>
        <v/>
      </c>
      <c r="O21" s="4">
        <v>150</v>
      </c>
      <c r="P21" s="4">
        <v>300</v>
      </c>
      <c r="Q21" s="34">
        <f t="shared" si="17"/>
        <v>325</v>
      </c>
      <c r="R21" s="4"/>
      <c r="S21" s="34" t="str">
        <f t="shared" si="5"/>
        <v/>
      </c>
      <c r="T21" s="34" t="str">
        <f t="shared" si="6"/>
        <v/>
      </c>
      <c r="U21" s="34" t="str">
        <f t="shared" si="7"/>
        <v/>
      </c>
      <c r="V21" s="4">
        <f t="shared" si="8"/>
        <v>85</v>
      </c>
      <c r="W21" s="4"/>
      <c r="X21" s="4"/>
      <c r="Y21" s="5"/>
      <c r="Z21" s="5">
        <v>2886.61</v>
      </c>
      <c r="AA21" s="5">
        <v>344.91</v>
      </c>
      <c r="AB21" s="5">
        <v>73.33</v>
      </c>
      <c r="AC21" s="5"/>
      <c r="AD21" s="4"/>
      <c r="AE21" s="4"/>
      <c r="AF21" s="4"/>
      <c r="AG21" s="6">
        <f t="shared" si="18"/>
        <v>4164.8500000000004</v>
      </c>
      <c r="AH21" s="4"/>
      <c r="AI21" s="6">
        <f t="shared" si="19"/>
        <v>374.8365</v>
      </c>
      <c r="AJ21" s="4"/>
      <c r="AK21" s="6">
        <f t="shared" si="20"/>
        <v>41.648500000000006</v>
      </c>
      <c r="AL21" s="6">
        <f t="shared" si="21"/>
        <v>41.648500000000006</v>
      </c>
      <c r="AM21" s="7">
        <v>5</v>
      </c>
      <c r="AN21" s="6" t="str">
        <f t="shared" si="9"/>
        <v/>
      </c>
      <c r="AO21" s="5"/>
      <c r="AP21" s="5">
        <v>47.5</v>
      </c>
      <c r="AQ21" s="5">
        <v>30.3</v>
      </c>
      <c r="AR21" s="5"/>
      <c r="AS21" s="5">
        <v>2</v>
      </c>
      <c r="AT21" s="6" t="str">
        <f t="shared" si="10"/>
        <v/>
      </c>
      <c r="AU21" s="6" t="str">
        <f t="shared" si="11"/>
        <v/>
      </c>
      <c r="AV21" s="6" t="str">
        <f t="shared" si="12"/>
        <v/>
      </c>
      <c r="AW21" s="6" t="str">
        <f t="shared" si="13"/>
        <v/>
      </c>
      <c r="AX21" s="6" t="str">
        <f t="shared" si="14"/>
        <v/>
      </c>
      <c r="AY21" s="6" t="str">
        <f t="shared" si="15"/>
        <v/>
      </c>
      <c r="AZ21" s="5">
        <v>9</v>
      </c>
      <c r="BA21" s="5"/>
      <c r="BB21" s="5"/>
      <c r="BC21" s="5"/>
      <c r="BD21" s="5"/>
      <c r="BE21" s="4"/>
      <c r="BF21" s="4"/>
      <c r="BG21" s="4"/>
      <c r="BH21" s="7">
        <v>0.02</v>
      </c>
      <c r="BI21" s="6">
        <f t="shared" si="22"/>
        <v>551.95349999999996</v>
      </c>
      <c r="BJ21" s="6">
        <f t="shared" si="23"/>
        <v>3612.8965000000003</v>
      </c>
      <c r="BK21" s="8" t="s">
        <v>133</v>
      </c>
      <c r="BL21" s="8" t="s">
        <v>52</v>
      </c>
      <c r="BM21" s="8" t="s">
        <v>242</v>
      </c>
      <c r="BN21" s="38"/>
      <c r="BQ21" s="2"/>
    </row>
    <row r="22" spans="1:72" ht="24" customHeight="1">
      <c r="A22">
        <v>593.88</v>
      </c>
      <c r="B22" t="str">
        <f t="shared" si="16"/>
        <v>رمضان الصباحى السعداوى</v>
      </c>
      <c r="C22" s="1"/>
      <c r="D22" s="3">
        <v>13</v>
      </c>
      <c r="E22" s="4"/>
      <c r="F22" s="5"/>
      <c r="G22" s="5"/>
      <c r="H22" s="6" t="str">
        <f t="shared" si="0"/>
        <v/>
      </c>
      <c r="I22" s="6" t="str">
        <f t="shared" si="1"/>
        <v/>
      </c>
      <c r="J22" s="6" t="str">
        <f t="shared" si="2"/>
        <v/>
      </c>
      <c r="K22" s="6" t="str">
        <f t="shared" si="3"/>
        <v/>
      </c>
      <c r="L22" s="5"/>
      <c r="M22" s="28"/>
      <c r="N22" s="33" t="str">
        <f t="shared" si="4"/>
        <v/>
      </c>
      <c r="O22" s="4">
        <v>150</v>
      </c>
      <c r="P22" s="4">
        <v>250</v>
      </c>
      <c r="Q22" s="34">
        <f t="shared" si="17"/>
        <v>275</v>
      </c>
      <c r="R22" s="4">
        <v>144</v>
      </c>
      <c r="S22" s="34" t="str">
        <f t="shared" si="5"/>
        <v/>
      </c>
      <c r="T22" s="34" t="str">
        <f t="shared" si="6"/>
        <v/>
      </c>
      <c r="U22" s="34" t="str">
        <f t="shared" si="7"/>
        <v/>
      </c>
      <c r="V22" s="4">
        <f t="shared" si="8"/>
        <v>65</v>
      </c>
      <c r="W22" s="4"/>
      <c r="X22" s="4"/>
      <c r="Y22" s="5"/>
      <c r="Z22" s="5">
        <v>2276</v>
      </c>
      <c r="AA22" s="5">
        <v>216.69</v>
      </c>
      <c r="AB22" s="5">
        <v>47.78</v>
      </c>
      <c r="AC22" s="5"/>
      <c r="AD22" s="4"/>
      <c r="AE22" s="4"/>
      <c r="AF22" s="4"/>
      <c r="AG22" s="6">
        <f t="shared" si="18"/>
        <v>3424.4700000000003</v>
      </c>
      <c r="AH22" s="4"/>
      <c r="AI22" s="6">
        <f t="shared" si="19"/>
        <v>308.20230000000004</v>
      </c>
      <c r="AJ22" s="4">
        <v>18.52</v>
      </c>
      <c r="AK22" s="6">
        <f t="shared" si="20"/>
        <v>34.244700000000002</v>
      </c>
      <c r="AL22" s="6">
        <f t="shared" si="21"/>
        <v>34.244700000000002</v>
      </c>
      <c r="AM22" s="7">
        <v>5</v>
      </c>
      <c r="AN22" s="6" t="str">
        <f t="shared" si="9"/>
        <v/>
      </c>
      <c r="AO22" s="5"/>
      <c r="AP22" s="5">
        <v>32.200000000000003</v>
      </c>
      <c r="AQ22" s="5">
        <v>24.95</v>
      </c>
      <c r="AR22" s="5"/>
      <c r="AS22" s="5">
        <v>1.5</v>
      </c>
      <c r="AT22" s="6" t="str">
        <f t="shared" si="10"/>
        <v/>
      </c>
      <c r="AU22" s="6" t="str">
        <f t="shared" si="11"/>
        <v/>
      </c>
      <c r="AV22" s="6" t="str">
        <f t="shared" si="12"/>
        <v/>
      </c>
      <c r="AW22" s="6" t="str">
        <f t="shared" si="13"/>
        <v/>
      </c>
      <c r="AX22" s="6" t="str">
        <f t="shared" si="14"/>
        <v/>
      </c>
      <c r="AY22" s="6" t="str">
        <f t="shared" si="15"/>
        <v/>
      </c>
      <c r="AZ22" s="5">
        <v>9</v>
      </c>
      <c r="BA22" s="5"/>
      <c r="BB22" s="5"/>
      <c r="BC22" s="5"/>
      <c r="BD22" s="5"/>
      <c r="BE22" s="4"/>
      <c r="BF22" s="4"/>
      <c r="BG22" s="4"/>
      <c r="BH22" s="7">
        <v>0.01</v>
      </c>
      <c r="BI22" s="6">
        <f t="shared" si="22"/>
        <v>467.87170000000003</v>
      </c>
      <c r="BJ22" s="6">
        <f t="shared" si="23"/>
        <v>2956.5983000000001</v>
      </c>
      <c r="BK22" s="8" t="s">
        <v>134</v>
      </c>
      <c r="BL22" s="8" t="s">
        <v>53</v>
      </c>
      <c r="BM22" s="8" t="s">
        <v>239</v>
      </c>
      <c r="BN22" s="38"/>
      <c r="BQ22" s="2"/>
    </row>
    <row r="23" spans="1:72" ht="24" customHeight="1">
      <c r="A23">
        <v>676.45</v>
      </c>
      <c r="B23" t="str">
        <f t="shared" si="16"/>
        <v>حسن شان غازى سليمان</v>
      </c>
      <c r="C23" s="1"/>
      <c r="D23" s="3">
        <v>14</v>
      </c>
      <c r="E23" s="9"/>
      <c r="F23" s="10"/>
      <c r="G23" s="5"/>
      <c r="H23" s="6" t="str">
        <f t="shared" si="0"/>
        <v/>
      </c>
      <c r="I23" s="6" t="str">
        <f t="shared" si="1"/>
        <v/>
      </c>
      <c r="J23" s="6" t="str">
        <f t="shared" si="2"/>
        <v/>
      </c>
      <c r="K23" s="6" t="str">
        <f t="shared" si="3"/>
        <v/>
      </c>
      <c r="L23" s="5"/>
      <c r="M23" s="29"/>
      <c r="N23" s="33" t="str">
        <f t="shared" si="4"/>
        <v/>
      </c>
      <c r="O23" s="4">
        <v>150</v>
      </c>
      <c r="P23" s="4">
        <v>200</v>
      </c>
      <c r="Q23" s="34">
        <f t="shared" si="17"/>
        <v>225</v>
      </c>
      <c r="R23" s="9"/>
      <c r="S23" s="34" t="str">
        <f t="shared" si="5"/>
        <v/>
      </c>
      <c r="T23" s="34" t="str">
        <f t="shared" si="6"/>
        <v/>
      </c>
      <c r="U23" s="34" t="str">
        <f t="shared" si="7"/>
        <v/>
      </c>
      <c r="V23" s="4">
        <f t="shared" si="8"/>
        <v>55</v>
      </c>
      <c r="W23" s="4"/>
      <c r="X23" s="4"/>
      <c r="Y23" s="10"/>
      <c r="Z23" s="10">
        <v>2469.4699999999998</v>
      </c>
      <c r="AA23" s="10">
        <v>246.82</v>
      </c>
      <c r="AB23" s="10">
        <v>53.33</v>
      </c>
      <c r="AC23" s="10"/>
      <c r="AD23" s="9"/>
      <c r="AE23" s="9"/>
      <c r="AF23" s="4"/>
      <c r="AG23" s="6">
        <f t="shared" si="18"/>
        <v>3399.62</v>
      </c>
      <c r="AH23" s="4"/>
      <c r="AI23" s="6">
        <f t="shared" si="19"/>
        <v>305.9658</v>
      </c>
      <c r="AJ23" s="4"/>
      <c r="AK23" s="6">
        <f t="shared" si="20"/>
        <v>33.996200000000002</v>
      </c>
      <c r="AL23" s="6">
        <f t="shared" si="21"/>
        <v>33.996200000000002</v>
      </c>
      <c r="AM23" s="7">
        <v>5</v>
      </c>
      <c r="AN23" s="6" t="str">
        <f t="shared" si="9"/>
        <v/>
      </c>
      <c r="AO23" s="5"/>
      <c r="AP23" s="5">
        <v>32.200000000000003</v>
      </c>
      <c r="AQ23" s="5">
        <v>24.7</v>
      </c>
      <c r="AR23" s="5"/>
      <c r="AS23" s="5">
        <v>1.5</v>
      </c>
      <c r="AT23" s="6" t="str">
        <f t="shared" si="10"/>
        <v/>
      </c>
      <c r="AU23" s="6" t="str">
        <f t="shared" si="11"/>
        <v/>
      </c>
      <c r="AV23" s="6" t="str">
        <f t="shared" si="12"/>
        <v/>
      </c>
      <c r="AW23" s="6" t="str">
        <f t="shared" si="13"/>
        <v/>
      </c>
      <c r="AX23" s="6" t="str">
        <f t="shared" si="14"/>
        <v/>
      </c>
      <c r="AY23" s="6" t="str">
        <f t="shared" si="15"/>
        <v/>
      </c>
      <c r="AZ23" s="5"/>
      <c r="BA23" s="5"/>
      <c r="BB23" s="5"/>
      <c r="BC23" s="5"/>
      <c r="BD23" s="5"/>
      <c r="BE23" s="4"/>
      <c r="BF23" s="4"/>
      <c r="BG23" s="4"/>
      <c r="BH23" s="7">
        <v>0.01</v>
      </c>
      <c r="BI23" s="6">
        <f t="shared" si="22"/>
        <v>437.36819999999994</v>
      </c>
      <c r="BJ23" s="6">
        <f t="shared" si="23"/>
        <v>2962.2518</v>
      </c>
      <c r="BK23" s="11" t="s">
        <v>135</v>
      </c>
      <c r="BL23" s="8" t="s">
        <v>54</v>
      </c>
      <c r="BM23" s="8" t="s">
        <v>239</v>
      </c>
      <c r="BN23" s="38"/>
      <c r="BQ23" s="2"/>
    </row>
    <row r="24" spans="1:72" ht="24" customHeight="1">
      <c r="A24">
        <v>678.27</v>
      </c>
      <c r="B24" t="str">
        <f t="shared" si="16"/>
        <v>عبدالحميد عبدالمنعم عبدالحليم</v>
      </c>
      <c r="C24" s="1"/>
      <c r="D24" s="3">
        <v>15</v>
      </c>
      <c r="E24" s="9"/>
      <c r="F24" s="10"/>
      <c r="G24" s="5"/>
      <c r="H24" s="6" t="str">
        <f t="shared" si="0"/>
        <v/>
      </c>
      <c r="I24" s="6" t="str">
        <f t="shared" si="1"/>
        <v/>
      </c>
      <c r="J24" s="6" t="str">
        <f t="shared" si="2"/>
        <v/>
      </c>
      <c r="K24" s="6" t="str">
        <f t="shared" si="3"/>
        <v/>
      </c>
      <c r="L24" s="5"/>
      <c r="M24" s="29"/>
      <c r="N24" s="33" t="str">
        <f t="shared" si="4"/>
        <v/>
      </c>
      <c r="O24" s="4">
        <v>150</v>
      </c>
      <c r="P24" s="4">
        <v>200</v>
      </c>
      <c r="Q24" s="34">
        <f t="shared" si="17"/>
        <v>225</v>
      </c>
      <c r="R24" s="9"/>
      <c r="S24" s="34" t="str">
        <f t="shared" si="5"/>
        <v/>
      </c>
      <c r="T24" s="34" t="str">
        <f t="shared" si="6"/>
        <v/>
      </c>
      <c r="U24" s="34" t="str">
        <f t="shared" si="7"/>
        <v/>
      </c>
      <c r="V24" s="4">
        <f t="shared" si="8"/>
        <v>55</v>
      </c>
      <c r="W24" s="4"/>
      <c r="X24" s="4"/>
      <c r="Y24" s="10"/>
      <c r="Z24" s="10">
        <v>2474.16</v>
      </c>
      <c r="AA24" s="10">
        <v>247.48</v>
      </c>
      <c r="AB24" s="10">
        <v>54.44</v>
      </c>
      <c r="AC24" s="10"/>
      <c r="AD24" s="9"/>
      <c r="AE24" s="9"/>
      <c r="AF24" s="4"/>
      <c r="AG24" s="6">
        <f t="shared" si="18"/>
        <v>3406.08</v>
      </c>
      <c r="AH24" s="4"/>
      <c r="AI24" s="6">
        <f t="shared" si="19"/>
        <v>306.54719999999998</v>
      </c>
      <c r="AJ24" s="4">
        <v>3.55</v>
      </c>
      <c r="AK24" s="6">
        <f t="shared" si="20"/>
        <v>34.0608</v>
      </c>
      <c r="AL24" s="6">
        <f t="shared" si="21"/>
        <v>34.0608</v>
      </c>
      <c r="AM24" s="7">
        <v>5</v>
      </c>
      <c r="AN24" s="6" t="str">
        <f t="shared" si="9"/>
        <v/>
      </c>
      <c r="AO24" s="5"/>
      <c r="AP24" s="5">
        <v>37.700000000000003</v>
      </c>
      <c r="AQ24" s="5">
        <v>24.75</v>
      </c>
      <c r="AR24" s="5"/>
      <c r="AS24" s="5">
        <v>1.5</v>
      </c>
      <c r="AT24" s="6" t="str">
        <f t="shared" si="10"/>
        <v/>
      </c>
      <c r="AU24" s="6" t="str">
        <f t="shared" si="11"/>
        <v/>
      </c>
      <c r="AV24" s="6" t="str">
        <f t="shared" si="12"/>
        <v/>
      </c>
      <c r="AW24" s="6" t="str">
        <f t="shared" si="13"/>
        <v/>
      </c>
      <c r="AX24" s="6" t="str">
        <f t="shared" si="14"/>
        <v/>
      </c>
      <c r="AY24" s="6" t="str">
        <f t="shared" si="15"/>
        <v/>
      </c>
      <c r="AZ24" s="5"/>
      <c r="BA24" s="5"/>
      <c r="BB24" s="5"/>
      <c r="BC24" s="5"/>
      <c r="BD24" s="5"/>
      <c r="BE24" s="4"/>
      <c r="BF24" s="4"/>
      <c r="BG24" s="4"/>
      <c r="BH24" s="7">
        <v>0.01</v>
      </c>
      <c r="BI24" s="6">
        <f t="shared" si="22"/>
        <v>447.17879999999997</v>
      </c>
      <c r="BJ24" s="6">
        <f t="shared" si="23"/>
        <v>2958.9011999999998</v>
      </c>
      <c r="BK24" s="11" t="s">
        <v>136</v>
      </c>
      <c r="BL24" s="8" t="s">
        <v>54</v>
      </c>
      <c r="BM24" s="8" t="s">
        <v>239</v>
      </c>
      <c r="BN24" s="38"/>
      <c r="BQ24" s="2"/>
    </row>
    <row r="25" spans="1:72" ht="24" customHeight="1">
      <c r="B25">
        <f t="shared" si="16"/>
        <v>0</v>
      </c>
      <c r="C25" s="1"/>
      <c r="D25" s="3"/>
      <c r="E25" s="9"/>
      <c r="F25" s="10"/>
      <c r="G25" s="5"/>
      <c r="H25" s="6" t="str">
        <f t="shared" si="0"/>
        <v/>
      </c>
      <c r="I25" s="6" t="str">
        <f t="shared" si="1"/>
        <v/>
      </c>
      <c r="J25" s="6" t="str">
        <f t="shared" si="2"/>
        <v/>
      </c>
      <c r="K25" s="6" t="str">
        <f t="shared" si="3"/>
        <v/>
      </c>
      <c r="L25" s="5"/>
      <c r="M25" s="29"/>
      <c r="N25" s="33" t="str">
        <f t="shared" si="4"/>
        <v/>
      </c>
      <c r="O25" s="4"/>
      <c r="P25" s="9"/>
      <c r="Q25" s="34">
        <f t="shared" si="17"/>
        <v>0</v>
      </c>
      <c r="R25" s="9"/>
      <c r="S25" s="34" t="str">
        <f t="shared" si="5"/>
        <v/>
      </c>
      <c r="T25" s="34" t="str">
        <f t="shared" si="6"/>
        <v/>
      </c>
      <c r="U25" s="34" t="str">
        <f t="shared" si="7"/>
        <v/>
      </c>
      <c r="V25" s="4">
        <f t="shared" si="8"/>
        <v>0</v>
      </c>
      <c r="W25" s="4"/>
      <c r="X25" s="4"/>
      <c r="Y25" s="10"/>
      <c r="Z25" s="10"/>
      <c r="AA25" s="10"/>
      <c r="AB25" s="10"/>
      <c r="AC25" s="10"/>
      <c r="AD25" s="9"/>
      <c r="AE25" s="9"/>
      <c r="AF25" s="4"/>
      <c r="AG25" s="6">
        <f t="shared" si="18"/>
        <v>0</v>
      </c>
      <c r="AH25" s="4"/>
      <c r="AI25" s="6">
        <f t="shared" si="19"/>
        <v>0</v>
      </c>
      <c r="AJ25" s="4"/>
      <c r="AK25" s="6">
        <f t="shared" si="20"/>
        <v>0</v>
      </c>
      <c r="AL25" s="6">
        <f t="shared" si="21"/>
        <v>0</v>
      </c>
      <c r="AM25" s="7"/>
      <c r="AN25" s="6" t="str">
        <f t="shared" si="9"/>
        <v/>
      </c>
      <c r="AO25" s="5"/>
      <c r="AP25" s="5"/>
      <c r="AQ25" s="5"/>
      <c r="AR25" s="5"/>
      <c r="AS25" s="5"/>
      <c r="AT25" s="6" t="str">
        <f t="shared" si="10"/>
        <v/>
      </c>
      <c r="AU25" s="6" t="str">
        <f t="shared" si="11"/>
        <v/>
      </c>
      <c r="AV25" s="6" t="str">
        <f t="shared" si="12"/>
        <v/>
      </c>
      <c r="AW25" s="6" t="str">
        <f t="shared" si="13"/>
        <v/>
      </c>
      <c r="AX25" s="6" t="str">
        <f t="shared" si="14"/>
        <v/>
      </c>
      <c r="AY25" s="6" t="str">
        <f t="shared" si="15"/>
        <v/>
      </c>
      <c r="AZ25" s="5"/>
      <c r="BA25" s="5"/>
      <c r="BB25" s="5"/>
      <c r="BC25" s="5"/>
      <c r="BD25" s="5"/>
      <c r="BE25" s="4"/>
      <c r="BF25" s="4"/>
      <c r="BG25" s="4"/>
      <c r="BH25" s="7"/>
      <c r="BI25" s="6"/>
      <c r="BJ25" s="6"/>
      <c r="BK25" s="11"/>
      <c r="BL25" s="11"/>
      <c r="BM25" s="11"/>
      <c r="BN25" s="38"/>
      <c r="BQ25" s="2"/>
    </row>
    <row r="26" spans="1:72" ht="24" customHeight="1">
      <c r="B26">
        <f t="shared" si="16"/>
        <v>0</v>
      </c>
      <c r="C26" s="1"/>
      <c r="D26" s="3"/>
      <c r="E26" s="9"/>
      <c r="F26" s="10"/>
      <c r="G26" s="5"/>
      <c r="H26" s="6" t="str">
        <f t="shared" si="0"/>
        <v/>
      </c>
      <c r="I26" s="6" t="str">
        <f t="shared" si="1"/>
        <v/>
      </c>
      <c r="J26" s="6" t="str">
        <f t="shared" si="2"/>
        <v/>
      </c>
      <c r="K26" s="6" t="str">
        <f t="shared" si="3"/>
        <v/>
      </c>
      <c r="L26" s="5"/>
      <c r="M26" s="29"/>
      <c r="N26" s="33" t="str">
        <f t="shared" si="4"/>
        <v/>
      </c>
      <c r="O26" s="4"/>
      <c r="P26" s="9"/>
      <c r="Q26" s="34">
        <f t="shared" si="17"/>
        <v>0</v>
      </c>
      <c r="R26" s="9"/>
      <c r="S26" s="34" t="str">
        <f t="shared" si="5"/>
        <v/>
      </c>
      <c r="T26" s="34" t="str">
        <f t="shared" si="6"/>
        <v/>
      </c>
      <c r="U26" s="34" t="str">
        <f t="shared" si="7"/>
        <v/>
      </c>
      <c r="V26" s="4">
        <f t="shared" si="8"/>
        <v>0</v>
      </c>
      <c r="W26" s="4"/>
      <c r="X26" s="4"/>
      <c r="Y26" s="10"/>
      <c r="Z26" s="10"/>
      <c r="AA26" s="10"/>
      <c r="AB26" s="10"/>
      <c r="AC26" s="10"/>
      <c r="AD26" s="9"/>
      <c r="AE26" s="9"/>
      <c r="AF26" s="4"/>
      <c r="AG26" s="6">
        <f t="shared" si="18"/>
        <v>0</v>
      </c>
      <c r="AH26" s="4"/>
      <c r="AI26" s="6">
        <f t="shared" si="19"/>
        <v>0</v>
      </c>
      <c r="AJ26" s="4"/>
      <c r="AK26" s="6">
        <f t="shared" si="20"/>
        <v>0</v>
      </c>
      <c r="AL26" s="6">
        <f t="shared" si="21"/>
        <v>0</v>
      </c>
      <c r="AM26" s="7"/>
      <c r="AN26" s="6" t="str">
        <f t="shared" si="9"/>
        <v/>
      </c>
      <c r="AO26" s="5"/>
      <c r="AP26" s="5"/>
      <c r="AQ26" s="5"/>
      <c r="AR26" s="5"/>
      <c r="AS26" s="5"/>
      <c r="AT26" s="6" t="str">
        <f t="shared" si="10"/>
        <v/>
      </c>
      <c r="AU26" s="6" t="str">
        <f t="shared" si="11"/>
        <v/>
      </c>
      <c r="AV26" s="6" t="str">
        <f t="shared" si="12"/>
        <v/>
      </c>
      <c r="AW26" s="6" t="str">
        <f t="shared" si="13"/>
        <v/>
      </c>
      <c r="AX26" s="6" t="str">
        <f t="shared" si="14"/>
        <v/>
      </c>
      <c r="AY26" s="6" t="str">
        <f t="shared" si="15"/>
        <v/>
      </c>
      <c r="AZ26" s="5"/>
      <c r="BA26" s="5"/>
      <c r="BB26" s="5"/>
      <c r="BC26" s="5"/>
      <c r="BD26" s="5"/>
      <c r="BE26" s="4"/>
      <c r="BF26" s="4"/>
      <c r="BG26" s="4"/>
      <c r="BH26" s="7"/>
      <c r="BI26" s="6"/>
      <c r="BJ26" s="6"/>
      <c r="BK26" s="11"/>
      <c r="BL26" s="11"/>
      <c r="BM26" s="11"/>
      <c r="BN26" s="38"/>
      <c r="BQ26" s="2"/>
    </row>
    <row r="27" spans="1:72" ht="24" customHeight="1">
      <c r="B27">
        <f t="shared" si="16"/>
        <v>0</v>
      </c>
      <c r="C27" s="1"/>
      <c r="D27" s="3"/>
      <c r="E27" s="9"/>
      <c r="F27" s="10"/>
      <c r="G27" s="5"/>
      <c r="H27" s="6" t="str">
        <f t="shared" si="0"/>
        <v/>
      </c>
      <c r="I27" s="6" t="str">
        <f t="shared" si="1"/>
        <v/>
      </c>
      <c r="J27" s="6" t="str">
        <f t="shared" si="2"/>
        <v/>
      </c>
      <c r="K27" s="6" t="str">
        <f t="shared" si="3"/>
        <v/>
      </c>
      <c r="L27" s="5"/>
      <c r="M27" s="29"/>
      <c r="N27" s="33" t="str">
        <f t="shared" si="4"/>
        <v/>
      </c>
      <c r="O27" s="4"/>
      <c r="P27" s="9"/>
      <c r="Q27" s="34">
        <f t="shared" si="17"/>
        <v>0</v>
      </c>
      <c r="R27" s="9"/>
      <c r="S27" s="34" t="str">
        <f t="shared" si="5"/>
        <v/>
      </c>
      <c r="T27" s="34" t="str">
        <f t="shared" si="6"/>
        <v/>
      </c>
      <c r="U27" s="34" t="str">
        <f t="shared" si="7"/>
        <v/>
      </c>
      <c r="V27" s="4">
        <f t="shared" si="8"/>
        <v>0</v>
      </c>
      <c r="W27" s="4"/>
      <c r="X27" s="4"/>
      <c r="Y27" s="10"/>
      <c r="Z27" s="10"/>
      <c r="AA27" s="10"/>
      <c r="AB27" s="10"/>
      <c r="AC27" s="10"/>
      <c r="AD27" s="9"/>
      <c r="AE27" s="9"/>
      <c r="AF27" s="4"/>
      <c r="AG27" s="6">
        <f t="shared" si="18"/>
        <v>0</v>
      </c>
      <c r="AH27" s="4"/>
      <c r="AI27" s="6">
        <f t="shared" si="19"/>
        <v>0</v>
      </c>
      <c r="AJ27" s="4"/>
      <c r="AK27" s="6">
        <f t="shared" si="20"/>
        <v>0</v>
      </c>
      <c r="AL27" s="6">
        <f t="shared" si="21"/>
        <v>0</v>
      </c>
      <c r="AM27" s="7"/>
      <c r="AN27" s="6" t="str">
        <f t="shared" si="9"/>
        <v/>
      </c>
      <c r="AO27" s="5"/>
      <c r="AP27" s="5"/>
      <c r="AQ27" s="5"/>
      <c r="AR27" s="5"/>
      <c r="AS27" s="5"/>
      <c r="AT27" s="6" t="str">
        <f t="shared" si="10"/>
        <v/>
      </c>
      <c r="AU27" s="6" t="str">
        <f t="shared" si="11"/>
        <v/>
      </c>
      <c r="AV27" s="6" t="str">
        <f t="shared" si="12"/>
        <v/>
      </c>
      <c r="AW27" s="6" t="str">
        <f t="shared" si="13"/>
        <v/>
      </c>
      <c r="AX27" s="6" t="str">
        <f t="shared" si="14"/>
        <v/>
      </c>
      <c r="AY27" s="6" t="str">
        <f t="shared" si="15"/>
        <v/>
      </c>
      <c r="AZ27" s="5"/>
      <c r="BA27" s="5"/>
      <c r="BB27" s="5"/>
      <c r="BC27" s="5"/>
      <c r="BD27" s="5"/>
      <c r="BE27" s="4"/>
      <c r="BF27" s="4"/>
      <c r="BG27" s="4"/>
      <c r="BH27" s="7"/>
      <c r="BI27" s="6"/>
      <c r="BJ27" s="6"/>
      <c r="BK27" s="11"/>
      <c r="BL27" s="11"/>
      <c r="BM27" s="11"/>
      <c r="BN27" s="38"/>
      <c r="BQ27" s="2"/>
    </row>
    <row r="28" spans="1:72" ht="24" customHeight="1">
      <c r="B28">
        <f t="shared" si="16"/>
        <v>0</v>
      </c>
      <c r="C28" s="1"/>
      <c r="D28" s="3"/>
      <c r="E28" s="9"/>
      <c r="F28" s="10"/>
      <c r="G28" s="5"/>
      <c r="H28" s="6" t="str">
        <f t="shared" si="0"/>
        <v/>
      </c>
      <c r="I28" s="6" t="str">
        <f t="shared" si="1"/>
        <v/>
      </c>
      <c r="J28" s="6" t="str">
        <f t="shared" si="2"/>
        <v/>
      </c>
      <c r="K28" s="6" t="str">
        <f t="shared" si="3"/>
        <v/>
      </c>
      <c r="L28" s="5"/>
      <c r="M28" s="29"/>
      <c r="N28" s="33" t="str">
        <f t="shared" si="4"/>
        <v/>
      </c>
      <c r="O28" s="4"/>
      <c r="P28" s="9"/>
      <c r="Q28" s="34">
        <f t="shared" si="17"/>
        <v>0</v>
      </c>
      <c r="R28" s="9"/>
      <c r="S28" s="34" t="str">
        <f t="shared" si="5"/>
        <v/>
      </c>
      <c r="T28" s="34" t="str">
        <f t="shared" si="6"/>
        <v/>
      </c>
      <c r="U28" s="34" t="str">
        <f t="shared" si="7"/>
        <v/>
      </c>
      <c r="V28" s="4">
        <f t="shared" si="8"/>
        <v>0</v>
      </c>
      <c r="W28" s="4"/>
      <c r="X28" s="4"/>
      <c r="Y28" s="10"/>
      <c r="Z28" s="10"/>
      <c r="AA28" s="10"/>
      <c r="AB28" s="10"/>
      <c r="AC28" s="10"/>
      <c r="AD28" s="9"/>
      <c r="AE28" s="9"/>
      <c r="AF28" s="4"/>
      <c r="AG28" s="6">
        <f t="shared" si="18"/>
        <v>0</v>
      </c>
      <c r="AH28" s="4"/>
      <c r="AI28" s="6">
        <f t="shared" si="19"/>
        <v>0</v>
      </c>
      <c r="AJ28" s="4"/>
      <c r="AK28" s="6">
        <f t="shared" si="20"/>
        <v>0</v>
      </c>
      <c r="AL28" s="6">
        <f t="shared" si="21"/>
        <v>0</v>
      </c>
      <c r="AM28" s="7"/>
      <c r="AN28" s="6" t="str">
        <f t="shared" si="9"/>
        <v/>
      </c>
      <c r="AO28" s="5"/>
      <c r="AP28" s="5"/>
      <c r="AQ28" s="5"/>
      <c r="AR28" s="5"/>
      <c r="AS28" s="5"/>
      <c r="AT28" s="6" t="str">
        <f t="shared" si="10"/>
        <v/>
      </c>
      <c r="AU28" s="6" t="str">
        <f t="shared" si="11"/>
        <v/>
      </c>
      <c r="AV28" s="6" t="str">
        <f t="shared" si="12"/>
        <v/>
      </c>
      <c r="AW28" s="6" t="str">
        <f t="shared" si="13"/>
        <v/>
      </c>
      <c r="AX28" s="6" t="str">
        <f t="shared" si="14"/>
        <v/>
      </c>
      <c r="AY28" s="6" t="str">
        <f>IF(BO28="مدرس",F28*7%,"")</f>
        <v/>
      </c>
      <c r="AZ28" s="5"/>
      <c r="BA28" s="5"/>
      <c r="BB28" s="5"/>
      <c r="BC28" s="5"/>
      <c r="BD28" s="5"/>
      <c r="BE28" s="4"/>
      <c r="BF28" s="4"/>
      <c r="BG28" s="4"/>
      <c r="BH28" s="7"/>
      <c r="BI28" s="6"/>
      <c r="BJ28" s="6"/>
      <c r="BK28" s="11"/>
      <c r="BL28" s="11"/>
      <c r="BM28" s="11"/>
      <c r="BN28" s="38"/>
      <c r="BQ28" s="2"/>
    </row>
    <row r="29" spans="1:72" ht="24" customHeight="1">
      <c r="B29">
        <f t="shared" si="16"/>
        <v>0</v>
      </c>
      <c r="C29" s="1"/>
      <c r="D29" s="3"/>
      <c r="E29" s="9"/>
      <c r="F29" s="10"/>
      <c r="G29" s="5"/>
      <c r="H29" s="6" t="str">
        <f t="shared" si="0"/>
        <v/>
      </c>
      <c r="I29" s="6" t="str">
        <f t="shared" si="1"/>
        <v/>
      </c>
      <c r="J29" s="6" t="str">
        <f t="shared" si="2"/>
        <v/>
      </c>
      <c r="K29" s="6" t="str">
        <f t="shared" si="3"/>
        <v/>
      </c>
      <c r="L29" s="5"/>
      <c r="M29" s="29"/>
      <c r="N29" s="33" t="str">
        <f t="shared" si="4"/>
        <v/>
      </c>
      <c r="O29" s="9"/>
      <c r="P29" s="9"/>
      <c r="Q29" s="34">
        <f t="shared" si="17"/>
        <v>0</v>
      </c>
      <c r="R29" s="9"/>
      <c r="S29" s="34" t="str">
        <f t="shared" si="5"/>
        <v/>
      </c>
      <c r="T29" s="34" t="str">
        <f t="shared" si="6"/>
        <v/>
      </c>
      <c r="U29" s="34" t="str">
        <f t="shared" si="7"/>
        <v/>
      </c>
      <c r="V29" s="4">
        <f t="shared" si="8"/>
        <v>0</v>
      </c>
      <c r="W29" s="4"/>
      <c r="X29" s="9"/>
      <c r="Y29" s="10"/>
      <c r="Z29" s="10"/>
      <c r="AA29" s="10"/>
      <c r="AB29" s="10"/>
      <c r="AC29" s="10"/>
      <c r="AD29" s="9"/>
      <c r="AE29" s="9"/>
      <c r="AF29" s="4"/>
      <c r="AG29" s="6">
        <f t="shared" si="18"/>
        <v>0</v>
      </c>
      <c r="AH29" s="4"/>
      <c r="AI29" s="6">
        <f t="shared" si="19"/>
        <v>0</v>
      </c>
      <c r="AJ29" s="4"/>
      <c r="AK29" s="6">
        <f t="shared" si="20"/>
        <v>0</v>
      </c>
      <c r="AL29" s="6">
        <f t="shared" si="21"/>
        <v>0</v>
      </c>
      <c r="AM29" s="7"/>
      <c r="AN29" s="6" t="str">
        <f t="shared" si="9"/>
        <v/>
      </c>
      <c r="AO29" s="5"/>
      <c r="AP29" s="5"/>
      <c r="AQ29" s="5"/>
      <c r="AR29" s="5"/>
      <c r="AS29" s="5"/>
      <c r="AT29" s="6" t="str">
        <f t="shared" si="10"/>
        <v/>
      </c>
      <c r="AU29" s="6" t="str">
        <f t="shared" si="11"/>
        <v/>
      </c>
      <c r="AV29" s="6" t="str">
        <f t="shared" si="12"/>
        <v/>
      </c>
      <c r="AW29" s="6" t="str">
        <f t="shared" si="13"/>
        <v/>
      </c>
      <c r="AX29" s="6" t="str">
        <f t="shared" si="14"/>
        <v/>
      </c>
      <c r="AY29" s="6" t="str">
        <f>IF(BO29="مدرس",F29*7%,"")</f>
        <v/>
      </c>
      <c r="AZ29" s="5"/>
      <c r="BA29" s="5"/>
      <c r="BB29" s="5"/>
      <c r="BC29" s="5"/>
      <c r="BD29" s="5"/>
      <c r="BE29" s="4"/>
      <c r="BF29" s="4"/>
      <c r="BG29" s="4"/>
      <c r="BH29" s="7"/>
      <c r="BI29" s="6"/>
      <c r="BJ29" s="6"/>
      <c r="BK29" s="11"/>
      <c r="BL29" s="11"/>
      <c r="BM29" s="11"/>
      <c r="BN29" s="38"/>
      <c r="BQ29" s="2"/>
    </row>
    <row r="30" spans="1:72" ht="24" customHeight="1">
      <c r="B30">
        <f t="shared" si="16"/>
        <v>0</v>
      </c>
      <c r="C30" s="1"/>
      <c r="D30" s="3"/>
      <c r="E30" s="9"/>
      <c r="F30" s="10"/>
      <c r="G30" s="5">
        <f>C30*10%</f>
        <v>0</v>
      </c>
      <c r="H30" s="6" t="str">
        <f t="shared" si="0"/>
        <v/>
      </c>
      <c r="I30" s="6" t="str">
        <f t="shared" si="1"/>
        <v/>
      </c>
      <c r="J30" s="6" t="str">
        <f t="shared" si="2"/>
        <v/>
      </c>
      <c r="K30" s="6" t="str">
        <f t="shared" si="3"/>
        <v/>
      </c>
      <c r="L30" s="5">
        <f>IF(BL30="كبير ا",C30*200%,IF(BL30="كبير",C30*175%,IF(BL30="اولى",C30*150%,IF(BL30="ثانيه",C30*100%,IF(BL30="ثالثه",C30*75%,)))))</f>
        <v>0</v>
      </c>
      <c r="M30" s="29"/>
      <c r="N30" s="33" t="str">
        <f t="shared" si="4"/>
        <v/>
      </c>
      <c r="O30" s="9"/>
      <c r="P30" s="9"/>
      <c r="Q30" s="34">
        <f t="shared" si="17"/>
        <v>0</v>
      </c>
      <c r="R30" s="9"/>
      <c r="S30" s="34" t="str">
        <f t="shared" si="5"/>
        <v/>
      </c>
      <c r="T30" s="34" t="str">
        <f t="shared" si="6"/>
        <v/>
      </c>
      <c r="U30" s="34" t="str">
        <f t="shared" si="7"/>
        <v/>
      </c>
      <c r="V30" s="4">
        <f t="shared" si="8"/>
        <v>0</v>
      </c>
      <c r="W30" s="4"/>
      <c r="X30" s="9"/>
      <c r="Y30" s="10"/>
      <c r="Z30" s="10"/>
      <c r="AA30" s="10"/>
      <c r="AB30" s="10"/>
      <c r="AC30" s="10"/>
      <c r="AD30" s="9"/>
      <c r="AE30" s="9"/>
      <c r="AF30" s="4"/>
      <c r="AG30" s="6">
        <f t="shared" si="18"/>
        <v>0</v>
      </c>
      <c r="AH30" s="4"/>
      <c r="AI30" s="6">
        <f t="shared" si="19"/>
        <v>0</v>
      </c>
      <c r="AJ30" s="4"/>
      <c r="AK30" s="6">
        <f t="shared" si="20"/>
        <v>0</v>
      </c>
      <c r="AL30" s="6">
        <f t="shared" si="21"/>
        <v>0</v>
      </c>
      <c r="AM30" s="7"/>
      <c r="AN30" s="6" t="str">
        <f t="shared" si="9"/>
        <v/>
      </c>
      <c r="AO30" s="5"/>
      <c r="AP30" s="5"/>
      <c r="AQ30" s="5"/>
      <c r="AR30" s="5"/>
      <c r="AS30" s="5"/>
      <c r="AT30" s="6" t="str">
        <f t="shared" si="10"/>
        <v/>
      </c>
      <c r="AU30" s="6" t="str">
        <f t="shared" si="11"/>
        <v/>
      </c>
      <c r="AV30" s="6" t="str">
        <f t="shared" si="12"/>
        <v/>
      </c>
      <c r="AW30" s="6" t="str">
        <f t="shared" si="13"/>
        <v/>
      </c>
      <c r="AX30" s="6" t="str">
        <f t="shared" si="14"/>
        <v/>
      </c>
      <c r="AY30" s="6" t="str">
        <f>IF(BO30="مدرس",F30*7%,"")</f>
        <v/>
      </c>
      <c r="AZ30" s="5"/>
      <c r="BA30" s="5"/>
      <c r="BB30" s="5"/>
      <c r="BC30" s="5"/>
      <c r="BD30" s="5"/>
      <c r="BE30" s="4"/>
      <c r="BF30" s="4"/>
      <c r="BG30" s="4"/>
      <c r="BH30" s="7"/>
      <c r="BI30" s="6"/>
      <c r="BJ30" s="6"/>
      <c r="BK30" s="11"/>
      <c r="BL30" s="11"/>
      <c r="BM30" s="11"/>
      <c r="BN30" s="38"/>
      <c r="BQ30" s="2"/>
    </row>
    <row r="31" spans="1:72" ht="24" customHeight="1">
      <c r="B31">
        <f t="shared" si="16"/>
        <v>0</v>
      </c>
      <c r="C31" s="1"/>
      <c r="D31" s="3"/>
      <c r="E31" s="9"/>
      <c r="F31" s="10"/>
      <c r="G31" s="5">
        <f>C31*10%</f>
        <v>0</v>
      </c>
      <c r="H31" s="6" t="str">
        <f t="shared" si="0"/>
        <v/>
      </c>
      <c r="I31" s="6" t="str">
        <f t="shared" si="1"/>
        <v/>
      </c>
      <c r="J31" s="6" t="str">
        <f t="shared" si="2"/>
        <v/>
      </c>
      <c r="K31" s="6" t="str">
        <f t="shared" si="3"/>
        <v/>
      </c>
      <c r="L31" s="5">
        <f>IF(BL31="كبير ا",C31*200%,IF(BL31="كبير",C31*175%,IF(BL31="اولى",C31*150%,IF(BL31="ثانيه",C31*100%,IF(BL31="ثالثه",C31*75%,)))))</f>
        <v>0</v>
      </c>
      <c r="M31" s="29"/>
      <c r="N31" s="33" t="str">
        <f t="shared" si="4"/>
        <v/>
      </c>
      <c r="O31" s="9"/>
      <c r="P31" s="9"/>
      <c r="Q31" s="34">
        <f t="shared" si="17"/>
        <v>0</v>
      </c>
      <c r="R31" s="9"/>
      <c r="S31" s="34" t="str">
        <f t="shared" si="5"/>
        <v/>
      </c>
      <c r="T31" s="34" t="str">
        <f t="shared" si="6"/>
        <v/>
      </c>
      <c r="U31" s="34" t="str">
        <f t="shared" si="7"/>
        <v/>
      </c>
      <c r="V31" s="4">
        <f t="shared" si="8"/>
        <v>0</v>
      </c>
      <c r="W31" s="4"/>
      <c r="X31" s="9"/>
      <c r="Y31" s="10"/>
      <c r="Z31" s="10"/>
      <c r="AA31" s="10"/>
      <c r="AB31" s="10"/>
      <c r="AC31" s="10"/>
      <c r="AD31" s="9"/>
      <c r="AE31" s="9"/>
      <c r="AF31" s="4"/>
      <c r="AG31" s="6">
        <f t="shared" si="18"/>
        <v>0</v>
      </c>
      <c r="AH31" s="4"/>
      <c r="AI31" s="6">
        <f t="shared" si="19"/>
        <v>0</v>
      </c>
      <c r="AJ31" s="4"/>
      <c r="AK31" s="6">
        <f t="shared" si="20"/>
        <v>0</v>
      </c>
      <c r="AL31" s="6">
        <f t="shared" si="21"/>
        <v>0</v>
      </c>
      <c r="AM31" s="7"/>
      <c r="AN31" s="6" t="str">
        <f t="shared" si="9"/>
        <v/>
      </c>
      <c r="AO31" s="5"/>
      <c r="AP31" s="5"/>
      <c r="AQ31" s="5"/>
      <c r="AR31" s="5"/>
      <c r="AS31" s="5"/>
      <c r="AT31" s="6" t="str">
        <f t="shared" si="10"/>
        <v/>
      </c>
      <c r="AU31" s="6" t="str">
        <f t="shared" si="11"/>
        <v/>
      </c>
      <c r="AV31" s="6" t="str">
        <f t="shared" si="12"/>
        <v/>
      </c>
      <c r="AW31" s="6" t="str">
        <f t="shared" si="13"/>
        <v/>
      </c>
      <c r="AX31" s="6" t="str">
        <f t="shared" si="14"/>
        <v/>
      </c>
      <c r="AY31" s="6" t="str">
        <f>IF(BO31="مدرس",F31*7%,"")</f>
        <v/>
      </c>
      <c r="AZ31" s="5"/>
      <c r="BA31" s="5"/>
      <c r="BB31" s="5"/>
      <c r="BC31" s="5"/>
      <c r="BD31" s="5"/>
      <c r="BE31" s="4"/>
      <c r="BF31" s="4"/>
      <c r="BG31" s="4"/>
      <c r="BH31" s="7"/>
      <c r="BI31" s="6"/>
      <c r="BJ31" s="6"/>
      <c r="BK31" s="11"/>
      <c r="BL31" s="11"/>
      <c r="BM31" s="11"/>
      <c r="BN31" s="38"/>
      <c r="BQ31" s="2"/>
    </row>
    <row r="32" spans="1:72" s="1" customFormat="1" ht="24" customHeight="1" thickBot="1">
      <c r="D32" s="12"/>
      <c r="E32" s="13"/>
      <c r="F32" s="13">
        <f t="shared" ref="F32:AK32" si="24">SUM(F10:F31)</f>
        <v>17261.550000000003</v>
      </c>
      <c r="G32" s="13">
        <f t="shared" si="24"/>
        <v>478.83</v>
      </c>
      <c r="H32" s="13">
        <f t="shared" si="24"/>
        <v>509.36200000000014</v>
      </c>
      <c r="I32" s="13">
        <f t="shared" si="24"/>
        <v>1273.405</v>
      </c>
      <c r="J32" s="13">
        <f t="shared" si="24"/>
        <v>1399.41</v>
      </c>
      <c r="K32" s="13">
        <f t="shared" si="24"/>
        <v>2546.81</v>
      </c>
      <c r="L32" s="13">
        <f t="shared" si="24"/>
        <v>8761.7199999999993</v>
      </c>
      <c r="M32" s="13">
        <f t="shared" si="24"/>
        <v>40</v>
      </c>
      <c r="N32" s="14">
        <f t="shared" si="24"/>
        <v>3675</v>
      </c>
      <c r="O32" s="14">
        <f t="shared" si="24"/>
        <v>2250</v>
      </c>
      <c r="P32" s="14">
        <f t="shared" si="24"/>
        <v>4250</v>
      </c>
      <c r="Q32" s="14">
        <f t="shared" si="24"/>
        <v>4750</v>
      </c>
      <c r="R32" s="14">
        <f t="shared" si="24"/>
        <v>967</v>
      </c>
      <c r="S32" s="14">
        <f t="shared" si="24"/>
        <v>1635</v>
      </c>
      <c r="T32" s="14">
        <f t="shared" si="24"/>
        <v>1635</v>
      </c>
      <c r="U32" s="14">
        <f t="shared" si="24"/>
        <v>1420</v>
      </c>
      <c r="V32" s="14">
        <f t="shared" si="24"/>
        <v>260</v>
      </c>
      <c r="W32" s="14">
        <f t="shared" si="24"/>
        <v>36</v>
      </c>
      <c r="X32" s="14">
        <f t="shared" si="24"/>
        <v>44</v>
      </c>
      <c r="Y32" s="13">
        <f t="shared" si="24"/>
        <v>121.67</v>
      </c>
      <c r="Z32" s="13">
        <f t="shared" si="24"/>
        <v>10106.24</v>
      </c>
      <c r="AA32" s="13">
        <f t="shared" si="24"/>
        <v>1055.9000000000001</v>
      </c>
      <c r="AB32" s="13">
        <f t="shared" si="24"/>
        <v>228.88</v>
      </c>
      <c r="AC32" s="13">
        <f t="shared" si="24"/>
        <v>0</v>
      </c>
      <c r="AD32" s="13">
        <f t="shared" si="24"/>
        <v>0</v>
      </c>
      <c r="AE32" s="13">
        <f t="shared" si="24"/>
        <v>0</v>
      </c>
      <c r="AF32" s="14">
        <f t="shared" si="24"/>
        <v>110</v>
      </c>
      <c r="AG32" s="13">
        <f t="shared" si="24"/>
        <v>64815.777000000002</v>
      </c>
      <c r="AH32" s="13">
        <f t="shared" si="24"/>
        <v>0</v>
      </c>
      <c r="AI32" s="13">
        <f t="shared" si="24"/>
        <v>5823.5199299999995</v>
      </c>
      <c r="AJ32" s="13">
        <f t="shared" si="24"/>
        <v>22.07</v>
      </c>
      <c r="AK32" s="13">
        <f t="shared" si="24"/>
        <v>647.05777000000012</v>
      </c>
      <c r="AL32" s="13">
        <f t="shared" ref="AL32:BJ32" si="25">SUM(AL10:AL31)</f>
        <v>647.05777000000012</v>
      </c>
      <c r="AM32" s="35">
        <f t="shared" si="25"/>
        <v>113.80000000000001</v>
      </c>
      <c r="AN32" s="13">
        <f t="shared" si="25"/>
        <v>28.4</v>
      </c>
      <c r="AO32" s="13">
        <f t="shared" si="25"/>
        <v>10.96</v>
      </c>
      <c r="AP32" s="13">
        <f t="shared" si="25"/>
        <v>1275.6000000000001</v>
      </c>
      <c r="AQ32" s="13">
        <f t="shared" si="25"/>
        <v>413.09999999999997</v>
      </c>
      <c r="AR32" s="13">
        <f t="shared" si="25"/>
        <v>0</v>
      </c>
      <c r="AS32" s="13">
        <f t="shared" si="25"/>
        <v>28</v>
      </c>
      <c r="AT32" s="13">
        <f t="shared" si="25"/>
        <v>49.5</v>
      </c>
      <c r="AU32" s="13">
        <f t="shared" si="25"/>
        <v>22</v>
      </c>
      <c r="AV32" s="13">
        <f t="shared" si="25"/>
        <v>2.75</v>
      </c>
      <c r="AW32" s="13">
        <f t="shared" si="25"/>
        <v>33</v>
      </c>
      <c r="AX32" s="13">
        <f t="shared" si="25"/>
        <v>5.5</v>
      </c>
      <c r="AY32" s="13">
        <f t="shared" si="25"/>
        <v>1208.3084999999999</v>
      </c>
      <c r="AZ32" s="13">
        <f t="shared" si="25"/>
        <v>18</v>
      </c>
      <c r="BA32" s="13">
        <f t="shared" si="25"/>
        <v>0</v>
      </c>
      <c r="BB32" s="13">
        <f t="shared" si="25"/>
        <v>0</v>
      </c>
      <c r="BC32" s="13">
        <f t="shared" si="25"/>
        <v>0</v>
      </c>
      <c r="BD32" s="13">
        <f t="shared" si="25"/>
        <v>0</v>
      </c>
      <c r="BE32" s="13">
        <f t="shared" si="25"/>
        <v>7.1</v>
      </c>
      <c r="BF32" s="13">
        <f t="shared" si="25"/>
        <v>0</v>
      </c>
      <c r="BG32" s="13"/>
      <c r="BH32" s="13">
        <f t="shared" si="25"/>
        <v>0.30000000000000004</v>
      </c>
      <c r="BI32" s="13">
        <f t="shared" si="25"/>
        <v>10356.023970000002</v>
      </c>
      <c r="BJ32" s="13">
        <f t="shared" si="25"/>
        <v>54459.75303</v>
      </c>
      <c r="BK32" s="15"/>
      <c r="BL32" s="15"/>
      <c r="BM32" s="15"/>
      <c r="BN32" s="152"/>
      <c r="BQ32" s="2"/>
    </row>
    <row r="33" ht="15.75" thickTop="1"/>
  </sheetData>
  <mergeCells count="11">
    <mergeCell ref="D7:D9"/>
    <mergeCell ref="E7:E9"/>
    <mergeCell ref="F7:F8"/>
    <mergeCell ref="G7:AF7"/>
    <mergeCell ref="AH7:AQ7"/>
    <mergeCell ref="BM7:BM9"/>
    <mergeCell ref="AR7:BH7"/>
    <mergeCell ref="BI7:BI8"/>
    <mergeCell ref="BJ7:BJ8"/>
    <mergeCell ref="BK7:BK9"/>
    <mergeCell ref="BL7:BL9"/>
  </mergeCells>
  <dataValidations disablePrompts="1" count="1">
    <dataValidation type="list" allowBlank="1" showInputMessage="1" showErrorMessage="1" sqref="BL10:BL31">
      <formula1>$BT$10:$BT$17</formula1>
    </dataValidation>
  </dataValidations>
  <printOptions horizontalCentered="1"/>
  <pageMargins left="0" right="0" top="0.25" bottom="0" header="0.3" footer="0.3"/>
  <pageSetup paperSize="9" scale="68" orientation="landscape" r:id="rId1"/>
  <colBreaks count="2" manualBreakCount="2">
    <brk id="25" min="5" max="34" man="1"/>
    <brk id="45" min="5" max="3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78"/>
  <sheetViews>
    <sheetView showZeros="0" rightToLeft="1" tabSelected="1" view="pageBreakPreview" topLeftCell="A46" zoomScale="60" zoomScaleNormal="100" workbookViewId="0">
      <selection activeCell="H27" sqref="H27:N28"/>
    </sheetView>
  </sheetViews>
  <sheetFormatPr defaultRowHeight="15"/>
  <cols>
    <col min="1" max="1" width="16.85546875" style="39" customWidth="1"/>
    <col min="2" max="2" width="8.7109375" style="1" customWidth="1"/>
    <col min="3" max="3" width="8.7109375" customWidth="1"/>
    <col min="4" max="5" width="8.7109375" style="1" customWidth="1"/>
    <col min="6" max="6" width="31.140625" customWidth="1"/>
    <col min="7" max="7" width="23.28515625" customWidth="1"/>
    <col min="8" max="8" width="9.140625" customWidth="1"/>
    <col min="10" max="10" width="20.140625" customWidth="1"/>
    <col min="11" max="11" width="25.140625" customWidth="1"/>
    <col min="14" max="14" width="13.85546875" customWidth="1"/>
  </cols>
  <sheetData>
    <row r="6" spans="1:16" s="43" customFormat="1" ht="21.95" customHeight="1">
      <c r="A6" s="55" t="s">
        <v>143</v>
      </c>
      <c r="B6" s="68" t="s">
        <v>144</v>
      </c>
      <c r="C6" s="68" t="s">
        <v>145</v>
      </c>
      <c r="D6" s="68" t="s">
        <v>146</v>
      </c>
      <c r="E6" s="68" t="s">
        <v>147</v>
      </c>
      <c r="F6" s="68" t="s">
        <v>162</v>
      </c>
    </row>
    <row r="7" spans="1:16" s="57" customFormat="1" ht="21.95" customHeight="1">
      <c r="A7" s="116">
        <f>ثانوى1!F35</f>
        <v>75600.290000000008</v>
      </c>
      <c r="B7" s="116"/>
      <c r="C7" s="117"/>
      <c r="D7" s="118"/>
      <c r="E7" s="116"/>
      <c r="F7" s="117" t="s">
        <v>148</v>
      </c>
      <c r="H7" s="226" t="s">
        <v>290</v>
      </c>
      <c r="I7" s="227"/>
      <c r="J7" s="227"/>
      <c r="K7" s="71"/>
    </row>
    <row r="8" spans="1:16" s="43" customFormat="1" ht="21.95" customHeight="1">
      <c r="A8" s="119">
        <f>ثانوى1!G35</f>
        <v>1983.4899999999998</v>
      </c>
      <c r="B8" s="120"/>
      <c r="C8" s="121"/>
      <c r="D8" s="120"/>
      <c r="E8" s="120"/>
      <c r="F8" s="122" t="s">
        <v>149</v>
      </c>
      <c r="G8" s="65"/>
      <c r="H8" s="227"/>
      <c r="I8" s="227"/>
      <c r="J8" s="227"/>
      <c r="K8" s="71"/>
      <c r="L8" s="57"/>
      <c r="M8" s="57"/>
      <c r="N8" s="57"/>
    </row>
    <row r="9" spans="1:16" s="58" customFormat="1" ht="21.95" customHeight="1">
      <c r="A9" s="116">
        <f>ثانوى1!H35</f>
        <v>2105.9500000000003</v>
      </c>
      <c r="B9" s="116"/>
      <c r="C9" s="117"/>
      <c r="D9" s="116"/>
      <c r="E9" s="116"/>
      <c r="F9" s="116" t="s">
        <v>150</v>
      </c>
      <c r="H9" s="226" t="s">
        <v>289</v>
      </c>
      <c r="I9" s="227"/>
      <c r="J9" s="227"/>
      <c r="K9" s="71"/>
      <c r="L9" s="57"/>
      <c r="M9" s="57"/>
      <c r="N9" s="57"/>
      <c r="O9" s="43"/>
      <c r="P9" s="43"/>
    </row>
    <row r="10" spans="1:16" s="58" customFormat="1" ht="21.95" customHeight="1">
      <c r="A10" s="116">
        <f>ثانوى1!I35</f>
        <v>5462.8749999999991</v>
      </c>
      <c r="B10" s="116"/>
      <c r="C10" s="117"/>
      <c r="D10" s="116"/>
      <c r="E10" s="116"/>
      <c r="F10" s="116" t="s">
        <v>191</v>
      </c>
      <c r="H10" s="227"/>
      <c r="I10" s="227"/>
      <c r="J10" s="227"/>
      <c r="K10" s="67"/>
      <c r="L10" s="66"/>
      <c r="M10" s="66"/>
      <c r="N10" s="70"/>
    </row>
    <row r="11" spans="1:16" s="58" customFormat="1" ht="21.95" customHeight="1">
      <c r="A11" s="116">
        <f>ثانوى1!J35</f>
        <v>7071.1299999999992</v>
      </c>
      <c r="B11" s="116"/>
      <c r="C11" s="117"/>
      <c r="D11" s="116"/>
      <c r="E11" s="116"/>
      <c r="F11" s="116" t="s">
        <v>4</v>
      </c>
      <c r="H11" s="228" t="s">
        <v>288</v>
      </c>
      <c r="I11" s="227"/>
      <c r="J11" s="227"/>
      <c r="K11" s="227"/>
      <c r="L11" s="66"/>
      <c r="M11" s="66"/>
      <c r="N11" s="70"/>
    </row>
    <row r="12" spans="1:16" s="58" customFormat="1" ht="21.95" customHeight="1">
      <c r="A12" s="116">
        <f>ثانوى1!K35</f>
        <v>10925.749999999998</v>
      </c>
      <c r="B12" s="116"/>
      <c r="C12" s="117"/>
      <c r="D12" s="116"/>
      <c r="E12" s="116"/>
      <c r="F12" s="116" t="s">
        <v>5</v>
      </c>
      <c r="H12" s="227"/>
      <c r="I12" s="227"/>
      <c r="J12" s="227"/>
      <c r="K12" s="227"/>
      <c r="L12" s="66"/>
      <c r="M12" s="66"/>
      <c r="N12" s="70"/>
    </row>
    <row r="13" spans="1:16" s="58" customFormat="1" ht="21.95" customHeight="1">
      <c r="A13" s="116">
        <f>ثانوى1!L35</f>
        <v>36119.33</v>
      </c>
      <c r="B13" s="116"/>
      <c r="C13" s="117"/>
      <c r="D13" s="116"/>
      <c r="E13" s="116"/>
      <c r="F13" s="116" t="s">
        <v>6</v>
      </c>
      <c r="H13" s="70"/>
      <c r="I13" s="66"/>
      <c r="J13" s="66"/>
      <c r="K13" s="66"/>
      <c r="L13" s="66"/>
      <c r="M13" s="66"/>
      <c r="N13" s="70"/>
    </row>
    <row r="14" spans="1:16" s="58" customFormat="1" ht="21.95" customHeight="1">
      <c r="A14" s="116">
        <f>ثانوى1!M35</f>
        <v>40</v>
      </c>
      <c r="B14" s="116"/>
      <c r="C14" s="117"/>
      <c r="D14" s="116"/>
      <c r="E14" s="116"/>
      <c r="F14" s="116" t="s">
        <v>8</v>
      </c>
      <c r="H14" s="229" t="s">
        <v>291</v>
      </c>
      <c r="I14" s="230"/>
      <c r="J14" s="230"/>
      <c r="K14" s="230"/>
      <c r="L14" s="230"/>
      <c r="M14" s="230"/>
      <c r="N14" s="230"/>
    </row>
    <row r="15" spans="1:16" s="58" customFormat="1" ht="21.95" customHeight="1">
      <c r="A15" s="116">
        <f>ثانوى1!N35</f>
        <v>16450</v>
      </c>
      <c r="B15" s="116"/>
      <c r="C15" s="117"/>
      <c r="D15" s="116"/>
      <c r="E15" s="116"/>
      <c r="F15" s="116" t="s">
        <v>151</v>
      </c>
      <c r="H15" s="230"/>
      <c r="I15" s="230"/>
      <c r="J15" s="230"/>
      <c r="K15" s="230"/>
      <c r="L15" s="230"/>
      <c r="M15" s="230"/>
      <c r="N15" s="230"/>
    </row>
    <row r="16" spans="1:16" s="58" customFormat="1" ht="21.95" customHeight="1">
      <c r="A16" s="116">
        <f>ثانوى1!O35</f>
        <v>8850</v>
      </c>
      <c r="B16" s="116"/>
      <c r="C16" s="117"/>
      <c r="D16" s="116"/>
      <c r="E16" s="116"/>
      <c r="F16" s="116" t="s">
        <v>152</v>
      </c>
      <c r="I16" s="65"/>
      <c r="J16" s="65"/>
      <c r="K16" s="65"/>
      <c r="L16" s="65"/>
      <c r="M16" s="65"/>
    </row>
    <row r="17" spans="1:14" s="58" customFormat="1" ht="21.95" customHeight="1">
      <c r="A17" s="116">
        <f>ثانوى1!P35</f>
        <v>16375</v>
      </c>
      <c r="B17" s="116"/>
      <c r="C17" s="117"/>
      <c r="D17" s="116"/>
      <c r="E17" s="116"/>
      <c r="F17" s="116" t="s">
        <v>153</v>
      </c>
      <c r="H17" s="59"/>
    </row>
    <row r="18" spans="1:14" s="58" customFormat="1" ht="21.95" customHeight="1">
      <c r="A18" s="116">
        <f>ثانوى1!Q35</f>
        <v>18225</v>
      </c>
      <c r="B18" s="116"/>
      <c r="C18" s="117"/>
      <c r="D18" s="116"/>
      <c r="E18" s="116"/>
      <c r="F18" s="116" t="s">
        <v>192</v>
      </c>
      <c r="H18" s="229" t="s">
        <v>258</v>
      </c>
      <c r="I18" s="230"/>
      <c r="J18" s="230"/>
      <c r="K18" s="230"/>
      <c r="L18" s="230"/>
      <c r="M18" s="230"/>
    </row>
    <row r="19" spans="1:14" s="58" customFormat="1" ht="21.95" customHeight="1">
      <c r="A19" s="116">
        <f>ثانوى1!R35</f>
        <v>7282</v>
      </c>
      <c r="B19" s="116"/>
      <c r="C19" s="117"/>
      <c r="D19" s="116"/>
      <c r="E19" s="116"/>
      <c r="F19" s="116" t="s">
        <v>154</v>
      </c>
      <c r="H19" s="230"/>
      <c r="I19" s="230"/>
      <c r="J19" s="230"/>
      <c r="K19" s="230"/>
      <c r="L19" s="230"/>
      <c r="M19" s="230"/>
    </row>
    <row r="20" spans="1:14" s="58" customFormat="1" ht="21.95" customHeight="1">
      <c r="A20" s="116">
        <f>ثانوى1!S35</f>
        <v>6775</v>
      </c>
      <c r="B20" s="116"/>
      <c r="C20" s="117"/>
      <c r="D20" s="116"/>
      <c r="E20" s="116"/>
      <c r="F20" s="116" t="s">
        <v>243</v>
      </c>
      <c r="H20" s="59"/>
    </row>
    <row r="21" spans="1:14" s="58" customFormat="1" ht="21.95" customHeight="1">
      <c r="A21" s="116">
        <f>ثانوى1!T35</f>
        <v>7725</v>
      </c>
      <c r="B21" s="116"/>
      <c r="C21" s="117"/>
      <c r="D21" s="116"/>
      <c r="E21" s="116"/>
      <c r="F21" s="116" t="s">
        <v>244</v>
      </c>
      <c r="H21" s="59"/>
    </row>
    <row r="22" spans="1:14" s="58" customFormat="1" ht="21.95" customHeight="1">
      <c r="A22" s="116">
        <f>ثانوى1!U35</f>
        <v>5850</v>
      </c>
      <c r="B22" s="116"/>
      <c r="C22" s="117"/>
      <c r="D22" s="116"/>
      <c r="E22" s="116"/>
      <c r="F22" s="116" t="s">
        <v>245</v>
      </c>
      <c r="H22" s="59"/>
    </row>
    <row r="23" spans="1:14" s="58" customFormat="1" ht="21.95" customHeight="1">
      <c r="A23" s="116">
        <f>ثانوى1!V35</f>
        <v>600</v>
      </c>
      <c r="B23" s="116"/>
      <c r="C23" s="117"/>
      <c r="D23" s="116"/>
      <c r="E23" s="116"/>
      <c r="F23" s="116" t="s">
        <v>246</v>
      </c>
      <c r="H23" s="59"/>
    </row>
    <row r="24" spans="1:14" s="58" customFormat="1" ht="21.95" customHeight="1">
      <c r="A24" s="116">
        <f>ثانوى1!W35</f>
        <v>190</v>
      </c>
      <c r="B24" s="116"/>
      <c r="C24" s="117"/>
      <c r="D24" s="116"/>
      <c r="E24" s="116"/>
      <c r="F24" s="116" t="s">
        <v>155</v>
      </c>
      <c r="H24" s="59"/>
    </row>
    <row r="25" spans="1:14" s="58" customFormat="1" ht="21.95" customHeight="1">
      <c r="A25" s="116">
        <f>ثانوى1!X35</f>
        <v>200</v>
      </c>
      <c r="B25" s="116"/>
      <c r="C25" s="117"/>
      <c r="D25" s="116"/>
      <c r="E25" s="116"/>
      <c r="F25" s="116" t="s">
        <v>156</v>
      </c>
      <c r="H25" s="59"/>
    </row>
    <row r="26" spans="1:14" s="58" customFormat="1" ht="21.95" customHeight="1">
      <c r="A26" s="116">
        <f>ثانوى1!Y35</f>
        <v>350.9</v>
      </c>
      <c r="B26" s="116"/>
      <c r="C26" s="117"/>
      <c r="D26" s="116"/>
      <c r="E26" s="116"/>
      <c r="F26" s="116" t="s">
        <v>157</v>
      </c>
      <c r="H26" s="59"/>
    </row>
    <row r="27" spans="1:14" s="58" customFormat="1" ht="21.95" customHeight="1">
      <c r="A27" s="116">
        <f>ثانوى1!Z35</f>
        <v>21820.82</v>
      </c>
      <c r="B27" s="116"/>
      <c r="C27" s="117"/>
      <c r="D27" s="116"/>
      <c r="E27" s="116"/>
      <c r="F27" s="116" t="s">
        <v>163</v>
      </c>
      <c r="H27" s="236" t="s">
        <v>325</v>
      </c>
      <c r="I27" s="236"/>
      <c r="J27" s="236"/>
      <c r="K27" s="236"/>
      <c r="L27" s="236"/>
      <c r="M27" s="236"/>
      <c r="N27" s="236"/>
    </row>
    <row r="28" spans="1:14" s="58" customFormat="1" ht="21.95" customHeight="1">
      <c r="A28" s="116">
        <f>ثانوى1!AA35</f>
        <v>2207.9600000000005</v>
      </c>
      <c r="B28" s="116"/>
      <c r="C28" s="117"/>
      <c r="D28" s="116"/>
      <c r="E28" s="116"/>
      <c r="F28" s="116" t="s">
        <v>164</v>
      </c>
      <c r="H28" s="236"/>
      <c r="I28" s="236"/>
      <c r="J28" s="236"/>
      <c r="K28" s="236"/>
      <c r="L28" s="236"/>
      <c r="M28" s="236"/>
      <c r="N28" s="236"/>
    </row>
    <row r="29" spans="1:14" s="58" customFormat="1" ht="21.95" customHeight="1">
      <c r="A29" s="116">
        <f>ثانوى1!AB35</f>
        <v>465.56</v>
      </c>
      <c r="B29" s="116"/>
      <c r="C29" s="117"/>
      <c r="D29" s="116"/>
      <c r="E29" s="116"/>
      <c r="F29" s="116" t="s">
        <v>165</v>
      </c>
      <c r="H29" s="59"/>
    </row>
    <row r="30" spans="1:14" s="58" customFormat="1" ht="21.95" customHeight="1">
      <c r="A30" s="116">
        <f>ثانوى1!AC35</f>
        <v>227.83</v>
      </c>
      <c r="B30" s="116"/>
      <c r="C30" s="117"/>
      <c r="D30" s="116"/>
      <c r="E30" s="116"/>
      <c r="F30" s="123" t="s">
        <v>248</v>
      </c>
      <c r="H30" s="59"/>
      <c r="I30" s="197" t="s">
        <v>259</v>
      </c>
      <c r="J30" s="197"/>
      <c r="K30" s="109" t="s">
        <v>292</v>
      </c>
    </row>
    <row r="31" spans="1:14" s="58" customFormat="1" ht="21.95" customHeight="1">
      <c r="A31" s="116">
        <f>ثانوى1!AD35</f>
        <v>385</v>
      </c>
      <c r="B31" s="116"/>
      <c r="C31" s="117"/>
      <c r="D31" s="116"/>
      <c r="E31" s="116"/>
      <c r="F31" s="116" t="s">
        <v>166</v>
      </c>
      <c r="H31" s="59"/>
      <c r="I31" s="196" t="s">
        <v>161</v>
      </c>
      <c r="J31" s="196"/>
      <c r="K31" s="110">
        <f>D42</f>
        <v>30418.666199999996</v>
      </c>
    </row>
    <row r="32" spans="1:14" s="58" customFormat="1" ht="21.95" customHeight="1">
      <c r="A32" s="116">
        <f>ثانوى1!AE35</f>
        <v>200</v>
      </c>
      <c r="B32" s="116"/>
      <c r="C32" s="117"/>
      <c r="D32" s="116"/>
      <c r="E32" s="116"/>
      <c r="F32" s="116" t="s">
        <v>16</v>
      </c>
      <c r="H32" s="59"/>
      <c r="I32" s="196" t="s">
        <v>260</v>
      </c>
      <c r="J32" s="196"/>
      <c r="K32" s="110">
        <f>D43</f>
        <v>22813.999649999998</v>
      </c>
    </row>
    <row r="33" spans="1:14" s="58" customFormat="1" ht="21.95" customHeight="1">
      <c r="A33" s="116">
        <f>A37*1%</f>
        <v>2534.8888499999998</v>
      </c>
      <c r="B33" s="116"/>
      <c r="C33" s="117"/>
      <c r="D33" s="116"/>
      <c r="E33" s="116"/>
      <c r="F33" s="116" t="s">
        <v>158</v>
      </c>
      <c r="H33" s="59"/>
      <c r="I33" s="196" t="s">
        <v>158</v>
      </c>
      <c r="J33" s="196"/>
      <c r="K33" s="110">
        <f>D45</f>
        <v>2534.8888499999998</v>
      </c>
    </row>
    <row r="34" spans="1:14" s="58" customFormat="1" ht="21.95" customHeight="1">
      <c r="A34" s="116">
        <f>A37*1.25%</f>
        <v>3168.6110625000001</v>
      </c>
      <c r="B34" s="116"/>
      <c r="C34" s="117"/>
      <c r="D34" s="116"/>
      <c r="E34" s="116"/>
      <c r="F34" s="116" t="s">
        <v>159</v>
      </c>
      <c r="H34" s="59"/>
      <c r="I34" s="198">
        <v>0.01</v>
      </c>
      <c r="J34" s="196"/>
      <c r="K34" s="110">
        <f>K33</f>
        <v>2534.8888499999998</v>
      </c>
    </row>
    <row r="35" spans="1:14" s="58" customFormat="1" ht="21.95" customHeight="1">
      <c r="A35" s="116">
        <f>A37*3%</f>
        <v>7604.666549999999</v>
      </c>
      <c r="B35" s="116"/>
      <c r="C35" s="117"/>
      <c r="D35" s="116"/>
      <c r="E35" s="116"/>
      <c r="F35" s="116" t="s">
        <v>160</v>
      </c>
      <c r="H35" s="59"/>
      <c r="I35" s="198">
        <v>0.01</v>
      </c>
      <c r="J35" s="196"/>
      <c r="K35" s="110">
        <f>K33</f>
        <v>2534.8888499999998</v>
      </c>
    </row>
    <row r="36" spans="1:14" s="58" customFormat="1" ht="21.95" customHeight="1">
      <c r="A36" s="116">
        <f>A37*12%</f>
        <v>30418.666199999996</v>
      </c>
      <c r="B36" s="116"/>
      <c r="C36" s="117"/>
      <c r="D36" s="116"/>
      <c r="E36" s="116"/>
      <c r="F36" s="116" t="s">
        <v>161</v>
      </c>
      <c r="H36" s="59"/>
      <c r="I36" s="195">
        <v>1.2500000000000001E-2</v>
      </c>
      <c r="J36" s="196"/>
      <c r="K36" s="110">
        <f>D49</f>
        <v>3168.6110625000001</v>
      </c>
    </row>
    <row r="37" spans="1:14" s="58" customFormat="1" ht="21.95" customHeight="1">
      <c r="A37" s="116">
        <f>SUM(A7:A32)</f>
        <v>253488.88499999998</v>
      </c>
      <c r="B37" s="116"/>
      <c r="C37" s="117"/>
      <c r="D37" s="116"/>
      <c r="E37" s="116"/>
      <c r="F37" s="116" t="s">
        <v>247</v>
      </c>
      <c r="H37" s="59"/>
      <c r="I37" s="196" t="s">
        <v>261</v>
      </c>
      <c r="J37" s="196"/>
      <c r="K37" s="110">
        <f>D48</f>
        <v>7604.666549999999</v>
      </c>
    </row>
    <row r="38" spans="1:14" s="58" customFormat="1" ht="21.95" customHeight="1">
      <c r="A38" s="116">
        <f>ثانوى1!AF35</f>
        <v>500</v>
      </c>
      <c r="B38" s="116"/>
      <c r="C38" s="117"/>
      <c r="D38" s="116"/>
      <c r="E38" s="116"/>
      <c r="F38" s="116" t="s">
        <v>17</v>
      </c>
      <c r="H38" s="59"/>
      <c r="I38" s="239" t="s">
        <v>210</v>
      </c>
      <c r="J38" s="240"/>
      <c r="K38" s="110">
        <f>D44</f>
        <v>2.82</v>
      </c>
    </row>
    <row r="39" spans="1:14" s="58" customFormat="1" ht="21.95" customHeight="1">
      <c r="A39" s="116">
        <f>SUM(A33:A38)</f>
        <v>297715.71766249998</v>
      </c>
      <c r="B39" s="192" t="s">
        <v>287</v>
      </c>
      <c r="C39" s="193"/>
      <c r="D39" s="193"/>
      <c r="E39" s="194"/>
      <c r="F39" s="116"/>
      <c r="H39" s="59"/>
      <c r="I39" s="195" t="s">
        <v>262</v>
      </c>
      <c r="J39" s="196"/>
      <c r="K39" s="110">
        <f>D50</f>
        <v>103.26</v>
      </c>
    </row>
    <row r="40" spans="1:14" s="58" customFormat="1" ht="21.95" customHeight="1">
      <c r="A40" s="208"/>
      <c r="B40" s="211" t="s">
        <v>194</v>
      </c>
      <c r="C40" s="212"/>
      <c r="D40" s="213" t="s">
        <v>195</v>
      </c>
      <c r="E40" s="214"/>
      <c r="F40" s="220" t="s">
        <v>167</v>
      </c>
      <c r="H40" s="59"/>
      <c r="I40" s="195" t="s">
        <v>193</v>
      </c>
      <c r="J40" s="196"/>
      <c r="K40" s="110">
        <f>SUM(K31:K39)</f>
        <v>71716.690012499996</v>
      </c>
    </row>
    <row r="41" spans="1:14" s="60" customFormat="1" ht="10.5" customHeight="1">
      <c r="A41" s="209"/>
      <c r="B41" s="212"/>
      <c r="C41" s="212"/>
      <c r="D41" s="215"/>
      <c r="E41" s="216"/>
      <c r="F41" s="210"/>
      <c r="H41" s="59"/>
      <c r="I41" s="201"/>
      <c r="J41" s="202"/>
    </row>
    <row r="42" spans="1:14" s="58" customFormat="1" ht="21.95" customHeight="1">
      <c r="A42" s="209"/>
      <c r="B42" s="217">
        <f>SUM(D42:E50)</f>
        <v>71716.690012499996</v>
      </c>
      <c r="C42" s="218"/>
      <c r="D42" s="192">
        <f>A36</f>
        <v>30418.666199999996</v>
      </c>
      <c r="E42" s="194"/>
      <c r="F42" s="116" t="s">
        <v>161</v>
      </c>
    </row>
    <row r="43" spans="1:14" s="58" customFormat="1" ht="21.95" customHeight="1">
      <c r="A43" s="209"/>
      <c r="B43" s="205"/>
      <c r="C43" s="204"/>
      <c r="D43" s="192">
        <f>A37*9%</f>
        <v>22813.999649999998</v>
      </c>
      <c r="E43" s="194"/>
      <c r="F43" s="116" t="s">
        <v>168</v>
      </c>
    </row>
    <row r="44" spans="1:14" s="58" customFormat="1" ht="21.95" customHeight="1">
      <c r="A44" s="209"/>
      <c r="B44" s="205"/>
      <c r="C44" s="204"/>
      <c r="D44" s="192">
        <f>ثانوى1!AJ35</f>
        <v>2.82</v>
      </c>
      <c r="E44" s="194"/>
      <c r="F44" s="116" t="s">
        <v>169</v>
      </c>
    </row>
    <row r="45" spans="1:14" s="58" customFormat="1" ht="21.95" customHeight="1">
      <c r="A45" s="209"/>
      <c r="B45" s="205"/>
      <c r="C45" s="204"/>
      <c r="D45" s="192">
        <f>A33</f>
        <v>2534.8888499999998</v>
      </c>
      <c r="E45" s="194"/>
      <c r="F45" s="125">
        <v>0.01</v>
      </c>
    </row>
    <row r="46" spans="1:14" s="58" customFormat="1" ht="21.95" customHeight="1">
      <c r="A46" s="209"/>
      <c r="B46" s="205"/>
      <c r="C46" s="204"/>
      <c r="D46" s="192">
        <f>D45</f>
        <v>2534.8888499999998</v>
      </c>
      <c r="E46" s="194"/>
      <c r="F46" s="116" t="s">
        <v>170</v>
      </c>
    </row>
    <row r="47" spans="1:14" s="58" customFormat="1" ht="21.95" customHeight="1">
      <c r="A47" s="209"/>
      <c r="B47" s="205"/>
      <c r="C47" s="204"/>
      <c r="D47" s="192">
        <f>D46</f>
        <v>2534.8888499999998</v>
      </c>
      <c r="E47" s="194"/>
      <c r="F47" s="116" t="s">
        <v>170</v>
      </c>
    </row>
    <row r="48" spans="1:14" s="58" customFormat="1" ht="21.95" customHeight="1">
      <c r="A48" s="209"/>
      <c r="B48" s="205"/>
      <c r="C48" s="204"/>
      <c r="D48" s="192">
        <f>A35</f>
        <v>7604.666549999999</v>
      </c>
      <c r="E48" s="194"/>
      <c r="F48" s="116" t="s">
        <v>171</v>
      </c>
      <c r="G48" s="111"/>
      <c r="H48" s="112"/>
      <c r="I48" s="112"/>
      <c r="J48" s="237" t="s">
        <v>140</v>
      </c>
      <c r="K48" s="238"/>
      <c r="L48" s="112"/>
      <c r="M48" s="112"/>
      <c r="N48" s="112"/>
    </row>
    <row r="49" spans="1:14" s="58" customFormat="1" ht="21.95" customHeight="1">
      <c r="A49" s="209"/>
      <c r="B49" s="205"/>
      <c r="C49" s="204"/>
      <c r="D49" s="192">
        <f>A34</f>
        <v>3168.6110625000001</v>
      </c>
      <c r="E49" s="194"/>
      <c r="F49" s="116" t="s">
        <v>172</v>
      </c>
      <c r="G49" s="111"/>
      <c r="H49" s="112"/>
      <c r="I49" s="112"/>
      <c r="J49" s="238"/>
      <c r="K49" s="238"/>
      <c r="L49" s="112"/>
      <c r="M49" s="112"/>
      <c r="N49" s="112"/>
    </row>
    <row r="50" spans="1:14" s="58" customFormat="1" ht="21.95" customHeight="1">
      <c r="A50" s="209"/>
      <c r="B50" s="206"/>
      <c r="C50" s="207"/>
      <c r="D50" s="192">
        <f>ثانوى1!AO35</f>
        <v>103.26</v>
      </c>
      <c r="E50" s="194"/>
      <c r="F50" s="126" t="s">
        <v>173</v>
      </c>
      <c r="G50" s="241" t="s">
        <v>326</v>
      </c>
      <c r="H50" s="235"/>
      <c r="I50" s="235"/>
      <c r="J50" s="235"/>
      <c r="K50" s="235"/>
      <c r="L50" s="235"/>
      <c r="M50" s="235"/>
      <c r="N50" s="235"/>
    </row>
    <row r="51" spans="1:14" s="58" customFormat="1" ht="21.95" customHeight="1">
      <c r="A51" s="209"/>
      <c r="B51" s="199"/>
      <c r="C51" s="200"/>
      <c r="D51" s="199"/>
      <c r="E51" s="200"/>
      <c r="F51" s="127" t="s">
        <v>174</v>
      </c>
      <c r="G51" s="242"/>
      <c r="H51" s="235"/>
      <c r="I51" s="235"/>
      <c r="J51" s="235"/>
      <c r="K51" s="235"/>
      <c r="L51" s="235"/>
      <c r="M51" s="235"/>
      <c r="N51" s="235"/>
    </row>
    <row r="52" spans="1:14" s="58" customFormat="1" ht="21.95" customHeight="1">
      <c r="A52" s="209"/>
      <c r="B52" s="203">
        <f>SUM(D52:E55)</f>
        <v>6599.4000000000005</v>
      </c>
      <c r="C52" s="204"/>
      <c r="D52" s="192">
        <f>ثانوى1!AP35</f>
        <v>5004.7000000000007</v>
      </c>
      <c r="E52" s="194"/>
      <c r="F52" s="126" t="s">
        <v>175</v>
      </c>
      <c r="G52" s="231" t="s">
        <v>327</v>
      </c>
      <c r="H52" s="232"/>
      <c r="I52" s="232"/>
      <c r="J52" s="232"/>
      <c r="K52" s="232"/>
      <c r="L52" s="232"/>
      <c r="M52" s="232"/>
      <c r="N52" s="232"/>
    </row>
    <row r="53" spans="1:14" s="58" customFormat="1" ht="21.95" customHeight="1">
      <c r="A53" s="209"/>
      <c r="B53" s="205"/>
      <c r="C53" s="204"/>
      <c r="D53" s="192">
        <f>ثانوى1!AQ35</f>
        <v>1594.7</v>
      </c>
      <c r="E53" s="194"/>
      <c r="F53" s="126" t="s">
        <v>176</v>
      </c>
      <c r="G53" s="233"/>
      <c r="H53" s="232"/>
      <c r="I53" s="232"/>
      <c r="J53" s="232"/>
      <c r="K53" s="232"/>
      <c r="L53" s="232"/>
      <c r="M53" s="232"/>
      <c r="N53" s="232"/>
    </row>
    <row r="54" spans="1:14" s="58" customFormat="1" ht="21.95" customHeight="1">
      <c r="A54" s="209"/>
      <c r="B54" s="205"/>
      <c r="C54" s="204"/>
      <c r="D54" s="192"/>
      <c r="E54" s="194"/>
      <c r="F54" s="126" t="s">
        <v>177</v>
      </c>
      <c r="G54" s="113"/>
      <c r="H54" s="114"/>
      <c r="I54" s="114"/>
      <c r="J54" s="114"/>
      <c r="K54" s="234" t="s">
        <v>142</v>
      </c>
      <c r="L54" s="235"/>
      <c r="M54" s="235"/>
      <c r="N54" s="235"/>
    </row>
    <row r="55" spans="1:14" s="58" customFormat="1" ht="21.95" customHeight="1">
      <c r="A55" s="209"/>
      <c r="B55" s="206"/>
      <c r="C55" s="207"/>
      <c r="D55" s="192"/>
      <c r="E55" s="194"/>
      <c r="F55" s="126" t="s">
        <v>178</v>
      </c>
      <c r="G55" s="113"/>
      <c r="H55" s="115"/>
      <c r="I55" s="115"/>
      <c r="J55" s="115"/>
      <c r="K55" s="235"/>
      <c r="L55" s="235"/>
      <c r="M55" s="235"/>
      <c r="N55" s="235"/>
    </row>
    <row r="56" spans="1:14" s="58" customFormat="1" ht="21.95" customHeight="1">
      <c r="A56" s="209"/>
      <c r="B56" s="199"/>
      <c r="C56" s="200"/>
      <c r="D56" s="199"/>
      <c r="E56" s="200"/>
      <c r="F56" s="127" t="s">
        <v>179</v>
      </c>
      <c r="G56" s="73"/>
      <c r="H56" s="72"/>
      <c r="I56" s="72"/>
      <c r="J56" s="72"/>
      <c r="K56" s="72"/>
      <c r="L56" s="72"/>
      <c r="M56" s="72"/>
      <c r="N56" s="72"/>
    </row>
    <row r="57" spans="1:14" s="58" customFormat="1" ht="21.95" customHeight="1">
      <c r="A57" s="209"/>
      <c r="B57" s="213">
        <f>SUM(D57:E73)</f>
        <v>7140.3303000000005</v>
      </c>
      <c r="C57" s="214"/>
      <c r="D57" s="192">
        <f>ثانوى1!AT35</f>
        <v>225</v>
      </c>
      <c r="E57" s="194"/>
      <c r="F57" s="116" t="s">
        <v>180</v>
      </c>
    </row>
    <row r="58" spans="1:14" s="58" customFormat="1" ht="21.95" customHeight="1">
      <c r="A58" s="209"/>
      <c r="B58" s="243"/>
      <c r="C58" s="244"/>
      <c r="D58" s="192">
        <f>ثانوى1!AU35</f>
        <v>100</v>
      </c>
      <c r="E58" s="194"/>
      <c r="F58" s="116" t="s">
        <v>181</v>
      </c>
    </row>
    <row r="59" spans="1:14" s="58" customFormat="1" ht="21.95" customHeight="1">
      <c r="A59" s="209"/>
      <c r="B59" s="243"/>
      <c r="C59" s="244"/>
      <c r="D59" s="192">
        <f>ثانوى1!AV35</f>
        <v>12.5</v>
      </c>
      <c r="E59" s="194"/>
      <c r="F59" s="116" t="s">
        <v>182</v>
      </c>
    </row>
    <row r="60" spans="1:14" s="58" customFormat="1" ht="21.95" customHeight="1">
      <c r="A60" s="209"/>
      <c r="B60" s="243"/>
      <c r="C60" s="244"/>
      <c r="D60" s="192">
        <f>ثانوى1!AW35</f>
        <v>150</v>
      </c>
      <c r="E60" s="194"/>
      <c r="F60" s="116" t="s">
        <v>183</v>
      </c>
    </row>
    <row r="61" spans="1:14" s="58" customFormat="1" ht="21.95" customHeight="1">
      <c r="A61" s="209"/>
      <c r="B61" s="243"/>
      <c r="C61" s="244"/>
      <c r="D61" s="192">
        <f>ثانوى1!AX35</f>
        <v>25</v>
      </c>
      <c r="E61" s="194"/>
      <c r="F61" s="116" t="s">
        <v>184</v>
      </c>
    </row>
    <row r="62" spans="1:14" s="58" customFormat="1" ht="21.95" customHeight="1">
      <c r="A62" s="209"/>
      <c r="B62" s="243"/>
      <c r="C62" s="244"/>
      <c r="D62" s="192">
        <f>ثانوى1!AY35</f>
        <v>5292.0203000000001</v>
      </c>
      <c r="E62" s="194"/>
      <c r="F62" s="116" t="s">
        <v>185</v>
      </c>
    </row>
    <row r="63" spans="1:14" s="58" customFormat="1" ht="21.95" customHeight="1">
      <c r="A63" s="209"/>
      <c r="B63" s="243"/>
      <c r="C63" s="244"/>
      <c r="D63" s="192">
        <f>ثانوى1!AZ35</f>
        <v>27</v>
      </c>
      <c r="E63" s="194"/>
      <c r="F63" s="116" t="s">
        <v>249</v>
      </c>
    </row>
    <row r="64" spans="1:14" s="58" customFormat="1" ht="21.95" customHeight="1">
      <c r="A64" s="209"/>
      <c r="B64" s="243"/>
      <c r="C64" s="244"/>
      <c r="D64" s="192">
        <f>ثانوى1!AR35</f>
        <v>70</v>
      </c>
      <c r="E64" s="194"/>
      <c r="F64" s="116" t="s">
        <v>186</v>
      </c>
    </row>
    <row r="65" spans="1:7" s="58" customFormat="1" ht="21.95" customHeight="1">
      <c r="A65" s="209"/>
      <c r="B65" s="243"/>
      <c r="C65" s="244"/>
      <c r="D65" s="192">
        <f>ثانوى1!BA35</f>
        <v>250</v>
      </c>
      <c r="E65" s="194"/>
      <c r="F65" s="116" t="s">
        <v>293</v>
      </c>
    </row>
    <row r="66" spans="1:7" s="58" customFormat="1" ht="21.95" customHeight="1">
      <c r="A66" s="209"/>
      <c r="B66" s="243"/>
      <c r="C66" s="244"/>
      <c r="D66" s="192">
        <f>ثانوى1!BB35</f>
        <v>2</v>
      </c>
      <c r="E66" s="194"/>
      <c r="F66" s="116" t="s">
        <v>187</v>
      </c>
    </row>
    <row r="67" spans="1:7" s="58" customFormat="1" ht="21.95" customHeight="1">
      <c r="A67" s="209"/>
      <c r="B67" s="243"/>
      <c r="C67" s="244"/>
      <c r="D67" s="192">
        <f>ثانوى1!BD35</f>
        <v>41.45</v>
      </c>
      <c r="E67" s="194"/>
      <c r="F67" s="116" t="s">
        <v>188</v>
      </c>
    </row>
    <row r="68" spans="1:7" s="58" customFormat="1" ht="21.75" customHeight="1">
      <c r="A68" s="209"/>
      <c r="B68" s="243"/>
      <c r="C68" s="244"/>
      <c r="D68" s="192">
        <f>ثانوى1!BC35</f>
        <v>3</v>
      </c>
      <c r="E68" s="194"/>
      <c r="F68" s="116" t="s">
        <v>185</v>
      </c>
    </row>
    <row r="69" spans="1:7" s="58" customFormat="1" ht="21.75" customHeight="1">
      <c r="A69" s="209"/>
      <c r="B69" s="243"/>
      <c r="C69" s="244"/>
      <c r="D69" s="222">
        <f>ثانوى1!AM35</f>
        <v>452</v>
      </c>
      <c r="E69" s="194"/>
      <c r="F69" s="116" t="s">
        <v>252</v>
      </c>
    </row>
    <row r="70" spans="1:7" s="58" customFormat="1" ht="21.75" customHeight="1">
      <c r="A70" s="209"/>
      <c r="B70" s="243"/>
      <c r="C70" s="244"/>
      <c r="D70" s="192">
        <f>ثانوى1!AN35</f>
        <v>117</v>
      </c>
      <c r="E70" s="194"/>
      <c r="F70" s="116" t="s">
        <v>253</v>
      </c>
    </row>
    <row r="71" spans="1:7" s="58" customFormat="1" ht="21.75" customHeight="1">
      <c r="A71" s="210"/>
      <c r="B71" s="243"/>
      <c r="C71" s="244"/>
      <c r="D71" s="223">
        <f>ثانوى1!BF35</f>
        <v>265.43</v>
      </c>
      <c r="E71" s="224"/>
      <c r="F71" s="116" t="s">
        <v>233</v>
      </c>
    </row>
    <row r="72" spans="1:7" s="58" customFormat="1" ht="21.75" customHeight="1">
      <c r="A72" s="208">
        <f>B42+B52+B57</f>
        <v>85456.420312499991</v>
      </c>
      <c r="B72" s="243"/>
      <c r="C72" s="244"/>
      <c r="D72" s="223">
        <f>ثانوى1!AS35</f>
        <v>107</v>
      </c>
      <c r="E72" s="224"/>
      <c r="F72" s="116" t="s">
        <v>251</v>
      </c>
    </row>
    <row r="73" spans="1:7" s="58" customFormat="1" ht="21.95" customHeight="1">
      <c r="A73" s="210"/>
      <c r="B73" s="215"/>
      <c r="C73" s="216"/>
      <c r="D73" s="192">
        <v>0.93</v>
      </c>
      <c r="E73" s="225"/>
      <c r="F73" s="116" t="s">
        <v>189</v>
      </c>
    </row>
    <row r="74" spans="1:7" ht="36.75" customHeight="1">
      <c r="A74" s="128">
        <f>A39-A72</f>
        <v>212259.29735000001</v>
      </c>
      <c r="B74" s="129" t="s">
        <v>254</v>
      </c>
      <c r="C74" s="189" t="s">
        <v>255</v>
      </c>
      <c r="D74" s="190"/>
      <c r="E74" s="190"/>
      <c r="F74" s="190"/>
      <c r="G74" s="191"/>
    </row>
    <row r="75" spans="1:7" ht="51" customHeight="1">
      <c r="A75" s="221" t="s">
        <v>328</v>
      </c>
      <c r="B75" s="202"/>
      <c r="C75" s="202"/>
      <c r="D75" s="202"/>
      <c r="E75" s="202"/>
      <c r="F75" s="202"/>
    </row>
    <row r="76" spans="1:7" ht="36.75" customHeight="1">
      <c r="A76" s="62" t="s">
        <v>256</v>
      </c>
      <c r="C76" s="63"/>
      <c r="D76" s="62"/>
      <c r="E76" s="62"/>
      <c r="F76" s="64"/>
    </row>
    <row r="77" spans="1:7" ht="35.25" customHeight="1">
      <c r="A77" s="219" t="s">
        <v>257</v>
      </c>
      <c r="B77" s="202"/>
      <c r="C77" s="202"/>
      <c r="D77" s="202"/>
      <c r="E77" s="202"/>
      <c r="F77" s="202"/>
      <c r="G77" s="202"/>
    </row>
    <row r="78" spans="1:7" ht="18.75">
      <c r="A78" s="61"/>
      <c r="B78" s="61"/>
      <c r="C78" s="61"/>
      <c r="D78" s="61"/>
      <c r="E78" s="61"/>
      <c r="F78" s="61"/>
    </row>
  </sheetData>
  <mergeCells count="68">
    <mergeCell ref="D63:E63"/>
    <mergeCell ref="D64:E64"/>
    <mergeCell ref="D65:E65"/>
    <mergeCell ref="D66:E66"/>
    <mergeCell ref="B56:C56"/>
    <mergeCell ref="D56:E56"/>
    <mergeCell ref="B57:C73"/>
    <mergeCell ref="D57:E57"/>
    <mergeCell ref="D58:E58"/>
    <mergeCell ref="D59:E59"/>
    <mergeCell ref="H7:J8"/>
    <mergeCell ref="H9:J10"/>
    <mergeCell ref="H11:K12"/>
    <mergeCell ref="H14:N15"/>
    <mergeCell ref="D62:E62"/>
    <mergeCell ref="G52:N53"/>
    <mergeCell ref="K54:N55"/>
    <mergeCell ref="H18:M19"/>
    <mergeCell ref="H27:N28"/>
    <mergeCell ref="J48:K49"/>
    <mergeCell ref="I36:J36"/>
    <mergeCell ref="I37:J37"/>
    <mergeCell ref="I38:J38"/>
    <mergeCell ref="D50:E50"/>
    <mergeCell ref="G50:N51"/>
    <mergeCell ref="D60:E60"/>
    <mergeCell ref="A40:A71"/>
    <mergeCell ref="B40:C41"/>
    <mergeCell ref="D40:E41"/>
    <mergeCell ref="B42:C50"/>
    <mergeCell ref="A77:G77"/>
    <mergeCell ref="F40:F41"/>
    <mergeCell ref="A75:F75"/>
    <mergeCell ref="D67:E67"/>
    <mergeCell ref="D68:E68"/>
    <mergeCell ref="D69:E69"/>
    <mergeCell ref="D70:E70"/>
    <mergeCell ref="D71:E71"/>
    <mergeCell ref="A72:A73"/>
    <mergeCell ref="D72:E72"/>
    <mergeCell ref="D73:E73"/>
    <mergeCell ref="D61:E61"/>
    <mergeCell ref="B52:C55"/>
    <mergeCell ref="D52:E52"/>
    <mergeCell ref="D53:E53"/>
    <mergeCell ref="D54:E54"/>
    <mergeCell ref="D55:E55"/>
    <mergeCell ref="D45:E45"/>
    <mergeCell ref="D46:E46"/>
    <mergeCell ref="D47:E47"/>
    <mergeCell ref="D48:E48"/>
    <mergeCell ref="D49:E49"/>
    <mergeCell ref="C74:G74"/>
    <mergeCell ref="B39:E39"/>
    <mergeCell ref="I39:J39"/>
    <mergeCell ref="I40:J40"/>
    <mergeCell ref="I30:J30"/>
    <mergeCell ref="I31:J31"/>
    <mergeCell ref="I32:J32"/>
    <mergeCell ref="I33:J33"/>
    <mergeCell ref="I34:J34"/>
    <mergeCell ref="I35:J35"/>
    <mergeCell ref="B51:C51"/>
    <mergeCell ref="D51:E51"/>
    <mergeCell ref="I41:J41"/>
    <mergeCell ref="D42:E42"/>
    <mergeCell ref="D43:E43"/>
    <mergeCell ref="D44:E44"/>
  </mergeCells>
  <printOptions horizontalCentered="1"/>
  <pageMargins left="0" right="0" top="0.23622047244094491" bottom="0.23622047244094491" header="0.31496062992125984" footer="0.31496062992125984"/>
  <pageSetup paperSize="9" scale="50" orientation="portrait" r:id="rId1"/>
  <ignoredErrors>
    <ignoredError sqref="F30" numberStoredAsText="1"/>
    <ignoredError sqref="K3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79"/>
  <sheetViews>
    <sheetView showZeros="0" rightToLeft="1" view="pageBreakPreview" topLeftCell="A49" zoomScale="60" zoomScaleNormal="100" workbookViewId="0">
      <selection activeCell="D72" sqref="D72:E72"/>
    </sheetView>
  </sheetViews>
  <sheetFormatPr defaultRowHeight="15"/>
  <cols>
    <col min="1" max="1" width="15.5703125" style="39" bestFit="1" customWidth="1"/>
    <col min="2" max="2" width="8.7109375" style="1" customWidth="1"/>
    <col min="3" max="3" width="8.7109375" customWidth="1"/>
    <col min="4" max="5" width="8.7109375" style="1" customWidth="1"/>
    <col min="6" max="6" width="34" bestFit="1" customWidth="1"/>
    <col min="7" max="7" width="23.28515625" customWidth="1"/>
    <col min="8" max="8" width="9.140625" customWidth="1"/>
    <col min="10" max="10" width="20.140625" customWidth="1"/>
    <col min="11" max="11" width="25.140625" customWidth="1"/>
    <col min="14" max="14" width="13.85546875" customWidth="1"/>
  </cols>
  <sheetData>
    <row r="6" spans="1:16" s="43" customFormat="1" ht="21.95" customHeight="1">
      <c r="A6" s="119" t="s">
        <v>143</v>
      </c>
      <c r="B6" s="122" t="s">
        <v>144</v>
      </c>
      <c r="C6" s="122" t="s">
        <v>145</v>
      </c>
      <c r="D6" s="122" t="s">
        <v>146</v>
      </c>
      <c r="E6" s="122" t="s">
        <v>147</v>
      </c>
      <c r="F6" s="122" t="s">
        <v>162</v>
      </c>
    </row>
    <row r="7" spans="1:16" s="57" customFormat="1" ht="21.95" customHeight="1">
      <c r="A7" s="124">
        <f>بنك!F32</f>
        <v>17261.550000000003</v>
      </c>
      <c r="B7" s="124"/>
      <c r="C7" s="117"/>
      <c r="D7" s="118"/>
      <c r="E7" s="124"/>
      <c r="F7" s="117" t="s">
        <v>148</v>
      </c>
      <c r="H7" s="226" t="s">
        <v>290</v>
      </c>
      <c r="I7" s="227"/>
      <c r="J7" s="227"/>
      <c r="K7" s="71"/>
    </row>
    <row r="8" spans="1:16" s="43" customFormat="1" ht="21.95" customHeight="1">
      <c r="A8" s="119">
        <f>بنك!G32</f>
        <v>478.83</v>
      </c>
      <c r="B8" s="120"/>
      <c r="C8" s="121"/>
      <c r="D8" s="120"/>
      <c r="E8" s="120"/>
      <c r="F8" s="122" t="s">
        <v>149</v>
      </c>
      <c r="G8" s="65"/>
      <c r="H8" s="227"/>
      <c r="I8" s="227"/>
      <c r="J8" s="227"/>
      <c r="K8" s="71"/>
      <c r="L8" s="57"/>
      <c r="M8" s="57"/>
      <c r="N8" s="57"/>
    </row>
    <row r="9" spans="1:16" s="58" customFormat="1" ht="21.95" customHeight="1">
      <c r="A9" s="124">
        <f>بنك!H32</f>
        <v>509.36200000000014</v>
      </c>
      <c r="B9" s="124"/>
      <c r="C9" s="117"/>
      <c r="D9" s="124"/>
      <c r="E9" s="124"/>
      <c r="F9" s="124" t="s">
        <v>150</v>
      </c>
      <c r="H9" s="226" t="s">
        <v>289</v>
      </c>
      <c r="I9" s="227"/>
      <c r="J9" s="227"/>
      <c r="K9" s="71"/>
      <c r="L9" s="57"/>
      <c r="M9" s="57"/>
      <c r="N9" s="57"/>
      <c r="O9" s="43"/>
      <c r="P9" s="43"/>
    </row>
    <row r="10" spans="1:16" s="58" customFormat="1" ht="21.95" customHeight="1">
      <c r="A10" s="124">
        <f>بنك!I32</f>
        <v>1273.405</v>
      </c>
      <c r="B10" s="124"/>
      <c r="C10" s="117"/>
      <c r="D10" s="124"/>
      <c r="E10" s="124"/>
      <c r="F10" s="124" t="s">
        <v>191</v>
      </c>
      <c r="H10" s="227"/>
      <c r="I10" s="227"/>
      <c r="J10" s="227"/>
      <c r="K10" s="67"/>
      <c r="L10" s="66"/>
      <c r="M10" s="66"/>
      <c r="N10" s="70"/>
    </row>
    <row r="11" spans="1:16" s="58" customFormat="1" ht="21.95" customHeight="1">
      <c r="A11" s="124">
        <f>بنك!J32</f>
        <v>1399.41</v>
      </c>
      <c r="B11" s="124"/>
      <c r="C11" s="117"/>
      <c r="D11" s="124"/>
      <c r="E11" s="124"/>
      <c r="F11" s="124" t="s">
        <v>4</v>
      </c>
      <c r="H11" s="228" t="s">
        <v>288</v>
      </c>
      <c r="I11" s="227"/>
      <c r="J11" s="227"/>
      <c r="K11" s="227"/>
      <c r="L11" s="66"/>
      <c r="M11" s="66"/>
      <c r="N11" s="70"/>
    </row>
    <row r="12" spans="1:16" s="58" customFormat="1" ht="21.95" customHeight="1">
      <c r="A12" s="124">
        <f>بنك!K32</f>
        <v>2546.81</v>
      </c>
      <c r="B12" s="124"/>
      <c r="C12" s="117"/>
      <c r="D12" s="124"/>
      <c r="E12" s="124"/>
      <c r="F12" s="124" t="s">
        <v>5</v>
      </c>
      <c r="H12" s="227"/>
      <c r="I12" s="227"/>
      <c r="J12" s="227"/>
      <c r="K12" s="227"/>
      <c r="L12" s="66"/>
      <c r="M12" s="66"/>
      <c r="N12" s="70"/>
    </row>
    <row r="13" spans="1:16" s="58" customFormat="1" ht="21.95" customHeight="1">
      <c r="A13" s="124">
        <f>بنك!L32</f>
        <v>8761.7199999999993</v>
      </c>
      <c r="B13" s="124"/>
      <c r="C13" s="117"/>
      <c r="D13" s="124"/>
      <c r="E13" s="124"/>
      <c r="F13" s="124" t="s">
        <v>6</v>
      </c>
      <c r="H13" s="70"/>
      <c r="I13" s="66"/>
      <c r="J13" s="66"/>
      <c r="K13" s="66"/>
      <c r="L13" s="66"/>
      <c r="M13" s="66"/>
      <c r="N13" s="70"/>
    </row>
    <row r="14" spans="1:16" s="58" customFormat="1" ht="21.95" customHeight="1">
      <c r="A14" s="124">
        <f>بنك!M32</f>
        <v>40</v>
      </c>
      <c r="B14" s="124"/>
      <c r="C14" s="117"/>
      <c r="D14" s="124"/>
      <c r="E14" s="124"/>
      <c r="F14" s="124" t="s">
        <v>8</v>
      </c>
      <c r="H14" s="229" t="s">
        <v>291</v>
      </c>
      <c r="I14" s="230"/>
      <c r="J14" s="230"/>
      <c r="K14" s="230"/>
      <c r="L14" s="230"/>
      <c r="M14" s="230"/>
      <c r="N14" s="230"/>
    </row>
    <row r="15" spans="1:16" s="58" customFormat="1" ht="21.95" customHeight="1">
      <c r="A15" s="124">
        <f>بنك!N32</f>
        <v>3675</v>
      </c>
      <c r="B15" s="124"/>
      <c r="C15" s="117"/>
      <c r="D15" s="124"/>
      <c r="E15" s="124"/>
      <c r="F15" s="124" t="s">
        <v>151</v>
      </c>
      <c r="H15" s="230"/>
      <c r="I15" s="230"/>
      <c r="J15" s="230"/>
      <c r="K15" s="230"/>
      <c r="L15" s="230"/>
      <c r="M15" s="230"/>
      <c r="N15" s="230"/>
    </row>
    <row r="16" spans="1:16" s="58" customFormat="1" ht="21.95" customHeight="1">
      <c r="A16" s="124">
        <f>بنك!O32</f>
        <v>2250</v>
      </c>
      <c r="B16" s="124"/>
      <c r="C16" s="117"/>
      <c r="D16" s="124"/>
      <c r="E16" s="124"/>
      <c r="F16" s="124" t="s">
        <v>152</v>
      </c>
      <c r="I16" s="65"/>
      <c r="J16" s="65"/>
      <c r="K16" s="65"/>
      <c r="L16" s="65"/>
      <c r="M16" s="65"/>
    </row>
    <row r="17" spans="1:14" s="58" customFormat="1" ht="21.95" customHeight="1">
      <c r="A17" s="124">
        <f>بنك!P32</f>
        <v>4250</v>
      </c>
      <c r="B17" s="124"/>
      <c r="C17" s="117"/>
      <c r="D17" s="124"/>
      <c r="E17" s="124"/>
      <c r="F17" s="124" t="s">
        <v>153</v>
      </c>
      <c r="H17" s="59"/>
    </row>
    <row r="18" spans="1:14" s="58" customFormat="1" ht="21.95" customHeight="1">
      <c r="A18" s="124">
        <f>بنك!Q32</f>
        <v>4750</v>
      </c>
      <c r="B18" s="124"/>
      <c r="C18" s="117"/>
      <c r="D18" s="124"/>
      <c r="E18" s="124"/>
      <c r="F18" s="124" t="s">
        <v>192</v>
      </c>
      <c r="H18" s="229" t="s">
        <v>258</v>
      </c>
      <c r="I18" s="230"/>
      <c r="J18" s="230"/>
      <c r="K18" s="230"/>
      <c r="L18" s="230"/>
      <c r="M18" s="230"/>
    </row>
    <row r="19" spans="1:14" s="58" customFormat="1" ht="21.95" customHeight="1">
      <c r="A19" s="124">
        <f>بنك!R32</f>
        <v>967</v>
      </c>
      <c r="B19" s="124"/>
      <c r="C19" s="117"/>
      <c r="D19" s="124"/>
      <c r="E19" s="124"/>
      <c r="F19" s="124" t="s">
        <v>154</v>
      </c>
      <c r="H19" s="230"/>
      <c r="I19" s="230"/>
      <c r="J19" s="230"/>
      <c r="K19" s="230"/>
      <c r="L19" s="230"/>
      <c r="M19" s="230"/>
    </row>
    <row r="20" spans="1:14" s="58" customFormat="1" ht="21.95" customHeight="1">
      <c r="A20" s="124">
        <f>بنك!S32</f>
        <v>1635</v>
      </c>
      <c r="B20" s="124"/>
      <c r="C20" s="117"/>
      <c r="D20" s="124"/>
      <c r="E20" s="124"/>
      <c r="F20" s="124" t="s">
        <v>243</v>
      </c>
      <c r="H20" s="59"/>
    </row>
    <row r="21" spans="1:14" s="58" customFormat="1" ht="21.95" customHeight="1">
      <c r="A21" s="124">
        <f>بنك!T32</f>
        <v>1635</v>
      </c>
      <c r="B21" s="124"/>
      <c r="C21" s="117"/>
      <c r="D21" s="124"/>
      <c r="E21" s="124"/>
      <c r="F21" s="124" t="s">
        <v>244</v>
      </c>
      <c r="H21" s="59"/>
    </row>
    <row r="22" spans="1:14" s="58" customFormat="1" ht="21.95" customHeight="1">
      <c r="A22" s="124">
        <f>بنك!U32</f>
        <v>1420</v>
      </c>
      <c r="B22" s="124"/>
      <c r="C22" s="117"/>
      <c r="D22" s="124"/>
      <c r="E22" s="124"/>
      <c r="F22" s="124" t="s">
        <v>245</v>
      </c>
      <c r="H22" s="59"/>
    </row>
    <row r="23" spans="1:14" s="58" customFormat="1" ht="21.95" customHeight="1">
      <c r="A23" s="124">
        <f>بنك!V32</f>
        <v>260</v>
      </c>
      <c r="B23" s="124"/>
      <c r="C23" s="117"/>
      <c r="D23" s="124"/>
      <c r="E23" s="124"/>
      <c r="F23" s="124" t="s">
        <v>246</v>
      </c>
      <c r="H23" s="59"/>
    </row>
    <row r="24" spans="1:14" s="58" customFormat="1" ht="21.95" customHeight="1">
      <c r="A24" s="124">
        <f>بنك!W32</f>
        <v>36</v>
      </c>
      <c r="B24" s="124"/>
      <c r="C24" s="117"/>
      <c r="D24" s="124"/>
      <c r="E24" s="124"/>
      <c r="F24" s="124" t="s">
        <v>155</v>
      </c>
      <c r="H24" s="59"/>
    </row>
    <row r="25" spans="1:14" s="58" customFormat="1" ht="21.95" customHeight="1">
      <c r="A25" s="124">
        <f>بنك!X32</f>
        <v>44</v>
      </c>
      <c r="B25" s="124"/>
      <c r="C25" s="117"/>
      <c r="D25" s="124"/>
      <c r="E25" s="124"/>
      <c r="F25" s="124" t="s">
        <v>156</v>
      </c>
      <c r="H25" s="59"/>
    </row>
    <row r="26" spans="1:14" s="58" customFormat="1" ht="21.95" customHeight="1">
      <c r="A26" s="124">
        <f>بنك!Y32</f>
        <v>121.67</v>
      </c>
      <c r="B26" s="124"/>
      <c r="C26" s="117"/>
      <c r="D26" s="124"/>
      <c r="E26" s="124"/>
      <c r="F26" s="124" t="s">
        <v>157</v>
      </c>
      <c r="H26" s="59"/>
    </row>
    <row r="27" spans="1:14" s="58" customFormat="1" ht="21.95" customHeight="1">
      <c r="A27" s="124">
        <f>بنك!Z32</f>
        <v>10106.24</v>
      </c>
      <c r="B27" s="124"/>
      <c r="C27" s="117"/>
      <c r="D27" s="124"/>
      <c r="E27" s="124"/>
      <c r="F27" s="124" t="s">
        <v>163</v>
      </c>
      <c r="H27" s="247" t="s">
        <v>346</v>
      </c>
      <c r="I27" s="247"/>
      <c r="J27" s="247"/>
      <c r="K27" s="247"/>
      <c r="L27" s="247"/>
      <c r="M27" s="247"/>
      <c r="N27" s="247"/>
    </row>
    <row r="28" spans="1:14" s="58" customFormat="1" ht="21.95" customHeight="1">
      <c r="A28" s="124">
        <f>بنك!AA32</f>
        <v>1055.9000000000001</v>
      </c>
      <c r="B28" s="124"/>
      <c r="C28" s="117"/>
      <c r="D28" s="124"/>
      <c r="E28" s="124"/>
      <c r="F28" s="124" t="s">
        <v>164</v>
      </c>
      <c r="H28" s="247"/>
      <c r="I28" s="247"/>
      <c r="J28" s="247"/>
      <c r="K28" s="247"/>
      <c r="L28" s="247"/>
      <c r="M28" s="247"/>
      <c r="N28" s="247"/>
    </row>
    <row r="29" spans="1:14" s="58" customFormat="1" ht="21.95" customHeight="1">
      <c r="A29" s="124">
        <f>بنك!AB32</f>
        <v>228.88</v>
      </c>
      <c r="B29" s="124"/>
      <c r="C29" s="117"/>
      <c r="D29" s="124"/>
      <c r="E29" s="124"/>
      <c r="F29" s="124" t="s">
        <v>165</v>
      </c>
      <c r="H29" s="59"/>
    </row>
    <row r="30" spans="1:14" s="58" customFormat="1" ht="21.95" customHeight="1">
      <c r="A30" s="124">
        <f>بنك!AC32</f>
        <v>0</v>
      </c>
      <c r="B30" s="124"/>
      <c r="C30" s="117"/>
      <c r="D30" s="124"/>
      <c r="E30" s="124"/>
      <c r="F30" s="123" t="s">
        <v>248</v>
      </c>
      <c r="H30" s="59"/>
      <c r="I30" s="248" t="s">
        <v>259</v>
      </c>
      <c r="J30" s="248"/>
      <c r="K30" s="137" t="s">
        <v>292</v>
      </c>
    </row>
    <row r="31" spans="1:14" s="58" customFormat="1" ht="21.95" customHeight="1">
      <c r="A31" s="124">
        <f>بنك!AD32</f>
        <v>0</v>
      </c>
      <c r="B31" s="124"/>
      <c r="C31" s="117"/>
      <c r="D31" s="124"/>
      <c r="E31" s="124"/>
      <c r="F31" s="124" t="s">
        <v>166</v>
      </c>
      <c r="H31" s="59"/>
      <c r="I31" s="246" t="s">
        <v>161</v>
      </c>
      <c r="J31" s="246"/>
      <c r="K31" s="138">
        <f>D42</f>
        <v>7764.6932399999996</v>
      </c>
    </row>
    <row r="32" spans="1:14" s="58" customFormat="1" ht="21.95" customHeight="1">
      <c r="A32" s="124">
        <f>بنك!AE32</f>
        <v>0</v>
      </c>
      <c r="B32" s="124"/>
      <c r="C32" s="117"/>
      <c r="D32" s="124"/>
      <c r="E32" s="124"/>
      <c r="F32" s="124" t="s">
        <v>16</v>
      </c>
      <c r="H32" s="59"/>
      <c r="I32" s="246" t="s">
        <v>260</v>
      </c>
      <c r="J32" s="246"/>
      <c r="K32" s="138">
        <f>D43</f>
        <v>5823.5199300000004</v>
      </c>
    </row>
    <row r="33" spans="1:14" s="58" customFormat="1" ht="21.95" customHeight="1">
      <c r="A33" s="124">
        <f>A37*1%</f>
        <v>647.05777</v>
      </c>
      <c r="B33" s="124"/>
      <c r="C33" s="117"/>
      <c r="D33" s="124"/>
      <c r="E33" s="124"/>
      <c r="F33" s="124" t="s">
        <v>158</v>
      </c>
      <c r="H33" s="59"/>
      <c r="I33" s="246" t="s">
        <v>158</v>
      </c>
      <c r="J33" s="246"/>
      <c r="K33" s="138">
        <f>D45</f>
        <v>647.05777</v>
      </c>
    </row>
    <row r="34" spans="1:14" s="58" customFormat="1" ht="21.95" customHeight="1">
      <c r="A34" s="124">
        <f>A37*1.25%</f>
        <v>808.82221250000009</v>
      </c>
      <c r="B34" s="124"/>
      <c r="C34" s="117"/>
      <c r="D34" s="124"/>
      <c r="E34" s="124"/>
      <c r="F34" s="124" t="s">
        <v>159</v>
      </c>
      <c r="H34" s="59"/>
      <c r="I34" s="245">
        <v>0.01</v>
      </c>
      <c r="J34" s="246"/>
      <c r="K34" s="138">
        <f>K33</f>
        <v>647.05777</v>
      </c>
    </row>
    <row r="35" spans="1:14" s="58" customFormat="1" ht="21.95" customHeight="1">
      <c r="A35" s="124">
        <f>A37*3%</f>
        <v>1941.1733099999999</v>
      </c>
      <c r="B35" s="124"/>
      <c r="C35" s="117"/>
      <c r="D35" s="124"/>
      <c r="E35" s="124"/>
      <c r="F35" s="124" t="s">
        <v>160</v>
      </c>
      <c r="H35" s="59"/>
      <c r="I35" s="245">
        <v>0.01</v>
      </c>
      <c r="J35" s="246"/>
      <c r="K35" s="138">
        <f>K33</f>
        <v>647.05777</v>
      </c>
    </row>
    <row r="36" spans="1:14" s="58" customFormat="1" ht="21.95" customHeight="1">
      <c r="A36" s="124">
        <f>A37*12%</f>
        <v>7764.6932399999996</v>
      </c>
      <c r="B36" s="124"/>
      <c r="C36" s="117"/>
      <c r="D36" s="124"/>
      <c r="E36" s="124"/>
      <c r="F36" s="124" t="s">
        <v>161</v>
      </c>
      <c r="H36" s="59"/>
      <c r="I36" s="249">
        <v>1.2500000000000001E-2</v>
      </c>
      <c r="J36" s="246"/>
      <c r="K36" s="138">
        <f>D49</f>
        <v>808.82221250000009</v>
      </c>
    </row>
    <row r="37" spans="1:14" s="58" customFormat="1" ht="21.95" customHeight="1">
      <c r="A37" s="124">
        <f>SUM(A7:A32)</f>
        <v>64705.777000000002</v>
      </c>
      <c r="B37" s="124"/>
      <c r="C37" s="117"/>
      <c r="D37" s="124"/>
      <c r="E37" s="124"/>
      <c r="F37" s="124" t="s">
        <v>247</v>
      </c>
      <c r="H37" s="59"/>
      <c r="I37" s="246" t="s">
        <v>261</v>
      </c>
      <c r="J37" s="246"/>
      <c r="K37" s="138">
        <f>D48</f>
        <v>1941.1733099999999</v>
      </c>
    </row>
    <row r="38" spans="1:14" s="58" customFormat="1" ht="21.95" customHeight="1">
      <c r="A38" s="124">
        <f>بنك!AF32</f>
        <v>110</v>
      </c>
      <c r="B38" s="124"/>
      <c r="C38" s="117"/>
      <c r="D38" s="124"/>
      <c r="E38" s="124"/>
      <c r="F38" s="124" t="s">
        <v>17</v>
      </c>
      <c r="H38" s="59"/>
      <c r="I38" s="250" t="s">
        <v>210</v>
      </c>
      <c r="J38" s="251"/>
      <c r="K38" s="138">
        <f>D44</f>
        <v>22.07</v>
      </c>
    </row>
    <row r="39" spans="1:14" s="58" customFormat="1" ht="21.95" customHeight="1">
      <c r="A39" s="124">
        <f>SUM(A33:A38)</f>
        <v>75977.523532499996</v>
      </c>
      <c r="B39" s="192" t="s">
        <v>287</v>
      </c>
      <c r="C39" s="193"/>
      <c r="D39" s="193"/>
      <c r="E39" s="194"/>
      <c r="F39" s="124"/>
      <c r="H39" s="59"/>
      <c r="I39" s="249" t="s">
        <v>262</v>
      </c>
      <c r="J39" s="246"/>
      <c r="K39" s="138">
        <f>D50</f>
        <v>10.96</v>
      </c>
    </row>
    <row r="40" spans="1:14" s="58" customFormat="1" ht="21.95" customHeight="1">
      <c r="A40" s="208"/>
      <c r="B40" s="211" t="s">
        <v>194</v>
      </c>
      <c r="C40" s="212"/>
      <c r="D40" s="213" t="s">
        <v>195</v>
      </c>
      <c r="E40" s="214"/>
      <c r="F40" s="220" t="s">
        <v>167</v>
      </c>
      <c r="H40" s="59"/>
      <c r="I40" s="249" t="s">
        <v>193</v>
      </c>
      <c r="J40" s="246"/>
      <c r="K40" s="138">
        <f>SUM(K31:K39)</f>
        <v>18312.412002499994</v>
      </c>
    </row>
    <row r="41" spans="1:14" s="60" customFormat="1" ht="10.5" customHeight="1">
      <c r="A41" s="209"/>
      <c r="B41" s="212"/>
      <c r="C41" s="212"/>
      <c r="D41" s="215"/>
      <c r="E41" s="216"/>
      <c r="F41" s="210"/>
      <c r="H41" s="59"/>
      <c r="I41" s="201"/>
      <c r="J41" s="202"/>
    </row>
    <row r="42" spans="1:14" s="58" customFormat="1" ht="21.95" customHeight="1">
      <c r="A42" s="209"/>
      <c r="B42" s="217">
        <f>SUM(D42:E50)</f>
        <v>18312.412002499994</v>
      </c>
      <c r="C42" s="218"/>
      <c r="D42" s="192">
        <f>A36</f>
        <v>7764.6932399999996</v>
      </c>
      <c r="E42" s="194"/>
      <c r="F42" s="124" t="s">
        <v>161</v>
      </c>
    </row>
    <row r="43" spans="1:14" s="58" customFormat="1" ht="21.95" customHeight="1">
      <c r="A43" s="209"/>
      <c r="B43" s="205"/>
      <c r="C43" s="204"/>
      <c r="D43" s="192">
        <f>A37*9%</f>
        <v>5823.5199300000004</v>
      </c>
      <c r="E43" s="194"/>
      <c r="F43" s="124" t="s">
        <v>168</v>
      </c>
    </row>
    <row r="44" spans="1:14" s="58" customFormat="1" ht="21.95" customHeight="1">
      <c r="A44" s="209"/>
      <c r="B44" s="205"/>
      <c r="C44" s="204"/>
      <c r="D44" s="192">
        <f>بنك!AJ32</f>
        <v>22.07</v>
      </c>
      <c r="E44" s="194"/>
      <c r="F44" s="124" t="s">
        <v>169</v>
      </c>
    </row>
    <row r="45" spans="1:14" s="58" customFormat="1" ht="21.95" customHeight="1">
      <c r="A45" s="209"/>
      <c r="B45" s="205"/>
      <c r="C45" s="204"/>
      <c r="D45" s="192">
        <f>A33</f>
        <v>647.05777</v>
      </c>
      <c r="E45" s="194"/>
      <c r="F45" s="125">
        <v>0.01</v>
      </c>
    </row>
    <row r="46" spans="1:14" s="58" customFormat="1" ht="21.95" customHeight="1">
      <c r="A46" s="209"/>
      <c r="B46" s="205"/>
      <c r="C46" s="204"/>
      <c r="D46" s="192">
        <f>D45</f>
        <v>647.05777</v>
      </c>
      <c r="E46" s="194"/>
      <c r="F46" s="124" t="s">
        <v>170</v>
      </c>
    </row>
    <row r="47" spans="1:14" s="58" customFormat="1" ht="21.95" customHeight="1">
      <c r="A47" s="209"/>
      <c r="B47" s="205"/>
      <c r="C47" s="204"/>
      <c r="D47" s="192">
        <f>D46</f>
        <v>647.05777</v>
      </c>
      <c r="E47" s="194"/>
      <c r="F47" s="124" t="s">
        <v>170</v>
      </c>
    </row>
    <row r="48" spans="1:14" s="58" customFormat="1" ht="21.95" customHeight="1">
      <c r="A48" s="209"/>
      <c r="B48" s="205"/>
      <c r="C48" s="204"/>
      <c r="D48" s="192">
        <f>A35</f>
        <v>1941.1733099999999</v>
      </c>
      <c r="E48" s="194"/>
      <c r="F48" s="124" t="s">
        <v>171</v>
      </c>
      <c r="G48" s="139"/>
      <c r="H48" s="140"/>
      <c r="I48" s="140"/>
      <c r="J48" s="247" t="s">
        <v>140</v>
      </c>
      <c r="K48" s="252"/>
      <c r="L48" s="140"/>
      <c r="M48" s="140"/>
      <c r="N48" s="140"/>
    </row>
    <row r="49" spans="1:14" s="58" customFormat="1" ht="21.95" customHeight="1">
      <c r="A49" s="209"/>
      <c r="B49" s="205"/>
      <c r="C49" s="204"/>
      <c r="D49" s="192">
        <f>A34</f>
        <v>808.82221250000009</v>
      </c>
      <c r="E49" s="194"/>
      <c r="F49" s="124" t="s">
        <v>172</v>
      </c>
      <c r="G49" s="139"/>
      <c r="H49" s="140"/>
      <c r="I49" s="140"/>
      <c r="J49" s="252"/>
      <c r="K49" s="252"/>
      <c r="L49" s="140"/>
      <c r="M49" s="140"/>
      <c r="N49" s="140"/>
    </row>
    <row r="50" spans="1:14" s="58" customFormat="1" ht="21.95" customHeight="1">
      <c r="A50" s="209"/>
      <c r="B50" s="206"/>
      <c r="C50" s="207"/>
      <c r="D50" s="192">
        <f>بنك!AO32</f>
        <v>10.96</v>
      </c>
      <c r="E50" s="194"/>
      <c r="F50" s="126" t="s">
        <v>173</v>
      </c>
      <c r="G50" s="205" t="s">
        <v>141</v>
      </c>
      <c r="H50" s="253"/>
      <c r="I50" s="253"/>
      <c r="J50" s="253"/>
      <c r="K50" s="253"/>
      <c r="L50" s="253"/>
      <c r="M50" s="253"/>
      <c r="N50" s="253"/>
    </row>
    <row r="51" spans="1:14" s="58" customFormat="1" ht="21.95" customHeight="1">
      <c r="A51" s="209"/>
      <c r="B51" s="199"/>
      <c r="C51" s="200"/>
      <c r="D51" s="199"/>
      <c r="E51" s="200"/>
      <c r="F51" s="127" t="s">
        <v>174</v>
      </c>
      <c r="G51" s="254"/>
      <c r="H51" s="253"/>
      <c r="I51" s="253"/>
      <c r="J51" s="253"/>
      <c r="K51" s="253"/>
      <c r="L51" s="253"/>
      <c r="M51" s="253"/>
      <c r="N51" s="253"/>
    </row>
    <row r="52" spans="1:14" s="58" customFormat="1" ht="21.95" customHeight="1">
      <c r="A52" s="209"/>
      <c r="B52" s="203">
        <f>SUM(D52:E55)</f>
        <v>1688.7</v>
      </c>
      <c r="C52" s="204"/>
      <c r="D52" s="192">
        <f>بنك!AP32</f>
        <v>1275.6000000000001</v>
      </c>
      <c r="E52" s="194"/>
      <c r="F52" s="126" t="s">
        <v>175</v>
      </c>
      <c r="G52" s="256" t="s">
        <v>294</v>
      </c>
      <c r="H52" s="253"/>
      <c r="I52" s="253"/>
      <c r="J52" s="253"/>
      <c r="K52" s="253"/>
      <c r="L52" s="253"/>
      <c r="M52" s="253"/>
      <c r="N52" s="253"/>
    </row>
    <row r="53" spans="1:14" s="58" customFormat="1" ht="21.95" customHeight="1">
      <c r="A53" s="209"/>
      <c r="B53" s="205"/>
      <c r="C53" s="204"/>
      <c r="D53" s="192">
        <f>بنك!AQ32</f>
        <v>413.09999999999997</v>
      </c>
      <c r="E53" s="194"/>
      <c r="F53" s="126" t="s">
        <v>176</v>
      </c>
      <c r="G53" s="254"/>
      <c r="H53" s="253"/>
      <c r="I53" s="253"/>
      <c r="J53" s="253"/>
      <c r="K53" s="253"/>
      <c r="L53" s="253"/>
      <c r="M53" s="253"/>
      <c r="N53" s="253"/>
    </row>
    <row r="54" spans="1:14" s="58" customFormat="1" ht="21.95" customHeight="1">
      <c r="A54" s="209"/>
      <c r="B54" s="205"/>
      <c r="C54" s="204"/>
      <c r="D54" s="192"/>
      <c r="E54" s="194"/>
      <c r="F54" s="126" t="s">
        <v>177</v>
      </c>
      <c r="G54" s="141"/>
      <c r="H54" s="142"/>
      <c r="I54" s="142"/>
      <c r="J54" s="142"/>
      <c r="K54" s="255" t="s">
        <v>142</v>
      </c>
      <c r="L54" s="253"/>
      <c r="M54" s="253"/>
      <c r="N54" s="253"/>
    </row>
    <row r="55" spans="1:14" s="58" customFormat="1" ht="21.95" customHeight="1">
      <c r="A55" s="209"/>
      <c r="B55" s="206"/>
      <c r="C55" s="207"/>
      <c r="D55" s="192"/>
      <c r="E55" s="194"/>
      <c r="F55" s="126" t="s">
        <v>178</v>
      </c>
      <c r="G55" s="141"/>
      <c r="H55" s="143"/>
      <c r="I55" s="143"/>
      <c r="J55" s="143"/>
      <c r="K55" s="253"/>
      <c r="L55" s="253"/>
      <c r="M55" s="253"/>
      <c r="N55" s="253"/>
    </row>
    <row r="56" spans="1:14" s="58" customFormat="1" ht="21.95" customHeight="1">
      <c r="A56" s="209"/>
      <c r="B56" s="199"/>
      <c r="C56" s="200"/>
      <c r="D56" s="199"/>
      <c r="E56" s="200"/>
      <c r="F56" s="127" t="s">
        <v>179</v>
      </c>
      <c r="G56" s="73"/>
      <c r="H56" s="72"/>
      <c r="I56" s="72"/>
      <c r="J56" s="72"/>
      <c r="K56" s="72"/>
      <c r="L56" s="72"/>
      <c r="M56" s="72"/>
      <c r="N56" s="72"/>
    </row>
    <row r="57" spans="1:14" s="58" customFormat="1" ht="21.95" customHeight="1">
      <c r="A57" s="209"/>
      <c r="B57" s="213">
        <f>SUM(D57:E74)</f>
        <v>1516.6584999999998</v>
      </c>
      <c r="C57" s="214"/>
      <c r="D57" s="192">
        <f>بنك!AT32</f>
        <v>49.5</v>
      </c>
      <c r="E57" s="194"/>
      <c r="F57" s="124" t="s">
        <v>180</v>
      </c>
    </row>
    <row r="58" spans="1:14" s="58" customFormat="1" ht="21.95" customHeight="1">
      <c r="A58" s="209"/>
      <c r="B58" s="243"/>
      <c r="C58" s="244"/>
      <c r="D58" s="192">
        <f>بنك!AU32</f>
        <v>22</v>
      </c>
      <c r="E58" s="194"/>
      <c r="F58" s="124" t="s">
        <v>181</v>
      </c>
    </row>
    <row r="59" spans="1:14" s="58" customFormat="1" ht="21.95" customHeight="1">
      <c r="A59" s="209"/>
      <c r="B59" s="243"/>
      <c r="C59" s="244"/>
      <c r="D59" s="192">
        <f>بنك!AV32</f>
        <v>2.75</v>
      </c>
      <c r="E59" s="194"/>
      <c r="F59" s="124" t="s">
        <v>182</v>
      </c>
    </row>
    <row r="60" spans="1:14" s="58" customFormat="1" ht="21.95" customHeight="1">
      <c r="A60" s="209"/>
      <c r="B60" s="243"/>
      <c r="C60" s="244"/>
      <c r="D60" s="192">
        <f>بنك!AW32</f>
        <v>33</v>
      </c>
      <c r="E60" s="194"/>
      <c r="F60" s="124" t="s">
        <v>183</v>
      </c>
    </row>
    <row r="61" spans="1:14" s="58" customFormat="1" ht="21.95" customHeight="1">
      <c r="A61" s="209"/>
      <c r="B61" s="243"/>
      <c r="C61" s="244"/>
      <c r="D61" s="192">
        <f>بنك!AX32</f>
        <v>5.5</v>
      </c>
      <c r="E61" s="194"/>
      <c r="F61" s="124" t="s">
        <v>184</v>
      </c>
    </row>
    <row r="62" spans="1:14" s="58" customFormat="1" ht="21.95" customHeight="1">
      <c r="A62" s="209"/>
      <c r="B62" s="243"/>
      <c r="C62" s="244"/>
      <c r="D62" s="192">
        <f>بنك!BC32</f>
        <v>0</v>
      </c>
      <c r="E62" s="194"/>
      <c r="F62" s="124" t="s">
        <v>185</v>
      </c>
    </row>
    <row r="63" spans="1:14" s="58" customFormat="1" ht="21.95" customHeight="1">
      <c r="A63" s="209"/>
      <c r="B63" s="243"/>
      <c r="C63" s="244"/>
      <c r="D63" s="192">
        <f>بنك!AZ32</f>
        <v>18</v>
      </c>
      <c r="E63" s="194"/>
      <c r="F63" s="124" t="s">
        <v>249</v>
      </c>
    </row>
    <row r="64" spans="1:14" s="58" customFormat="1" ht="21.95" customHeight="1">
      <c r="A64" s="209"/>
      <c r="B64" s="243"/>
      <c r="C64" s="244"/>
      <c r="D64" s="192">
        <f>بنك!BE32</f>
        <v>7.1</v>
      </c>
      <c r="E64" s="194"/>
      <c r="F64" s="124" t="s">
        <v>295</v>
      </c>
    </row>
    <row r="65" spans="1:7" s="58" customFormat="1" ht="21.95" customHeight="1">
      <c r="A65" s="209"/>
      <c r="B65" s="243"/>
      <c r="C65" s="244"/>
      <c r="D65" s="192">
        <f>بنك!AR32</f>
        <v>0</v>
      </c>
      <c r="E65" s="194"/>
      <c r="F65" s="124" t="s">
        <v>186</v>
      </c>
    </row>
    <row r="66" spans="1:7" s="58" customFormat="1" ht="21.95" customHeight="1">
      <c r="A66" s="209"/>
      <c r="B66" s="243"/>
      <c r="C66" s="244"/>
      <c r="D66" s="192">
        <f>بنك!BA32</f>
        <v>0</v>
      </c>
      <c r="E66" s="194"/>
      <c r="F66" s="124" t="s">
        <v>293</v>
      </c>
    </row>
    <row r="67" spans="1:7" s="58" customFormat="1" ht="21.95" customHeight="1">
      <c r="A67" s="209"/>
      <c r="B67" s="243"/>
      <c r="C67" s="244"/>
      <c r="D67" s="192">
        <f>بنك!BB32</f>
        <v>0</v>
      </c>
      <c r="E67" s="194"/>
      <c r="F67" s="124" t="s">
        <v>187</v>
      </c>
    </row>
    <row r="68" spans="1:7" s="58" customFormat="1" ht="21.95" customHeight="1">
      <c r="A68" s="209"/>
      <c r="B68" s="243"/>
      <c r="C68" s="244"/>
      <c r="D68" s="192">
        <f>بنك!BD32</f>
        <v>0</v>
      </c>
      <c r="E68" s="194"/>
      <c r="F68" s="124" t="s">
        <v>188</v>
      </c>
    </row>
    <row r="69" spans="1:7" s="58" customFormat="1" ht="21.75" customHeight="1">
      <c r="A69" s="209"/>
      <c r="B69" s="243"/>
      <c r="C69" s="244"/>
      <c r="D69" s="192">
        <f>بنك!AY32</f>
        <v>1208.3084999999999</v>
      </c>
      <c r="E69" s="194"/>
      <c r="F69" s="124" t="s">
        <v>185</v>
      </c>
    </row>
    <row r="70" spans="1:7" s="58" customFormat="1" ht="21.75" customHeight="1">
      <c r="A70" s="209"/>
      <c r="B70" s="243"/>
      <c r="C70" s="244"/>
      <c r="D70" s="222">
        <f>بنك!AM32</f>
        <v>113.80000000000001</v>
      </c>
      <c r="E70" s="194"/>
      <c r="F70" s="124" t="s">
        <v>252</v>
      </c>
    </row>
    <row r="71" spans="1:7" s="58" customFormat="1" ht="21.75" customHeight="1">
      <c r="A71" s="209"/>
      <c r="B71" s="243"/>
      <c r="C71" s="244"/>
      <c r="D71" s="192">
        <f>بنك!AN32</f>
        <v>28.4</v>
      </c>
      <c r="E71" s="194"/>
      <c r="F71" s="124" t="s">
        <v>253</v>
      </c>
    </row>
    <row r="72" spans="1:7" s="58" customFormat="1" ht="21.75" customHeight="1">
      <c r="A72" s="210"/>
      <c r="B72" s="243"/>
      <c r="C72" s="244"/>
      <c r="D72" s="223">
        <f>بنك!BF32</f>
        <v>0</v>
      </c>
      <c r="E72" s="224"/>
      <c r="F72" s="124" t="s">
        <v>233</v>
      </c>
    </row>
    <row r="73" spans="1:7" s="58" customFormat="1" ht="21.75" customHeight="1">
      <c r="A73" s="208">
        <f>B42+B52+B57</f>
        <v>21517.770502499996</v>
      </c>
      <c r="B73" s="243"/>
      <c r="C73" s="244"/>
      <c r="D73" s="223">
        <f>بنك!AS32</f>
        <v>28</v>
      </c>
      <c r="E73" s="224"/>
      <c r="F73" s="124" t="s">
        <v>251</v>
      </c>
    </row>
    <row r="74" spans="1:7" s="58" customFormat="1" ht="21.95" customHeight="1">
      <c r="A74" s="210"/>
      <c r="B74" s="215"/>
      <c r="C74" s="216"/>
      <c r="D74" s="192">
        <f>بنك!BH32</f>
        <v>0.30000000000000004</v>
      </c>
      <c r="E74" s="225"/>
      <c r="F74" s="124" t="s">
        <v>189</v>
      </c>
    </row>
    <row r="75" spans="1:7" ht="36.75" customHeight="1">
      <c r="A75" s="69">
        <f>A39-A73</f>
        <v>54459.75303</v>
      </c>
      <c r="B75" s="56" t="s">
        <v>254</v>
      </c>
      <c r="C75" s="257" t="s">
        <v>296</v>
      </c>
      <c r="D75" s="258"/>
      <c r="E75" s="258"/>
      <c r="F75" s="258"/>
      <c r="G75" s="202"/>
    </row>
    <row r="76" spans="1:7" ht="51" customHeight="1">
      <c r="A76" s="221" t="s">
        <v>347</v>
      </c>
      <c r="B76" s="202"/>
      <c r="C76" s="202"/>
      <c r="D76" s="202"/>
      <c r="E76" s="202"/>
      <c r="F76" s="202"/>
    </row>
    <row r="77" spans="1:7" ht="36.75" customHeight="1">
      <c r="A77" s="62" t="s">
        <v>256</v>
      </c>
      <c r="C77" s="63"/>
      <c r="D77" s="62"/>
      <c r="E77" s="62"/>
      <c r="F77" s="64"/>
    </row>
    <row r="78" spans="1:7" ht="35.25" customHeight="1">
      <c r="A78" s="219" t="s">
        <v>257</v>
      </c>
      <c r="B78" s="202"/>
      <c r="C78" s="202"/>
      <c r="D78" s="202"/>
      <c r="E78" s="202"/>
      <c r="F78" s="202"/>
      <c r="G78" s="202"/>
    </row>
    <row r="79" spans="1:7" ht="18.75">
      <c r="A79" s="61"/>
      <c r="B79" s="61"/>
      <c r="C79" s="61"/>
      <c r="D79" s="61"/>
      <c r="E79" s="61"/>
      <c r="F79" s="61"/>
    </row>
  </sheetData>
  <mergeCells count="69">
    <mergeCell ref="C75:G75"/>
    <mergeCell ref="A76:F76"/>
    <mergeCell ref="A78:G78"/>
    <mergeCell ref="D64:E64"/>
    <mergeCell ref="D69:E69"/>
    <mergeCell ref="D70:E70"/>
    <mergeCell ref="D71:E71"/>
    <mergeCell ref="D72:E72"/>
    <mergeCell ref="A73:A74"/>
    <mergeCell ref="D73:E73"/>
    <mergeCell ref="D74:E74"/>
    <mergeCell ref="D68:E68"/>
    <mergeCell ref="A40:A72"/>
    <mergeCell ref="B56:C56"/>
    <mergeCell ref="D56:E56"/>
    <mergeCell ref="B57:C74"/>
    <mergeCell ref="D57:E57"/>
    <mergeCell ref="D58:E58"/>
    <mergeCell ref="D59:E59"/>
    <mergeCell ref="D60:E60"/>
    <mergeCell ref="D61:E61"/>
    <mergeCell ref="D62:E62"/>
    <mergeCell ref="D63:E63"/>
    <mergeCell ref="D65:E65"/>
    <mergeCell ref="D66:E66"/>
    <mergeCell ref="D67:E67"/>
    <mergeCell ref="G50:N51"/>
    <mergeCell ref="B51:C51"/>
    <mergeCell ref="D51:E51"/>
    <mergeCell ref="K54:N55"/>
    <mergeCell ref="D55:E55"/>
    <mergeCell ref="B52:C55"/>
    <mergeCell ref="D52:E52"/>
    <mergeCell ref="G52:N53"/>
    <mergeCell ref="D53:E53"/>
    <mergeCell ref="D54:E54"/>
    <mergeCell ref="I41:J41"/>
    <mergeCell ref="B42:C50"/>
    <mergeCell ref="D42:E42"/>
    <mergeCell ref="D43:E43"/>
    <mergeCell ref="D44:E44"/>
    <mergeCell ref="D45:E45"/>
    <mergeCell ref="D46:E46"/>
    <mergeCell ref="D47:E47"/>
    <mergeCell ref="D48:E48"/>
    <mergeCell ref="J48:K49"/>
    <mergeCell ref="B40:C41"/>
    <mergeCell ref="D40:E41"/>
    <mergeCell ref="F40:F41"/>
    <mergeCell ref="I40:J40"/>
    <mergeCell ref="D49:E49"/>
    <mergeCell ref="D50:E50"/>
    <mergeCell ref="I36:J36"/>
    <mergeCell ref="I37:J37"/>
    <mergeCell ref="I38:J38"/>
    <mergeCell ref="B39:E39"/>
    <mergeCell ref="I39:J39"/>
    <mergeCell ref="I35:J35"/>
    <mergeCell ref="H7:J8"/>
    <mergeCell ref="H9:J10"/>
    <mergeCell ref="H11:K12"/>
    <mergeCell ref="H14:N15"/>
    <mergeCell ref="H18:M19"/>
    <mergeCell ref="H27:N28"/>
    <mergeCell ref="I30:J30"/>
    <mergeCell ref="I31:J31"/>
    <mergeCell ref="I32:J32"/>
    <mergeCell ref="I33:J33"/>
    <mergeCell ref="I34:J34"/>
  </mergeCells>
  <printOptions horizontalCentered="1"/>
  <pageMargins left="0" right="0" top="0.25" bottom="0.25" header="0.3" footer="0.3"/>
  <pageSetup paperSize="9" scale="47" orientation="portrait" r:id="rId1"/>
  <ignoredErrors>
    <ignoredError sqref="F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rightToLeft="1" view="pageBreakPreview" zoomScale="60" zoomScaleNormal="75" workbookViewId="0">
      <selection activeCell="A5" sqref="A5"/>
    </sheetView>
  </sheetViews>
  <sheetFormatPr defaultRowHeight="15"/>
  <cols>
    <col min="1" max="1" width="7.140625" customWidth="1"/>
    <col min="2" max="2" width="18.7109375" customWidth="1"/>
    <col min="3" max="5" width="8.7109375" customWidth="1"/>
    <col min="6" max="6" width="18.7109375" customWidth="1"/>
    <col min="7" max="8" width="13.7109375" customWidth="1"/>
  </cols>
  <sheetData>
    <row r="1" spans="1:9" ht="18">
      <c r="B1" s="148" t="s">
        <v>308</v>
      </c>
      <c r="C1" s="107"/>
      <c r="D1" s="107"/>
      <c r="E1" s="107"/>
      <c r="F1" s="148" t="s">
        <v>315</v>
      </c>
      <c r="G1" s="40"/>
      <c r="H1" s="40"/>
    </row>
    <row r="2" spans="1:9" ht="18">
      <c r="B2" s="148" t="s">
        <v>316</v>
      </c>
      <c r="C2" s="149"/>
      <c r="D2" s="149"/>
      <c r="E2" s="96"/>
      <c r="F2" s="297" t="s">
        <v>323</v>
      </c>
      <c r="G2" s="297"/>
      <c r="H2" s="297"/>
    </row>
    <row r="3" spans="1:9" ht="22.5" customHeight="1">
      <c r="A3" s="147"/>
      <c r="B3" s="298" t="s">
        <v>322</v>
      </c>
      <c r="C3" s="298"/>
      <c r="D3" s="298"/>
      <c r="E3" s="298"/>
      <c r="F3" s="298"/>
      <c r="G3" s="298"/>
      <c r="H3" s="298"/>
    </row>
    <row r="4" spans="1:9" ht="18">
      <c r="A4" s="98">
        <v>29</v>
      </c>
      <c r="B4" s="147" t="s">
        <v>317</v>
      </c>
      <c r="C4" s="299" t="str">
        <f>VLOOKUP(A4,اعدادى!D10:BP100,60,0)</f>
        <v>امل عبد النبى النجار</v>
      </c>
      <c r="D4" s="299" t="e">
        <f>VLOOKUP(#REF!,[1]yyy!#REF!,23,0)</f>
        <v>#REF!</v>
      </c>
      <c r="E4" s="300"/>
      <c r="F4" s="300"/>
      <c r="G4" s="103" t="s">
        <v>318</v>
      </c>
      <c r="H4" s="99">
        <f>VLOOKUP(A4,اعدادى!D10:BP100,65,0)</f>
        <v>0</v>
      </c>
    </row>
    <row r="5" spans="1:9" ht="17.25" customHeight="1">
      <c r="A5" s="147"/>
      <c r="B5" s="147" t="s">
        <v>324</v>
      </c>
      <c r="C5" s="99"/>
      <c r="D5" s="301" t="s">
        <v>196</v>
      </c>
      <c r="E5" s="301"/>
      <c r="F5" s="301"/>
      <c r="G5" s="301"/>
      <c r="H5" s="301"/>
    </row>
    <row r="6" spans="1:9" ht="18">
      <c r="A6" s="147"/>
      <c r="B6" s="147" t="s">
        <v>197</v>
      </c>
      <c r="C6" s="147" t="str">
        <f>VLOOKUP(A4,اعدادى!D10:BP100,61,0)</f>
        <v>ثانيه</v>
      </c>
      <c r="D6" s="147"/>
      <c r="E6" s="147"/>
      <c r="F6" s="41" t="s">
        <v>319</v>
      </c>
      <c r="G6" s="41" t="s">
        <v>320</v>
      </c>
      <c r="H6" s="41"/>
      <c r="I6" s="101"/>
    </row>
    <row r="7" spans="1:9" ht="9.9499999999999993" customHeight="1" thickBot="1">
      <c r="A7" s="147"/>
      <c r="B7" s="147"/>
      <c r="C7" s="147"/>
      <c r="D7" s="147"/>
      <c r="E7" s="147"/>
      <c r="F7" s="147"/>
      <c r="G7" s="41"/>
      <c r="H7" s="41"/>
      <c r="I7" s="101"/>
    </row>
    <row r="8" spans="1:9" ht="18.75" thickBot="1">
      <c r="A8" s="104"/>
      <c r="B8" s="144" t="s">
        <v>143</v>
      </c>
      <c r="C8" s="283" t="s">
        <v>310</v>
      </c>
      <c r="D8" s="283"/>
      <c r="E8" s="283"/>
      <c r="F8" s="144" t="s">
        <v>309</v>
      </c>
      <c r="G8" s="283" t="s">
        <v>310</v>
      </c>
      <c r="H8" s="283"/>
      <c r="I8" s="101"/>
    </row>
    <row r="9" spans="1:9" ht="18.75" thickBot="1">
      <c r="A9" s="105"/>
      <c r="B9" s="144">
        <f>VLOOKUP(A4,اعدادى!D10:BP100,3,0)</f>
        <v>1041.6300000000001</v>
      </c>
      <c r="C9" s="283" t="s">
        <v>198</v>
      </c>
      <c r="D9" s="283"/>
      <c r="E9" s="283"/>
      <c r="F9" s="92">
        <f>B31</f>
        <v>395.08</v>
      </c>
      <c r="G9" s="294" t="s">
        <v>311</v>
      </c>
      <c r="H9" s="294"/>
    </row>
    <row r="10" spans="1:9" ht="18.75" thickBot="1">
      <c r="A10" s="104"/>
      <c r="B10" s="144">
        <f>VLOOKUP(A4,اعدادى!D10:BP100,4,0)</f>
        <v>24.12</v>
      </c>
      <c r="C10" s="283" t="s">
        <v>200</v>
      </c>
      <c r="D10" s="283"/>
      <c r="E10" s="283"/>
      <c r="F10" s="92">
        <f>B32</f>
        <v>32.92</v>
      </c>
      <c r="G10" s="294" t="s">
        <v>201</v>
      </c>
      <c r="H10" s="294"/>
    </row>
    <row r="11" spans="1:9" ht="18.75" thickBot="1">
      <c r="A11" s="104"/>
      <c r="B11" s="146">
        <f>VLOOKUP(A4,اعدادى!D10:BP100,5,0)</f>
        <v>24.6</v>
      </c>
      <c r="C11" s="283" t="s">
        <v>202</v>
      </c>
      <c r="D11" s="283"/>
      <c r="E11" s="283"/>
      <c r="F11" s="92">
        <f>B33</f>
        <v>41.15</v>
      </c>
      <c r="G11" s="294" t="s">
        <v>203</v>
      </c>
      <c r="H11" s="294"/>
    </row>
    <row r="12" spans="1:9" ht="18.75" thickBot="1">
      <c r="A12" s="104"/>
      <c r="B12" s="146">
        <f>VLOOKUP(A4,اعدادى!D10:BP100,6,0)</f>
        <v>61.5</v>
      </c>
      <c r="C12" s="283" t="s">
        <v>204</v>
      </c>
      <c r="D12" s="283"/>
      <c r="E12" s="283"/>
      <c r="F12" s="92">
        <f>B34</f>
        <v>98.77</v>
      </c>
      <c r="G12" s="294" t="s">
        <v>205</v>
      </c>
      <c r="H12" s="294"/>
    </row>
    <row r="13" spans="1:9" ht="18.75" thickBot="1">
      <c r="A13" s="104"/>
      <c r="B13" s="146">
        <f>VLOOKUP(A4,اعدادى!D10:BP100,20,0)</f>
        <v>2</v>
      </c>
      <c r="C13" s="283" t="s">
        <v>155</v>
      </c>
      <c r="D13" s="283"/>
      <c r="E13" s="283"/>
      <c r="F13" s="92">
        <f>ROUND(B29*9%,2)</f>
        <v>296.31</v>
      </c>
      <c r="G13" s="295" t="s">
        <v>206</v>
      </c>
      <c r="H13" s="296"/>
    </row>
    <row r="14" spans="1:9" ht="18.75" thickBot="1">
      <c r="A14" s="104"/>
      <c r="B14" s="146">
        <f>VLOOKUP(A4,اعدادى!D10:BP100,21,0)</f>
        <v>4</v>
      </c>
      <c r="C14" s="283" t="s">
        <v>156</v>
      </c>
      <c r="D14" s="283"/>
      <c r="E14" s="283"/>
      <c r="F14" s="92">
        <f>F10</f>
        <v>32.92</v>
      </c>
      <c r="G14" s="265" t="s">
        <v>201</v>
      </c>
      <c r="H14" s="266"/>
    </row>
    <row r="15" spans="1:9" ht="18.75" thickBot="1">
      <c r="A15" s="104"/>
      <c r="B15" s="146">
        <f>VLOOKUP(A4,اعدادى!D10:BP100,15,0)</f>
        <v>191</v>
      </c>
      <c r="C15" s="283" t="s">
        <v>154</v>
      </c>
      <c r="D15" s="283"/>
      <c r="E15" s="283"/>
      <c r="F15" s="92">
        <f>F10</f>
        <v>32.92</v>
      </c>
      <c r="G15" s="265" t="s">
        <v>207</v>
      </c>
      <c r="H15" s="266"/>
    </row>
    <row r="16" spans="1:9" ht="18.75" thickBot="1">
      <c r="A16" s="104"/>
      <c r="B16" s="146">
        <f>VLOOKUP(A4,اعدادى!D10:BP100,8,0)</f>
        <v>123</v>
      </c>
      <c r="C16" s="282" t="s">
        <v>5</v>
      </c>
      <c r="D16" s="283"/>
      <c r="E16" s="283"/>
      <c r="F16" s="92"/>
      <c r="G16" s="286"/>
      <c r="H16" s="286"/>
    </row>
    <row r="17" spans="1:8" ht="18.75" thickBot="1">
      <c r="A17" s="104"/>
      <c r="B17" s="146">
        <f>VLOOKUP(A4,اعدادى!D10:BP100,9,0)</f>
        <v>307.5</v>
      </c>
      <c r="C17" s="293" t="s">
        <v>6</v>
      </c>
      <c r="D17" s="283"/>
      <c r="E17" s="283"/>
      <c r="F17" s="92">
        <f>VLOOKUP(A4,اعدادى!D10:BP100,38,0)</f>
        <v>0</v>
      </c>
      <c r="G17" s="286" t="s">
        <v>209</v>
      </c>
      <c r="H17" s="286"/>
    </row>
    <row r="18" spans="1:8" ht="18.75" thickBot="1">
      <c r="A18" s="104"/>
      <c r="B18" s="146">
        <f>VLOOKUP(A4,اعدادى!D10:BP100,7,0)</f>
        <v>123</v>
      </c>
      <c r="C18" s="283" t="s">
        <v>299</v>
      </c>
      <c r="D18" s="283"/>
      <c r="E18" s="283"/>
      <c r="F18" s="92">
        <f>VLOOKUP(A4,اعدادى!D10:BP100,33,0)</f>
        <v>0</v>
      </c>
      <c r="G18" s="286" t="s">
        <v>210</v>
      </c>
      <c r="H18" s="286"/>
    </row>
    <row r="19" spans="1:8" ht="18.75" thickBot="1">
      <c r="A19" s="104"/>
      <c r="B19" s="146">
        <f>VLOOKUP(A4,اعدادى!D10:BP100,11,0)</f>
        <v>375</v>
      </c>
      <c r="C19" s="282" t="s">
        <v>151</v>
      </c>
      <c r="D19" s="283"/>
      <c r="E19" s="283"/>
      <c r="F19" s="92"/>
      <c r="G19" s="286" t="s">
        <v>211</v>
      </c>
      <c r="H19" s="286"/>
    </row>
    <row r="20" spans="1:8" ht="18.75" thickBot="1">
      <c r="A20" s="104"/>
      <c r="B20" s="146">
        <f>VLOOKUP(A4,اعدادى!D10:BQ100,66,0)</f>
        <v>625</v>
      </c>
      <c r="C20" s="282" t="s">
        <v>212</v>
      </c>
      <c r="D20" s="283"/>
      <c r="E20" s="283"/>
      <c r="F20" s="92">
        <f>VLOOKUP(A4,اعدادى!D10:BP100,34,0)</f>
        <v>32.923499999999997</v>
      </c>
      <c r="G20" s="286" t="s">
        <v>213</v>
      </c>
      <c r="H20" s="286"/>
    </row>
    <row r="21" spans="1:8" ht="18.75" thickBot="1">
      <c r="A21" s="104"/>
      <c r="B21" s="146">
        <f>VLOOKUP(A4,اعدادى!D10:BQ100,10,0)</f>
        <v>40</v>
      </c>
      <c r="C21" s="282" t="s">
        <v>8</v>
      </c>
      <c r="D21" s="283"/>
      <c r="E21" s="283"/>
      <c r="F21" s="92">
        <f>VLOOKUP(A4,اعدادى!D10:BP100,40,0)</f>
        <v>20.399999999999999</v>
      </c>
      <c r="G21" s="286" t="s">
        <v>176</v>
      </c>
      <c r="H21" s="286"/>
    </row>
    <row r="22" spans="1:8" ht="18.75" thickBot="1">
      <c r="A22" s="104"/>
      <c r="B22" s="146">
        <f>VLOOKUP(A4,اعدادى!D10:BQ100,18,0)</f>
        <v>85</v>
      </c>
      <c r="C22" s="282" t="s">
        <v>300</v>
      </c>
      <c r="D22" s="283"/>
      <c r="E22" s="283"/>
      <c r="F22" s="92"/>
      <c r="G22" s="286" t="s">
        <v>214</v>
      </c>
      <c r="H22" s="286"/>
    </row>
    <row r="23" spans="1:8" ht="18.75" thickBot="1">
      <c r="A23" s="104"/>
      <c r="B23" s="146">
        <f>VLOOKUP(A4,اعدادى!D10:BQ100,17,0)</f>
        <v>165</v>
      </c>
      <c r="C23" s="282" t="s">
        <v>215</v>
      </c>
      <c r="D23" s="283"/>
      <c r="E23" s="283"/>
      <c r="F23" s="92">
        <f>VLOOKUP(A4,اعدادى!D10:BP100,43,0)</f>
        <v>4.5</v>
      </c>
      <c r="G23" s="286" t="s">
        <v>180</v>
      </c>
      <c r="H23" s="286"/>
    </row>
    <row r="24" spans="1:8" ht="19.5" thickBot="1">
      <c r="A24" s="104"/>
      <c r="B24" s="146">
        <f>VLOOKUP(A4,اعدادى!D10:BQ100,16,0)</f>
        <v>100</v>
      </c>
      <c r="C24" s="284" t="s">
        <v>307</v>
      </c>
      <c r="D24" s="287"/>
      <c r="E24" s="287"/>
      <c r="F24" s="92">
        <f>VLOOKUP(A4,اعدادى!D10:BP100,44,0)</f>
        <v>2</v>
      </c>
      <c r="G24" s="279" t="s">
        <v>181</v>
      </c>
      <c r="H24" s="280"/>
    </row>
    <row r="25" spans="1:8" ht="19.5" thickBot="1">
      <c r="A25" s="104"/>
      <c r="B25" s="146">
        <f>VLOOKUP(A4,اعدادى!D10:BQ100,22,0)</f>
        <v>0</v>
      </c>
      <c r="C25" s="284" t="s">
        <v>302</v>
      </c>
      <c r="D25" s="287"/>
      <c r="E25" s="287"/>
      <c r="F25" s="100">
        <f>VLOOKUP(A4,اعدادى!D10:BP100,54,0)</f>
        <v>0</v>
      </c>
      <c r="G25" s="279" t="s">
        <v>295</v>
      </c>
      <c r="H25" s="281"/>
    </row>
    <row r="26" spans="1:8" ht="19.5" thickBot="1">
      <c r="A26" s="104"/>
      <c r="B26" s="146">
        <f>VLOOKUP(A4,اعدادى!D10:BQ100,28,0)</f>
        <v>0</v>
      </c>
      <c r="C26" s="284" t="s">
        <v>303</v>
      </c>
      <c r="D26" s="287"/>
      <c r="E26" s="287"/>
      <c r="F26" s="100">
        <f>VLOOKUP(A4,اعدادى!D10:BQ100,56,0)</f>
        <v>0</v>
      </c>
      <c r="G26" s="279" t="s">
        <v>208</v>
      </c>
      <c r="H26" s="281"/>
    </row>
    <row r="27" spans="1:8" ht="19.5" thickBot="1">
      <c r="A27" s="104"/>
      <c r="B27" s="146">
        <f>VLOOKUP(A4,اعدادى!D10:BQ100,26,0)</f>
        <v>0</v>
      </c>
      <c r="C27" s="291" t="s">
        <v>248</v>
      </c>
      <c r="D27" s="292"/>
      <c r="E27" s="292"/>
      <c r="F27" s="100">
        <f>VLOOKUP(A4,اعدادى!D10:BP100,45,0)</f>
        <v>0.25</v>
      </c>
      <c r="G27" s="286" t="s">
        <v>217</v>
      </c>
      <c r="H27" s="286"/>
    </row>
    <row r="28" spans="1:8" ht="19.5" thickBot="1">
      <c r="A28" s="104"/>
      <c r="B28" s="146">
        <f>VLOOKUP(A4,اعدادى!D10:BQ100,27,0)</f>
        <v>0</v>
      </c>
      <c r="C28" s="284" t="s">
        <v>166</v>
      </c>
      <c r="D28" s="287"/>
      <c r="E28" s="287"/>
      <c r="F28" s="100">
        <f>VLOOKUP(A4,اعدادى!D10:BP100,46,0)</f>
        <v>3</v>
      </c>
      <c r="G28" s="286" t="s">
        <v>183</v>
      </c>
      <c r="H28" s="286"/>
    </row>
    <row r="29" spans="1:8" ht="18.75" thickBot="1">
      <c r="A29" s="104"/>
      <c r="B29" s="146">
        <f>ROUND(SUM(B9:B28),2)</f>
        <v>3292.35</v>
      </c>
      <c r="C29" s="282" t="s">
        <v>216</v>
      </c>
      <c r="D29" s="283"/>
      <c r="E29" s="283"/>
      <c r="F29" s="100">
        <f>VLOOKUP(A4,اعدادى!D10:BP100,47,0)</f>
        <v>0.5</v>
      </c>
      <c r="G29" s="286" t="s">
        <v>184</v>
      </c>
      <c r="H29" s="286"/>
    </row>
    <row r="30" spans="1:8" ht="19.5" thickBot="1">
      <c r="A30" s="104"/>
      <c r="B30" s="146">
        <f>VLOOKUP(A4,اعدادى!D10:BP100,29,0)</f>
        <v>10</v>
      </c>
      <c r="C30" s="284" t="s">
        <v>218</v>
      </c>
      <c r="D30" s="287"/>
      <c r="E30" s="287"/>
      <c r="F30" s="92">
        <f>VLOOKUP(A4,اعدادى!D10:BP100,48,0)</f>
        <v>72.914100000000019</v>
      </c>
      <c r="G30" s="286" t="s">
        <v>219</v>
      </c>
      <c r="H30" s="286"/>
    </row>
    <row r="31" spans="1:8" ht="19.5" thickBot="1">
      <c r="A31" s="104"/>
      <c r="B31" s="92">
        <f>ROUND(B29*12%,2)</f>
        <v>395.08</v>
      </c>
      <c r="C31" s="288" t="s">
        <v>199</v>
      </c>
      <c r="D31" s="289"/>
      <c r="E31" s="290"/>
      <c r="F31" s="92">
        <f>VLOOKUP(A4,اعدادى!D10:BP100,52,0)</f>
        <v>0</v>
      </c>
      <c r="G31" s="286" t="s">
        <v>220</v>
      </c>
      <c r="H31" s="286"/>
    </row>
    <row r="32" spans="1:8" ht="18.75" thickBot="1">
      <c r="A32" s="104"/>
      <c r="B32" s="146">
        <f>ROUND(B29*1%,2)</f>
        <v>32.92</v>
      </c>
      <c r="C32" s="282" t="s">
        <v>201</v>
      </c>
      <c r="D32" s="283"/>
      <c r="E32" s="283"/>
      <c r="F32" s="92">
        <f>VLOOKUP(A4,اعدادى!D10:BP100,52,0)</f>
        <v>0</v>
      </c>
      <c r="G32" s="286" t="s">
        <v>221</v>
      </c>
      <c r="H32" s="286"/>
    </row>
    <row r="33" spans="1:8" ht="18.75" thickBot="1">
      <c r="A33" s="104"/>
      <c r="B33" s="146">
        <f>ROUND(B29*1.25%,2)</f>
        <v>41.15</v>
      </c>
      <c r="C33" s="282" t="s">
        <v>203</v>
      </c>
      <c r="D33" s="283"/>
      <c r="E33" s="283"/>
      <c r="F33" s="92">
        <f>VLOOKUP(A4,اعدادى!D10:BP100,53,0)</f>
        <v>0</v>
      </c>
      <c r="G33" s="265" t="s">
        <v>188</v>
      </c>
      <c r="H33" s="266"/>
    </row>
    <row r="34" spans="1:8" ht="18.75" thickBot="1">
      <c r="A34" s="104"/>
      <c r="B34" s="146">
        <f>ROUND(B29*3%,2)</f>
        <v>98.77</v>
      </c>
      <c r="C34" s="284" t="s">
        <v>205</v>
      </c>
      <c r="D34" s="285"/>
      <c r="E34" s="264"/>
      <c r="F34" s="92">
        <f>VLOOKUP(A4,اعدادى!D10:BP100,49,0)</f>
        <v>0</v>
      </c>
      <c r="G34" s="286" t="s">
        <v>224</v>
      </c>
      <c r="H34" s="286"/>
    </row>
    <row r="35" spans="1:8" ht="18.75" thickBot="1">
      <c r="A35" s="104"/>
      <c r="B35" s="146">
        <f>ROUND(SUM(B29:B34),2)</f>
        <v>3870.27</v>
      </c>
      <c r="C35" s="259" t="s">
        <v>193</v>
      </c>
      <c r="D35" s="285"/>
      <c r="E35" s="264"/>
      <c r="F35" s="92">
        <f>VLOOKUP(A4,اعدادى!D10:BP100,42,0)</f>
        <v>1.5</v>
      </c>
      <c r="G35" s="286" t="s">
        <v>225</v>
      </c>
      <c r="H35" s="286"/>
    </row>
    <row r="36" spans="1:8" ht="18.75" thickBot="1">
      <c r="A36" s="104"/>
      <c r="B36" s="92">
        <f>F41</f>
        <v>1076.7675999999999</v>
      </c>
      <c r="C36" s="259" t="s">
        <v>222</v>
      </c>
      <c r="D36" s="263"/>
      <c r="E36" s="264"/>
      <c r="F36" s="92">
        <f>VLOOKUP(A4,اعدادى!D10:BP100,36,0)</f>
        <v>7</v>
      </c>
      <c r="G36" s="265" t="s">
        <v>226</v>
      </c>
      <c r="H36" s="266"/>
    </row>
    <row r="37" spans="1:8" ht="18.75" thickBot="1">
      <c r="A37" s="104"/>
      <c r="B37" s="267">
        <f>B35-B36</f>
        <v>2793.5024000000003</v>
      </c>
      <c r="C37" s="270" t="s">
        <v>223</v>
      </c>
      <c r="D37" s="271"/>
      <c r="E37" s="272"/>
      <c r="F37" s="92">
        <f>VLOOKUP(A4,اعدادى!D10:BP100,37,0)</f>
        <v>1.7</v>
      </c>
      <c r="G37" s="279" t="s">
        <v>304</v>
      </c>
      <c r="H37" s="280"/>
    </row>
    <row r="38" spans="1:8" ht="18.75" thickBot="1">
      <c r="A38" s="145"/>
      <c r="B38" s="268"/>
      <c r="C38" s="273"/>
      <c r="D38" s="274"/>
      <c r="E38" s="275"/>
      <c r="F38" s="92">
        <f>VLOOKUP(A4,اعدادى!D10:BP100,55,0)</f>
        <v>0</v>
      </c>
      <c r="G38" s="279" t="s">
        <v>233</v>
      </c>
      <c r="H38" s="280"/>
    </row>
    <row r="39" spans="1:8" ht="18.75" thickBot="1">
      <c r="A39" s="145"/>
      <c r="B39" s="268"/>
      <c r="C39" s="273"/>
      <c r="D39" s="274"/>
      <c r="E39" s="275"/>
      <c r="F39" s="92">
        <f>VLOOKUP(A4,اعدادى!D10:BP100,50,0)</f>
        <v>0</v>
      </c>
      <c r="G39" s="279" t="s">
        <v>306</v>
      </c>
      <c r="H39" s="280"/>
    </row>
    <row r="40" spans="1:8" ht="19.5" thickBot="1">
      <c r="A40" s="145"/>
      <c r="B40" s="268"/>
      <c r="C40" s="273"/>
      <c r="D40" s="274"/>
      <c r="E40" s="275"/>
      <c r="F40" s="100">
        <v>0.01</v>
      </c>
      <c r="G40" s="279" t="s">
        <v>189</v>
      </c>
      <c r="H40" s="281"/>
    </row>
    <row r="41" spans="1:8" ht="19.5" thickBot="1">
      <c r="A41" s="145"/>
      <c r="B41" s="269"/>
      <c r="C41" s="276"/>
      <c r="D41" s="277"/>
      <c r="E41" s="278"/>
      <c r="F41" s="92">
        <f>SUM(F9:F40)</f>
        <v>1076.7675999999999</v>
      </c>
      <c r="G41" s="279" t="s">
        <v>313</v>
      </c>
      <c r="H41" s="281"/>
    </row>
    <row r="42" spans="1:8" s="101" customFormat="1" ht="25.5" customHeight="1" thickBot="1">
      <c r="A42" s="147"/>
      <c r="B42" s="146" t="s">
        <v>314</v>
      </c>
      <c r="C42" s="259" t="s">
        <v>321</v>
      </c>
      <c r="D42" s="260"/>
      <c r="E42" s="260"/>
      <c r="F42" s="260"/>
      <c r="G42" s="260"/>
      <c r="H42" s="261"/>
    </row>
    <row r="43" spans="1:8" s="101" customFormat="1" ht="26.25" customHeight="1">
      <c r="B43" s="147" t="s">
        <v>227</v>
      </c>
      <c r="D43" s="147" t="s">
        <v>228</v>
      </c>
      <c r="E43" s="147"/>
      <c r="F43" s="99"/>
      <c r="G43" s="262" t="s">
        <v>312</v>
      </c>
      <c r="H43" s="262"/>
    </row>
    <row r="44" spans="1:8" s="101" customFormat="1">
      <c r="A44" s="102"/>
      <c r="B44" s="102"/>
      <c r="C44" s="102"/>
      <c r="D44" s="102"/>
      <c r="E44" s="102"/>
      <c r="F44" s="102"/>
      <c r="G44" s="102"/>
      <c r="H44" s="102"/>
    </row>
  </sheetData>
  <mergeCells count="71">
    <mergeCell ref="F2:H2"/>
    <mergeCell ref="B3:H3"/>
    <mergeCell ref="C4:F4"/>
    <mergeCell ref="D5:H5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42:H42"/>
    <mergeCell ref="G43:H43"/>
    <mergeCell ref="C36:E36"/>
    <mergeCell ref="G36:H36"/>
    <mergeCell ref="B37:B41"/>
    <mergeCell ref="C37:E41"/>
    <mergeCell ref="G37:H37"/>
    <mergeCell ref="G38:H38"/>
    <mergeCell ref="G39:H39"/>
    <mergeCell ref="G40:H40"/>
    <mergeCell ref="G41:H41"/>
  </mergeCells>
  <printOptions horizontalCentered="1"/>
  <pageMargins left="0" right="0" top="0.25" bottom="0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rightToLeft="1" view="pageBreakPreview" topLeftCell="A8" zoomScale="60" zoomScaleNormal="75" workbookViewId="0">
      <selection activeCell="J30" sqref="J30"/>
    </sheetView>
  </sheetViews>
  <sheetFormatPr defaultRowHeight="15"/>
  <cols>
    <col min="1" max="1" width="7.140625" customWidth="1"/>
    <col min="2" max="2" width="18.7109375" customWidth="1"/>
    <col min="3" max="5" width="8.7109375" customWidth="1"/>
    <col min="6" max="6" width="18.7109375" customWidth="1"/>
    <col min="7" max="8" width="13.7109375" customWidth="1"/>
    <col min="11" max="11" width="9.140625" customWidth="1"/>
    <col min="12" max="12" width="13.7109375" customWidth="1"/>
  </cols>
  <sheetData>
    <row r="1" spans="1:12" ht="18">
      <c r="B1" s="97" t="s">
        <v>308</v>
      </c>
      <c r="C1" s="107"/>
      <c r="D1" s="107"/>
      <c r="E1" s="107"/>
      <c r="F1" s="97" t="s">
        <v>315</v>
      </c>
      <c r="G1" s="40"/>
      <c r="H1" s="40"/>
    </row>
    <row r="2" spans="1:12" ht="18">
      <c r="B2" s="97" t="s">
        <v>316</v>
      </c>
      <c r="C2" s="108"/>
      <c r="D2" s="108"/>
      <c r="E2" s="96"/>
      <c r="F2" s="297" t="s">
        <v>323</v>
      </c>
      <c r="G2" s="297"/>
      <c r="H2" s="297"/>
    </row>
    <row r="3" spans="1:12" ht="22.5" customHeight="1">
      <c r="A3" s="90"/>
      <c r="B3" s="298" t="s">
        <v>322</v>
      </c>
      <c r="C3" s="298"/>
      <c r="D3" s="298"/>
      <c r="E3" s="298"/>
      <c r="F3" s="298"/>
      <c r="G3" s="298"/>
      <c r="H3" s="298"/>
    </row>
    <row r="4" spans="1:12" ht="18">
      <c r="A4" s="98">
        <v>74</v>
      </c>
      <c r="B4" s="90" t="s">
        <v>317</v>
      </c>
      <c r="C4" s="299" t="str">
        <f>VLOOKUP(A4,اعدادى!D10:BP100,60,0)</f>
        <v>عبدالحميد عبدالمنعم عبدالحليم</v>
      </c>
      <c r="D4" s="299" t="e">
        <f>VLOOKUP(#REF!,[1]yyy!#REF!,23,0)</f>
        <v>#REF!</v>
      </c>
      <c r="E4" s="300"/>
      <c r="F4" s="300"/>
      <c r="G4" s="103" t="s">
        <v>318</v>
      </c>
      <c r="H4" s="99">
        <f>VLOOKUP(A4,اعدادى!D10:BP100,65,0)</f>
        <v>0</v>
      </c>
    </row>
    <row r="5" spans="1:12" ht="17.25" customHeight="1">
      <c r="A5" s="90"/>
      <c r="B5" s="90" t="s">
        <v>324</v>
      </c>
      <c r="C5" s="99"/>
      <c r="D5" s="301" t="s">
        <v>196</v>
      </c>
      <c r="E5" s="301"/>
      <c r="F5" s="301"/>
      <c r="G5" s="301"/>
      <c r="H5" s="301"/>
    </row>
    <row r="6" spans="1:12" ht="18">
      <c r="A6" s="90"/>
      <c r="B6" s="95" t="s">
        <v>197</v>
      </c>
      <c r="C6" s="90" t="str">
        <f>VLOOKUP(A4,اعدادى!D10:BP100,61,0)</f>
        <v>ثالثه</v>
      </c>
      <c r="D6" s="95"/>
      <c r="E6" s="95"/>
      <c r="F6" s="41" t="s">
        <v>319</v>
      </c>
      <c r="G6" s="41" t="s">
        <v>320</v>
      </c>
      <c r="H6" s="41"/>
      <c r="I6" s="101"/>
    </row>
    <row r="7" spans="1:12" ht="9.9499999999999993" customHeight="1" thickBot="1">
      <c r="A7" s="95"/>
      <c r="B7" s="95"/>
      <c r="C7" s="95"/>
      <c r="D7" s="95"/>
      <c r="E7" s="95"/>
      <c r="F7" s="95"/>
      <c r="G7" s="41"/>
      <c r="H7" s="41"/>
      <c r="I7" s="101"/>
    </row>
    <row r="8" spans="1:12" ht="18.75" thickBot="1">
      <c r="A8" s="104"/>
      <c r="B8" s="94" t="s">
        <v>143</v>
      </c>
      <c r="C8" s="283" t="s">
        <v>310</v>
      </c>
      <c r="D8" s="283"/>
      <c r="E8" s="283"/>
      <c r="F8" s="94" t="s">
        <v>309</v>
      </c>
      <c r="G8" s="283" t="s">
        <v>310</v>
      </c>
      <c r="H8" s="283"/>
      <c r="I8" s="101"/>
    </row>
    <row r="9" spans="1:12" ht="18.75" thickBot="1">
      <c r="A9" s="105"/>
      <c r="B9" s="89">
        <f>VLOOKUP(A4,اعدادى!D10:BV100,67,0)</f>
        <v>678.27</v>
      </c>
      <c r="C9" s="283" t="s">
        <v>356</v>
      </c>
      <c r="D9" s="283"/>
      <c r="E9" s="283"/>
      <c r="F9" s="92">
        <f>B21</f>
        <v>408.73</v>
      </c>
      <c r="G9" s="294" t="s">
        <v>311</v>
      </c>
      <c r="H9" s="294"/>
    </row>
    <row r="10" spans="1:12" ht="18.75" thickBot="1">
      <c r="A10" s="104"/>
      <c r="B10" s="89">
        <f>VLOOKUP(A4,اعدادى!D10:BV100,23,0)</f>
        <v>2474.16</v>
      </c>
      <c r="C10" s="283" t="s">
        <v>163</v>
      </c>
      <c r="D10" s="283"/>
      <c r="E10" s="283"/>
      <c r="F10" s="92">
        <f>B22</f>
        <v>102.18</v>
      </c>
      <c r="G10" s="265" t="s">
        <v>364</v>
      </c>
      <c r="H10" s="266"/>
    </row>
    <row r="11" spans="1:12" ht="18.75" thickBot="1">
      <c r="A11" s="104"/>
      <c r="B11" s="91">
        <f>VLOOKUP(A4,اعدادى!D10:BV100,24,0)</f>
        <v>247.48</v>
      </c>
      <c r="C11" s="283" t="s">
        <v>164</v>
      </c>
      <c r="D11" s="283"/>
      <c r="E11" s="283"/>
      <c r="F11" s="92">
        <f>B24</f>
        <v>42.58</v>
      </c>
      <c r="G11" s="294" t="s">
        <v>367</v>
      </c>
      <c r="H11" s="294"/>
    </row>
    <row r="12" spans="1:12" ht="18.75" thickBot="1">
      <c r="A12" s="104"/>
      <c r="B12" s="91">
        <f>VLOOKUP(A4,اعدادى!D10:BV100,25,0)</f>
        <v>54.44</v>
      </c>
      <c r="C12" s="283" t="s">
        <v>357</v>
      </c>
      <c r="D12" s="283"/>
      <c r="E12" s="283"/>
      <c r="F12" s="92">
        <f>ROUND(B19*9%,2)</f>
        <v>306.55</v>
      </c>
      <c r="G12" s="294" t="s">
        <v>368</v>
      </c>
      <c r="H12" s="294"/>
    </row>
    <row r="13" spans="1:12" ht="18.75" thickBot="1">
      <c r="A13" s="104"/>
      <c r="B13" s="91">
        <f>VLOOKUP(A4,اعدادى!D10:BV100,15,0)</f>
        <v>0</v>
      </c>
      <c r="C13" s="283" t="s">
        <v>358</v>
      </c>
      <c r="D13" s="283"/>
      <c r="E13" s="283"/>
      <c r="F13" s="92">
        <f>B23</f>
        <v>34.06</v>
      </c>
      <c r="G13" s="295" t="s">
        <v>369</v>
      </c>
      <c r="H13" s="296"/>
    </row>
    <row r="14" spans="1:12" ht="18.75" thickBot="1">
      <c r="A14" s="104"/>
      <c r="B14" s="91">
        <f>VLOOKUP(A4,اعدادى!D10:BV100,12,0)</f>
        <v>150</v>
      </c>
      <c r="C14" s="283" t="s">
        <v>359</v>
      </c>
      <c r="D14" s="283"/>
      <c r="E14" s="283"/>
      <c r="F14" s="92">
        <f>F13</f>
        <v>34.06</v>
      </c>
      <c r="G14" s="295" t="s">
        <v>369</v>
      </c>
      <c r="H14" s="296"/>
    </row>
    <row r="15" spans="1:12" ht="18.75" thickBot="1">
      <c r="A15" s="104"/>
      <c r="B15" s="91">
        <f>VLOOKUP(A4,اعدادى!D10:BV100,13,0)</f>
        <v>200</v>
      </c>
      <c r="C15" s="283" t="s">
        <v>360</v>
      </c>
      <c r="D15" s="283"/>
      <c r="E15" s="283"/>
      <c r="F15" s="92">
        <f>F13</f>
        <v>34.06</v>
      </c>
      <c r="G15" s="265" t="s">
        <v>370</v>
      </c>
      <c r="H15" s="266"/>
    </row>
    <row r="16" spans="1:12" ht="18.75" thickBot="1">
      <c r="A16" s="104"/>
      <c r="B16" s="91">
        <f>VLOOKUP(A4,اعدادى!D10:BV100,14,0)</f>
        <v>225</v>
      </c>
      <c r="C16" s="282" t="s">
        <v>361</v>
      </c>
      <c r="D16" s="283"/>
      <c r="E16" s="283"/>
      <c r="F16" s="92">
        <f>VLOOKUP(A4,اعدادى!D10:BP100,33,0)</f>
        <v>3.55</v>
      </c>
      <c r="G16" s="286" t="s">
        <v>210</v>
      </c>
      <c r="H16" s="286"/>
      <c r="L16" s="1"/>
    </row>
    <row r="17" spans="1:8" ht="18.75" thickBot="1">
      <c r="A17" s="104"/>
      <c r="B17" s="91">
        <f>VLOOKUP(A4,اعدادى!D10:BV100,19,0)</f>
        <v>55</v>
      </c>
      <c r="C17" s="293" t="s">
        <v>362</v>
      </c>
      <c r="D17" s="283"/>
      <c r="E17" s="283"/>
      <c r="F17" s="92">
        <f>VLOOKUP(A4,اعدادى!D10:BP100,38,0)</f>
        <v>0</v>
      </c>
      <c r="G17" s="286" t="s">
        <v>371</v>
      </c>
      <c r="H17" s="286"/>
    </row>
    <row r="18" spans="1:8" ht="18.75" thickBot="1">
      <c r="A18" s="104"/>
      <c r="B18" s="91"/>
      <c r="C18" s="283" t="s">
        <v>154</v>
      </c>
      <c r="D18" s="283"/>
      <c r="E18" s="283"/>
      <c r="F18" s="92"/>
      <c r="G18" s="286" t="s">
        <v>211</v>
      </c>
      <c r="H18" s="286"/>
    </row>
    <row r="19" spans="1:8" ht="18.75" thickBot="1">
      <c r="A19" s="104"/>
      <c r="B19" s="146">
        <f>ROUND(SUM(B10:B18),2)</f>
        <v>3406.08</v>
      </c>
      <c r="C19" s="259" t="s">
        <v>375</v>
      </c>
      <c r="D19" s="263"/>
      <c r="E19" s="264"/>
      <c r="F19" s="92"/>
      <c r="G19" s="279"/>
      <c r="H19" s="261"/>
    </row>
    <row r="20" spans="1:8" ht="18.75" thickBot="1">
      <c r="A20" s="104"/>
      <c r="B20" s="91"/>
      <c r="C20" s="282" t="s">
        <v>363</v>
      </c>
      <c r="D20" s="283"/>
      <c r="E20" s="283"/>
      <c r="F20" s="92"/>
      <c r="G20" s="286" t="s">
        <v>372</v>
      </c>
      <c r="H20" s="286"/>
    </row>
    <row r="21" spans="1:8" ht="18.75" thickBot="1">
      <c r="A21" s="104"/>
      <c r="B21" s="91">
        <f>ROUND(B19*12%,2)</f>
        <v>408.73</v>
      </c>
      <c r="C21" s="282" t="s">
        <v>311</v>
      </c>
      <c r="D21" s="283"/>
      <c r="E21" s="283"/>
      <c r="F21" s="92">
        <f>VLOOKUP(A4,اعدادى!D10:BP100,34,0)</f>
        <v>34.0608</v>
      </c>
      <c r="G21" s="286" t="s">
        <v>213</v>
      </c>
      <c r="H21" s="286"/>
    </row>
    <row r="22" spans="1:8" ht="18.75" thickBot="1">
      <c r="A22" s="104"/>
      <c r="B22" s="146">
        <f>ROUND(B19*3%,2)</f>
        <v>102.18</v>
      </c>
      <c r="C22" s="282" t="s">
        <v>364</v>
      </c>
      <c r="D22" s="283"/>
      <c r="E22" s="283"/>
      <c r="F22" s="92">
        <f>VLOOKUP(A4,اعدادى!D10:BP100,40,0)</f>
        <v>24.75</v>
      </c>
      <c r="G22" s="286" t="s">
        <v>176</v>
      </c>
      <c r="H22" s="286"/>
    </row>
    <row r="23" spans="1:8" ht="18.75" thickBot="1">
      <c r="A23" s="104"/>
      <c r="B23" s="146">
        <f>ROUND(B19*1%,2)</f>
        <v>34.06</v>
      </c>
      <c r="C23" s="282" t="s">
        <v>365</v>
      </c>
      <c r="D23" s="283"/>
      <c r="E23" s="283"/>
      <c r="F23" s="92"/>
      <c r="G23" s="286" t="s">
        <v>214</v>
      </c>
      <c r="H23" s="286"/>
    </row>
    <row r="24" spans="1:8" ht="18.75" thickBot="1">
      <c r="A24" s="104"/>
      <c r="B24" s="146">
        <f>ROUND(B19*1.25%,2)</f>
        <v>42.58</v>
      </c>
      <c r="C24" s="282" t="s">
        <v>366</v>
      </c>
      <c r="D24" s="283"/>
      <c r="E24" s="283"/>
      <c r="F24" s="92" t="str">
        <f>VLOOKUP(A4,اعدادى!D10:BP100,43,0)</f>
        <v/>
      </c>
      <c r="G24" s="286" t="s">
        <v>180</v>
      </c>
      <c r="H24" s="286"/>
    </row>
    <row r="25" spans="1:8" ht="19.5" thickBot="1">
      <c r="A25" s="104"/>
      <c r="B25" s="91"/>
      <c r="C25" s="284"/>
      <c r="D25" s="287"/>
      <c r="E25" s="287"/>
      <c r="F25" s="92" t="str">
        <f>VLOOKUP(A4,اعدادى!D10:BP100,44,0)</f>
        <v/>
      </c>
      <c r="G25" s="279" t="s">
        <v>181</v>
      </c>
      <c r="H25" s="280"/>
    </row>
    <row r="26" spans="1:8" ht="19.5" thickBot="1">
      <c r="A26" s="104"/>
      <c r="B26" s="91"/>
      <c r="C26" s="284"/>
      <c r="D26" s="287"/>
      <c r="E26" s="287"/>
      <c r="F26" s="100">
        <f>VLOOKUP(A4,اعدادى!D10:BP100,54,0)</f>
        <v>0</v>
      </c>
      <c r="G26" s="279" t="s">
        <v>295</v>
      </c>
      <c r="H26" s="281"/>
    </row>
    <row r="27" spans="1:8" ht="19.5" thickBot="1">
      <c r="A27" s="104"/>
      <c r="B27" s="91"/>
      <c r="C27" s="284"/>
      <c r="D27" s="287"/>
      <c r="E27" s="287"/>
      <c r="F27" s="100">
        <f>VLOOKUP(A4,اعدادى!D10:BQ100,56,0)</f>
        <v>0</v>
      </c>
      <c r="G27" s="279" t="s">
        <v>208</v>
      </c>
      <c r="H27" s="281"/>
    </row>
    <row r="28" spans="1:8" ht="19.5" thickBot="1">
      <c r="A28" s="104"/>
      <c r="B28" s="91"/>
      <c r="C28" s="291"/>
      <c r="D28" s="292"/>
      <c r="E28" s="292"/>
      <c r="F28" s="100" t="str">
        <f>VLOOKUP(A4,اعدادى!D10:BP100,45,0)</f>
        <v/>
      </c>
      <c r="G28" s="286" t="s">
        <v>217</v>
      </c>
      <c r="H28" s="286"/>
    </row>
    <row r="29" spans="1:8" ht="19.5" thickBot="1">
      <c r="A29" s="104"/>
      <c r="B29" s="91"/>
      <c r="C29" s="284"/>
      <c r="D29" s="287"/>
      <c r="E29" s="287"/>
      <c r="F29" s="100" t="str">
        <f>VLOOKUP(A4,اعدادى!D10:BP100,46,0)</f>
        <v/>
      </c>
      <c r="G29" s="286" t="s">
        <v>183</v>
      </c>
      <c r="H29" s="286"/>
    </row>
    <row r="30" spans="1:8" ht="18.75" thickBot="1">
      <c r="A30" s="104"/>
      <c r="B30" s="91"/>
      <c r="C30" s="282"/>
      <c r="D30" s="283"/>
      <c r="E30" s="283"/>
      <c r="F30" s="100" t="str">
        <f>VLOOKUP(A4,اعدادى!D10:BP100,47,0)</f>
        <v/>
      </c>
      <c r="G30" s="286" t="s">
        <v>184</v>
      </c>
      <c r="H30" s="286"/>
    </row>
    <row r="31" spans="1:8" ht="19.5" thickBot="1">
      <c r="A31" s="104"/>
      <c r="B31" s="91"/>
      <c r="C31" s="284"/>
      <c r="D31" s="287"/>
      <c r="E31" s="287"/>
      <c r="F31" s="92" t="str">
        <f>VLOOKUP(A4,اعدادى!D10:BP100,48,0)</f>
        <v/>
      </c>
      <c r="G31" s="286" t="s">
        <v>219</v>
      </c>
      <c r="H31" s="286"/>
    </row>
    <row r="32" spans="1:8" ht="19.5" thickBot="1">
      <c r="A32" s="104"/>
      <c r="B32" s="92"/>
      <c r="C32" s="288"/>
      <c r="D32" s="289"/>
      <c r="E32" s="290"/>
      <c r="F32" s="92">
        <f>VLOOKUP(A4,اعدادى!D10:BP100,52,0)</f>
        <v>0</v>
      </c>
      <c r="G32" s="286" t="s">
        <v>220</v>
      </c>
      <c r="H32" s="286"/>
    </row>
    <row r="33" spans="1:8" ht="18.75" thickBot="1">
      <c r="A33" s="104"/>
      <c r="B33" s="91"/>
      <c r="C33" s="282"/>
      <c r="D33" s="283"/>
      <c r="E33" s="283"/>
      <c r="F33" s="92">
        <f>VLOOKUP(A4,اعدادى!D10:BP100,52,0)</f>
        <v>0</v>
      </c>
      <c r="G33" s="286" t="s">
        <v>221</v>
      </c>
      <c r="H33" s="286"/>
    </row>
    <row r="34" spans="1:8" ht="18.75" thickBot="1">
      <c r="A34" s="104"/>
      <c r="B34" s="91"/>
      <c r="C34" s="282"/>
      <c r="D34" s="283"/>
      <c r="E34" s="283"/>
      <c r="F34" s="92">
        <f>VLOOKUP(A4,اعدادى!D10:BP100,53,0)</f>
        <v>0</v>
      </c>
      <c r="G34" s="265" t="s">
        <v>188</v>
      </c>
      <c r="H34" s="266"/>
    </row>
    <row r="35" spans="1:8" ht="18.75" thickBot="1">
      <c r="A35" s="104"/>
      <c r="B35" s="91"/>
      <c r="C35" s="284"/>
      <c r="D35" s="285"/>
      <c r="E35" s="264"/>
      <c r="F35" s="92">
        <f>VLOOKUP(A4,اعدادى!D10:BP100,49,0)</f>
        <v>0</v>
      </c>
      <c r="G35" s="286" t="s">
        <v>224</v>
      </c>
      <c r="H35" s="286"/>
    </row>
    <row r="36" spans="1:8" ht="18.75" thickBot="1">
      <c r="A36" s="104"/>
      <c r="B36" s="91">
        <f>ROUND(SUM(B19:B35),2)</f>
        <v>3993.63</v>
      </c>
      <c r="C36" s="259" t="s">
        <v>374</v>
      </c>
      <c r="D36" s="285"/>
      <c r="E36" s="264"/>
      <c r="F36" s="92">
        <f>VLOOKUP(A4,اعدادى!D10:BP100,42,0)</f>
        <v>1.5</v>
      </c>
      <c r="G36" s="286" t="s">
        <v>225</v>
      </c>
      <c r="H36" s="286"/>
    </row>
    <row r="37" spans="1:8" ht="18.75" thickBot="1">
      <c r="A37" s="104"/>
      <c r="B37" s="92">
        <f>F42</f>
        <v>1031.0907999999997</v>
      </c>
      <c r="C37" s="259" t="s">
        <v>222</v>
      </c>
      <c r="D37" s="263"/>
      <c r="E37" s="264"/>
      <c r="F37" s="92">
        <f>VLOOKUP(A4,اعدادى!D10:BP100,36,0)</f>
        <v>5</v>
      </c>
      <c r="G37" s="265" t="s">
        <v>226</v>
      </c>
      <c r="H37" s="266"/>
    </row>
    <row r="38" spans="1:8" ht="18.75" thickBot="1">
      <c r="A38" s="104"/>
      <c r="B38" s="267">
        <f>B36-B37</f>
        <v>2962.5392000000002</v>
      </c>
      <c r="C38" s="270" t="s">
        <v>223</v>
      </c>
      <c r="D38" s="271"/>
      <c r="E38" s="272"/>
      <c r="F38" s="92" t="str">
        <f>VLOOKUP(A4,اعدادى!D10:BP100,37,0)</f>
        <v/>
      </c>
      <c r="G38" s="279" t="s">
        <v>304</v>
      </c>
      <c r="H38" s="280"/>
    </row>
    <row r="39" spans="1:8" ht="18.75" thickBot="1">
      <c r="A39" s="106"/>
      <c r="B39" s="268"/>
      <c r="C39" s="273"/>
      <c r="D39" s="274"/>
      <c r="E39" s="275"/>
      <c r="F39" s="92">
        <f>VLOOKUP(A4,اعدادى!D10:BP100,55,0)</f>
        <v>0</v>
      </c>
      <c r="G39" s="279" t="s">
        <v>233</v>
      </c>
      <c r="H39" s="280"/>
    </row>
    <row r="40" spans="1:8" ht="18.75" thickBot="1">
      <c r="A40" s="106"/>
      <c r="B40" s="268"/>
      <c r="C40" s="273"/>
      <c r="D40" s="274"/>
      <c r="E40" s="275"/>
      <c r="F40" s="92">
        <f>VLOOKUP(A4,اعدادى!D10:BP100,50,0)</f>
        <v>0</v>
      </c>
      <c r="G40" s="279" t="s">
        <v>306</v>
      </c>
      <c r="H40" s="280"/>
    </row>
    <row r="41" spans="1:8" ht="19.5" thickBot="1">
      <c r="A41" s="106"/>
      <c r="B41" s="268"/>
      <c r="C41" s="273"/>
      <c r="D41" s="274"/>
      <c r="E41" s="275"/>
      <c r="F41" s="100">
        <v>0.01</v>
      </c>
      <c r="G41" s="279" t="s">
        <v>189</v>
      </c>
      <c r="H41" s="281"/>
    </row>
    <row r="42" spans="1:8" ht="19.5" thickBot="1">
      <c r="A42" s="106"/>
      <c r="B42" s="269"/>
      <c r="C42" s="276"/>
      <c r="D42" s="277"/>
      <c r="E42" s="278"/>
      <c r="F42" s="92">
        <f>SUM(F9:F41)</f>
        <v>1031.0907999999997</v>
      </c>
      <c r="G42" s="279" t="s">
        <v>313</v>
      </c>
      <c r="H42" s="281"/>
    </row>
    <row r="43" spans="1:8" s="101" customFormat="1" ht="25.5" customHeight="1" thickBot="1">
      <c r="A43" s="95"/>
      <c r="B43" s="93" t="s">
        <v>314</v>
      </c>
      <c r="C43" s="259" t="s">
        <v>321</v>
      </c>
      <c r="D43" s="260"/>
      <c r="E43" s="260"/>
      <c r="F43" s="260"/>
      <c r="G43" s="260"/>
      <c r="H43" s="261"/>
    </row>
    <row r="44" spans="1:8" s="101" customFormat="1" ht="26.25" customHeight="1">
      <c r="B44" s="90" t="s">
        <v>227</v>
      </c>
      <c r="D44" s="95" t="s">
        <v>228</v>
      </c>
      <c r="E44" s="90"/>
      <c r="F44" s="99"/>
      <c r="G44" s="262" t="s">
        <v>312</v>
      </c>
      <c r="H44" s="262"/>
    </row>
    <row r="45" spans="1:8" s="101" customFormat="1">
      <c r="A45" s="102"/>
      <c r="B45" s="102"/>
      <c r="C45" s="102"/>
      <c r="D45" s="102"/>
      <c r="E45" s="102"/>
      <c r="F45" s="102"/>
      <c r="G45" s="102"/>
      <c r="H45" s="102"/>
    </row>
  </sheetData>
  <mergeCells count="73">
    <mergeCell ref="C43:H43"/>
    <mergeCell ref="G44:H44"/>
    <mergeCell ref="C38:E42"/>
    <mergeCell ref="B38:B42"/>
    <mergeCell ref="G39:H39"/>
    <mergeCell ref="G42:H42"/>
    <mergeCell ref="G41:H41"/>
    <mergeCell ref="G40:H40"/>
    <mergeCell ref="G38:H38"/>
    <mergeCell ref="C18:E18"/>
    <mergeCell ref="G18:H18"/>
    <mergeCell ref="C20:E20"/>
    <mergeCell ref="G20:H20"/>
    <mergeCell ref="C21:E21"/>
    <mergeCell ref="G21:H21"/>
    <mergeCell ref="C15:E15"/>
    <mergeCell ref="G15:H15"/>
    <mergeCell ref="C16:E16"/>
    <mergeCell ref="G16:H16"/>
    <mergeCell ref="C17:E17"/>
    <mergeCell ref="G17:H17"/>
    <mergeCell ref="C12:E12"/>
    <mergeCell ref="G12:H12"/>
    <mergeCell ref="C13:E13"/>
    <mergeCell ref="G13:H13"/>
    <mergeCell ref="C14:E14"/>
    <mergeCell ref="G14:H14"/>
    <mergeCell ref="G37:H37"/>
    <mergeCell ref="C35:E35"/>
    <mergeCell ref="C36:E36"/>
    <mergeCell ref="C37:E37"/>
    <mergeCell ref="F2:H2"/>
    <mergeCell ref="B3:H3"/>
    <mergeCell ref="D5:H5"/>
    <mergeCell ref="C4:F4"/>
    <mergeCell ref="C8:E8"/>
    <mergeCell ref="G8:H8"/>
    <mergeCell ref="C9:E9"/>
    <mergeCell ref="G9:H9"/>
    <mergeCell ref="C10:E10"/>
    <mergeCell ref="G10:H10"/>
    <mergeCell ref="C11:E11"/>
    <mergeCell ref="G11:H11"/>
    <mergeCell ref="C29:E29"/>
    <mergeCell ref="C34:E34"/>
    <mergeCell ref="G34:H34"/>
    <mergeCell ref="G35:H35"/>
    <mergeCell ref="G36:H36"/>
    <mergeCell ref="C33:E33"/>
    <mergeCell ref="G33:H33"/>
    <mergeCell ref="C30:E30"/>
    <mergeCell ref="G30:H30"/>
    <mergeCell ref="G31:H31"/>
    <mergeCell ref="G32:H32"/>
    <mergeCell ref="G29:H29"/>
    <mergeCell ref="C31:E31"/>
    <mergeCell ref="C32:E32"/>
    <mergeCell ref="C19:E19"/>
    <mergeCell ref="G19:H19"/>
    <mergeCell ref="C27:E27"/>
    <mergeCell ref="C28:E28"/>
    <mergeCell ref="C26:E26"/>
    <mergeCell ref="C22:E22"/>
    <mergeCell ref="G22:H22"/>
    <mergeCell ref="C23:E23"/>
    <mergeCell ref="G23:H23"/>
    <mergeCell ref="C24:E24"/>
    <mergeCell ref="G24:H24"/>
    <mergeCell ref="G25:H25"/>
    <mergeCell ref="G26:H26"/>
    <mergeCell ref="G27:H27"/>
    <mergeCell ref="G28:H28"/>
    <mergeCell ref="C25:E25"/>
  </mergeCells>
  <printOptions horizontalCentered="1"/>
  <pageMargins left="0" right="0" top="0.25" bottom="0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"/>
  <sheetViews>
    <sheetView rightToLeft="1" view="pageBreakPreview" zoomScale="60" zoomScaleNormal="100" workbookViewId="0">
      <selection activeCell="F4" sqref="F4"/>
    </sheetView>
  </sheetViews>
  <sheetFormatPr defaultRowHeight="15"/>
  <cols>
    <col min="1" max="1" width="5.7109375" customWidth="1"/>
    <col min="2" max="2" width="24.7109375" customWidth="1"/>
    <col min="3" max="3" width="13.7109375" customWidth="1"/>
    <col min="4" max="4" width="8.7109375" customWidth="1"/>
    <col min="5" max="5" width="5.7109375" customWidth="1"/>
    <col min="6" max="6" width="24.7109375" customWidth="1"/>
    <col min="7" max="7" width="13.7109375" customWidth="1"/>
    <col min="8" max="8" width="4.140625" customWidth="1"/>
    <col min="9" max="9" width="5.7109375" customWidth="1"/>
    <col min="10" max="10" width="24.7109375" customWidth="1"/>
    <col min="11" max="11" width="13.7109375" customWidth="1"/>
    <col min="12" max="12" width="8.7109375" customWidth="1"/>
    <col min="13" max="13" width="5.7109375" customWidth="1"/>
    <col min="14" max="14" width="24.7109375" customWidth="1"/>
    <col min="15" max="15" width="13.7109375" customWidth="1"/>
    <col min="16" max="16" width="5.28515625" customWidth="1"/>
    <col min="17" max="17" width="5.7109375" customWidth="1"/>
    <col min="18" max="18" width="24.7109375" customWidth="1"/>
    <col min="19" max="19" width="13.7109375" customWidth="1"/>
    <col min="20" max="20" width="8.7109375" customWidth="1"/>
    <col min="21" max="21" width="5.7109375" customWidth="1"/>
    <col min="22" max="22" width="24.7109375" customWidth="1"/>
    <col min="23" max="23" width="13.7109375" customWidth="1"/>
    <col min="24" max="24" width="4.5703125" customWidth="1"/>
    <col min="25" max="25" width="5.7109375" customWidth="1"/>
    <col min="26" max="26" width="24.7109375" customWidth="1"/>
    <col min="27" max="27" width="13.7109375" customWidth="1"/>
    <col min="28" max="28" width="8.7109375" customWidth="1"/>
    <col min="29" max="29" width="5.7109375" customWidth="1"/>
    <col min="30" max="30" width="24.7109375" customWidth="1"/>
    <col min="31" max="31" width="13.7109375" customWidth="1"/>
  </cols>
  <sheetData>
    <row r="1" spans="1:31" ht="18.75">
      <c r="A1" s="16" t="s">
        <v>263</v>
      </c>
      <c r="B1" s="16"/>
      <c r="C1" s="16"/>
      <c r="D1" s="16"/>
      <c r="E1" s="16"/>
      <c r="F1" s="16"/>
      <c r="G1" s="16"/>
      <c r="H1" s="16"/>
      <c r="I1" s="16" t="s">
        <v>263</v>
      </c>
      <c r="J1" s="16"/>
      <c r="K1" s="16"/>
      <c r="L1" s="16"/>
      <c r="M1" s="16"/>
      <c r="N1" s="16"/>
      <c r="O1" s="16"/>
      <c r="P1" s="16"/>
      <c r="Q1" s="16" t="s">
        <v>263</v>
      </c>
      <c r="R1" s="16"/>
      <c r="S1" s="16"/>
      <c r="T1" s="16"/>
      <c r="U1" s="16"/>
      <c r="V1" s="16"/>
      <c r="W1" s="16"/>
      <c r="X1" s="16"/>
      <c r="Y1" s="16" t="s">
        <v>263</v>
      </c>
      <c r="Z1" s="16"/>
      <c r="AA1" s="16"/>
      <c r="AB1" s="16"/>
      <c r="AC1" s="16"/>
      <c r="AD1" s="16"/>
      <c r="AE1" s="16"/>
    </row>
    <row r="2" spans="1:31" ht="18.75">
      <c r="A2" s="16" t="s">
        <v>139</v>
      </c>
      <c r="B2" s="16"/>
      <c r="C2" s="16"/>
      <c r="D2" s="16"/>
      <c r="E2" s="16"/>
      <c r="F2" s="16"/>
      <c r="G2" s="16"/>
      <c r="H2" s="16"/>
      <c r="I2" s="16" t="s">
        <v>139</v>
      </c>
      <c r="J2" s="16"/>
      <c r="K2" s="16"/>
      <c r="L2" s="16"/>
      <c r="M2" s="16"/>
      <c r="N2" s="16"/>
      <c r="O2" s="16"/>
      <c r="P2" s="16"/>
      <c r="Q2" s="16" t="s">
        <v>139</v>
      </c>
      <c r="R2" s="16"/>
      <c r="S2" s="16"/>
      <c r="T2" s="16"/>
      <c r="U2" s="16"/>
      <c r="V2" s="16"/>
      <c r="W2" s="16"/>
      <c r="X2" s="16"/>
      <c r="Y2" s="16" t="s">
        <v>139</v>
      </c>
      <c r="Z2" s="16"/>
      <c r="AA2" s="16"/>
      <c r="AB2" s="16"/>
      <c r="AC2" s="16"/>
      <c r="AD2" s="16"/>
      <c r="AE2" s="16"/>
    </row>
    <row r="3" spans="1:31" ht="18.7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ht="18.7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</row>
    <row r="5" spans="1:31" ht="18.75">
      <c r="A5" s="302" t="s">
        <v>266</v>
      </c>
      <c r="B5" s="303"/>
      <c r="C5" s="303"/>
      <c r="D5" s="303"/>
      <c r="E5" s="303"/>
      <c r="F5" s="303"/>
      <c r="G5" s="303"/>
      <c r="H5" s="302" t="s">
        <v>267</v>
      </c>
      <c r="I5" s="303"/>
      <c r="J5" s="303"/>
      <c r="K5" s="303"/>
      <c r="L5" s="303"/>
      <c r="M5" s="303"/>
      <c r="N5" s="303"/>
      <c r="O5" s="303"/>
      <c r="P5" s="302" t="s">
        <v>268</v>
      </c>
      <c r="Q5" s="303"/>
      <c r="R5" s="303"/>
      <c r="S5" s="303"/>
      <c r="T5" s="303"/>
      <c r="U5" s="303"/>
      <c r="V5" s="303"/>
      <c r="W5" s="303"/>
      <c r="X5" s="302" t="s">
        <v>268</v>
      </c>
      <c r="Y5" s="303"/>
      <c r="Z5" s="303"/>
      <c r="AA5" s="303"/>
      <c r="AB5" s="303"/>
      <c r="AC5" s="303"/>
      <c r="AD5" s="303"/>
      <c r="AE5" s="303"/>
    </row>
    <row r="6" spans="1:31" ht="18.75">
      <c r="A6" s="16"/>
      <c r="B6" s="16"/>
      <c r="C6" s="16"/>
      <c r="D6" s="38"/>
      <c r="E6" s="16"/>
      <c r="F6" s="16"/>
      <c r="G6" s="16"/>
      <c r="H6" s="16"/>
      <c r="I6" s="16"/>
      <c r="J6" s="16"/>
      <c r="K6" s="16"/>
      <c r="L6" s="38"/>
      <c r="M6" s="16"/>
      <c r="N6" s="16"/>
      <c r="O6" s="16"/>
      <c r="P6" s="16"/>
      <c r="Q6" s="16"/>
      <c r="R6" s="16"/>
      <c r="S6" s="16"/>
      <c r="T6" s="38"/>
      <c r="U6" s="16"/>
      <c r="V6" s="16"/>
      <c r="W6" s="16"/>
      <c r="X6" s="16"/>
      <c r="Y6" s="16"/>
      <c r="Z6" s="16"/>
      <c r="AA6" s="16"/>
      <c r="AB6" s="38"/>
      <c r="AC6" s="16"/>
      <c r="AD6" s="16"/>
      <c r="AE6" s="16"/>
    </row>
    <row r="7" spans="1:31" s="74" customFormat="1" ht="21.95" customHeight="1">
      <c r="A7" s="77" t="s">
        <v>264</v>
      </c>
      <c r="B7" s="77" t="s">
        <v>40</v>
      </c>
      <c r="C7" s="77" t="s">
        <v>265</v>
      </c>
      <c r="D7" s="84"/>
      <c r="E7" s="77" t="s">
        <v>264</v>
      </c>
      <c r="F7" s="77" t="s">
        <v>40</v>
      </c>
      <c r="G7" s="77" t="s">
        <v>265</v>
      </c>
      <c r="H7" s="85"/>
      <c r="I7" s="77" t="s">
        <v>264</v>
      </c>
      <c r="J7" s="77" t="s">
        <v>40</v>
      </c>
      <c r="K7" s="77" t="s">
        <v>265</v>
      </c>
      <c r="L7" s="84"/>
      <c r="M7" s="77" t="s">
        <v>264</v>
      </c>
      <c r="N7" s="77" t="s">
        <v>40</v>
      </c>
      <c r="O7" s="77" t="s">
        <v>265</v>
      </c>
      <c r="P7" s="85"/>
      <c r="Q7" s="77" t="s">
        <v>264</v>
      </c>
      <c r="R7" s="77" t="s">
        <v>40</v>
      </c>
      <c r="S7" s="77" t="s">
        <v>265</v>
      </c>
      <c r="T7" s="84"/>
      <c r="U7" s="77" t="s">
        <v>264</v>
      </c>
      <c r="V7" s="77" t="s">
        <v>40</v>
      </c>
      <c r="W7" s="77" t="s">
        <v>265</v>
      </c>
      <c r="X7" s="85"/>
      <c r="Y7" s="77" t="s">
        <v>264</v>
      </c>
      <c r="Z7" s="77" t="s">
        <v>40</v>
      </c>
      <c r="AA7" s="77" t="s">
        <v>265</v>
      </c>
      <c r="AB7" s="84"/>
      <c r="AC7" s="77" t="s">
        <v>264</v>
      </c>
      <c r="AD7" s="77" t="s">
        <v>40</v>
      </c>
      <c r="AE7" s="77" t="s">
        <v>265</v>
      </c>
    </row>
    <row r="8" spans="1:31" ht="21.95" customHeight="1">
      <c r="A8" s="77">
        <v>1</v>
      </c>
      <c r="B8" s="75" t="s">
        <v>78</v>
      </c>
      <c r="C8" s="78">
        <v>149.38210000000004</v>
      </c>
      <c r="D8" s="76"/>
      <c r="E8" s="77">
        <v>31</v>
      </c>
      <c r="F8" s="75" t="s">
        <v>73</v>
      </c>
      <c r="G8" s="78">
        <v>72.914100000000019</v>
      </c>
      <c r="H8" s="16"/>
      <c r="I8" s="77">
        <v>1</v>
      </c>
      <c r="J8" s="75" t="s">
        <v>78</v>
      </c>
      <c r="K8" s="78">
        <v>4.5</v>
      </c>
      <c r="L8" s="76"/>
      <c r="M8" s="77">
        <v>31</v>
      </c>
      <c r="N8" s="75" t="s">
        <v>73</v>
      </c>
      <c r="O8" s="78">
        <v>4.5</v>
      </c>
      <c r="P8" s="16"/>
      <c r="Q8" s="77">
        <v>1</v>
      </c>
      <c r="R8" s="75" t="s">
        <v>78</v>
      </c>
      <c r="S8" s="78">
        <v>2.5</v>
      </c>
      <c r="T8" s="76"/>
      <c r="U8" s="77">
        <v>31</v>
      </c>
      <c r="V8" s="75" t="s">
        <v>73</v>
      </c>
      <c r="W8" s="78">
        <v>1.5</v>
      </c>
      <c r="X8" s="16"/>
      <c r="Y8" s="77">
        <v>1</v>
      </c>
      <c r="Z8" s="75" t="s">
        <v>42</v>
      </c>
      <c r="AA8" s="78">
        <v>2</v>
      </c>
      <c r="AB8" s="76"/>
      <c r="AC8" s="75"/>
      <c r="AD8" s="75"/>
      <c r="AE8" s="75"/>
    </row>
    <row r="9" spans="1:31" ht="21.95" customHeight="1">
      <c r="A9" s="77">
        <v>2</v>
      </c>
      <c r="B9" s="75" t="s">
        <v>79</v>
      </c>
      <c r="C9" s="78">
        <v>127.5295</v>
      </c>
      <c r="D9" s="76"/>
      <c r="E9" s="77">
        <v>32</v>
      </c>
      <c r="F9" s="75" t="s">
        <v>74</v>
      </c>
      <c r="G9" s="78">
        <v>71.810199999999995</v>
      </c>
      <c r="H9" s="16"/>
      <c r="I9" s="77">
        <v>2</v>
      </c>
      <c r="J9" s="75" t="s">
        <v>79</v>
      </c>
      <c r="K9" s="78">
        <v>4.5</v>
      </c>
      <c r="L9" s="76"/>
      <c r="M9" s="77">
        <v>32</v>
      </c>
      <c r="N9" s="75" t="s">
        <v>74</v>
      </c>
      <c r="O9" s="78">
        <v>4.5</v>
      </c>
      <c r="P9" s="16"/>
      <c r="Q9" s="77">
        <v>2</v>
      </c>
      <c r="R9" s="75" t="s">
        <v>79</v>
      </c>
      <c r="S9" s="78">
        <v>2</v>
      </c>
      <c r="T9" s="76"/>
      <c r="U9" s="77">
        <v>32</v>
      </c>
      <c r="V9" s="75" t="s">
        <v>74</v>
      </c>
      <c r="W9" s="78">
        <v>1.5</v>
      </c>
      <c r="X9" s="16"/>
      <c r="Y9" s="77">
        <v>2</v>
      </c>
      <c r="Z9" s="75" t="s">
        <v>43</v>
      </c>
      <c r="AA9" s="78">
        <v>2</v>
      </c>
      <c r="AB9" s="76"/>
      <c r="AC9" s="75"/>
      <c r="AD9" s="75"/>
      <c r="AE9" s="75"/>
    </row>
    <row r="10" spans="1:31" ht="21.95" customHeight="1">
      <c r="A10" s="77">
        <v>3</v>
      </c>
      <c r="B10" s="75" t="s">
        <v>80</v>
      </c>
      <c r="C10" s="78">
        <v>131.85339999999999</v>
      </c>
      <c r="D10" s="76"/>
      <c r="E10" s="77">
        <v>33</v>
      </c>
      <c r="F10" s="75" t="s">
        <v>75</v>
      </c>
      <c r="G10" s="78">
        <v>72.784600000000012</v>
      </c>
      <c r="H10" s="16"/>
      <c r="I10" s="77">
        <v>3</v>
      </c>
      <c r="J10" s="75" t="s">
        <v>80</v>
      </c>
      <c r="K10" s="78">
        <v>4.5</v>
      </c>
      <c r="L10" s="76"/>
      <c r="M10" s="77">
        <v>33</v>
      </c>
      <c r="N10" s="75" t="s">
        <v>75</v>
      </c>
      <c r="O10" s="78">
        <v>4.5</v>
      </c>
      <c r="P10" s="16"/>
      <c r="Q10" s="77">
        <v>3</v>
      </c>
      <c r="R10" s="75" t="s">
        <v>80</v>
      </c>
      <c r="S10" s="78">
        <v>2</v>
      </c>
      <c r="T10" s="76"/>
      <c r="U10" s="77">
        <v>33</v>
      </c>
      <c r="V10" s="75" t="s">
        <v>75</v>
      </c>
      <c r="W10" s="78">
        <v>1.5</v>
      </c>
      <c r="X10" s="16"/>
      <c r="Y10" s="77">
        <v>3</v>
      </c>
      <c r="Z10" s="75" t="s">
        <v>44</v>
      </c>
      <c r="AA10" s="78">
        <v>1.5</v>
      </c>
      <c r="AB10" s="76"/>
      <c r="AC10" s="75"/>
      <c r="AD10" s="75"/>
      <c r="AE10" s="75"/>
    </row>
    <row r="11" spans="1:31" ht="21.95" customHeight="1">
      <c r="A11" s="77">
        <v>4</v>
      </c>
      <c r="B11" s="75" t="s">
        <v>81</v>
      </c>
      <c r="C11" s="78">
        <v>127.83260000000001</v>
      </c>
      <c r="D11" s="76"/>
      <c r="E11" s="77">
        <v>34</v>
      </c>
      <c r="F11" s="75" t="s">
        <v>76</v>
      </c>
      <c r="G11" s="78">
        <v>70.430500000000009</v>
      </c>
      <c r="H11" s="16"/>
      <c r="I11" s="77">
        <v>4</v>
      </c>
      <c r="J11" s="75" t="s">
        <v>81</v>
      </c>
      <c r="K11" s="78">
        <v>4.5</v>
      </c>
      <c r="L11" s="76"/>
      <c r="M11" s="77">
        <v>34</v>
      </c>
      <c r="N11" s="75" t="s">
        <v>76</v>
      </c>
      <c r="O11" s="78">
        <v>4.5</v>
      </c>
      <c r="P11" s="16"/>
      <c r="Q11" s="77">
        <v>4</v>
      </c>
      <c r="R11" s="75" t="s">
        <v>81</v>
      </c>
      <c r="S11" s="78">
        <v>2</v>
      </c>
      <c r="T11" s="76"/>
      <c r="U11" s="77">
        <v>34</v>
      </c>
      <c r="V11" s="75" t="s">
        <v>76</v>
      </c>
      <c r="W11" s="78">
        <v>1</v>
      </c>
      <c r="X11" s="16"/>
      <c r="Y11" s="77">
        <v>4</v>
      </c>
      <c r="Z11" s="75" t="s">
        <v>45</v>
      </c>
      <c r="AA11" s="78">
        <v>2</v>
      </c>
      <c r="AB11" s="76"/>
      <c r="AC11" s="75"/>
      <c r="AD11" s="75"/>
      <c r="AE11" s="75"/>
    </row>
    <row r="12" spans="1:31" ht="21.95" customHeight="1">
      <c r="A12" s="77">
        <v>5</v>
      </c>
      <c r="B12" s="75" t="s">
        <v>82</v>
      </c>
      <c r="C12" s="78">
        <v>149.2715</v>
      </c>
      <c r="D12" s="76"/>
      <c r="E12" s="77">
        <v>35</v>
      </c>
      <c r="F12" s="75" t="s">
        <v>100</v>
      </c>
      <c r="G12" s="78">
        <v>139.53380000000001</v>
      </c>
      <c r="H12" s="16"/>
      <c r="I12" s="77">
        <v>5</v>
      </c>
      <c r="J12" s="75" t="s">
        <v>82</v>
      </c>
      <c r="K12" s="78">
        <v>4.5</v>
      </c>
      <c r="L12" s="76"/>
      <c r="M12" s="77">
        <v>35</v>
      </c>
      <c r="N12" s="75" t="s">
        <v>100</v>
      </c>
      <c r="O12" s="78">
        <v>4.5</v>
      </c>
      <c r="P12" s="16"/>
      <c r="Q12" s="77">
        <v>5</v>
      </c>
      <c r="R12" s="75" t="s">
        <v>82</v>
      </c>
      <c r="S12" s="78">
        <v>2.5</v>
      </c>
      <c r="T12" s="76"/>
      <c r="U12" s="77">
        <v>35</v>
      </c>
      <c r="V12" s="75" t="s">
        <v>100</v>
      </c>
      <c r="W12" s="78">
        <v>2.5</v>
      </c>
      <c r="X12" s="16"/>
      <c r="Y12" s="77">
        <v>5</v>
      </c>
      <c r="Z12" s="75" t="s">
        <v>46</v>
      </c>
      <c r="AA12" s="78">
        <v>1.5</v>
      </c>
      <c r="AB12" s="76"/>
      <c r="AC12" s="75"/>
      <c r="AD12" s="75"/>
      <c r="AE12" s="75"/>
    </row>
    <row r="13" spans="1:31" ht="21.95" customHeight="1">
      <c r="A13" s="77">
        <v>6</v>
      </c>
      <c r="B13" s="75" t="s">
        <v>83</v>
      </c>
      <c r="C13" s="78">
        <v>123.73690000000002</v>
      </c>
      <c r="D13" s="76"/>
      <c r="E13" s="77">
        <v>36</v>
      </c>
      <c r="F13" s="75" t="s">
        <v>101</v>
      </c>
      <c r="G13" s="78">
        <v>160.2937</v>
      </c>
      <c r="H13" s="16"/>
      <c r="I13" s="77">
        <v>6</v>
      </c>
      <c r="J13" s="75" t="s">
        <v>83</v>
      </c>
      <c r="K13" s="78">
        <v>4.5</v>
      </c>
      <c r="L13" s="76"/>
      <c r="M13" s="77">
        <v>36</v>
      </c>
      <c r="N13" s="75" t="s">
        <v>101</v>
      </c>
      <c r="O13" s="78">
        <v>4.5</v>
      </c>
      <c r="P13" s="16"/>
      <c r="Q13" s="77">
        <v>6</v>
      </c>
      <c r="R13" s="75" t="s">
        <v>83</v>
      </c>
      <c r="S13" s="78">
        <v>2</v>
      </c>
      <c r="T13" s="76"/>
      <c r="U13" s="77">
        <v>36</v>
      </c>
      <c r="V13" s="75" t="s">
        <v>101</v>
      </c>
      <c r="W13" s="78">
        <v>2.5</v>
      </c>
      <c r="X13" s="16"/>
      <c r="Y13" s="77">
        <v>6</v>
      </c>
      <c r="Z13" s="75" t="s">
        <v>63</v>
      </c>
      <c r="AA13" s="78">
        <v>1.5</v>
      </c>
      <c r="AB13" s="76"/>
      <c r="AC13" s="75"/>
      <c r="AD13" s="75"/>
      <c r="AE13" s="75"/>
    </row>
    <row r="14" spans="1:31" ht="21.95" customHeight="1">
      <c r="A14" s="77">
        <v>7</v>
      </c>
      <c r="B14" s="75" t="s">
        <v>84</v>
      </c>
      <c r="C14" s="78">
        <v>120.2145</v>
      </c>
      <c r="D14" s="76"/>
      <c r="E14" s="77">
        <v>37</v>
      </c>
      <c r="F14" s="75" t="s">
        <v>102</v>
      </c>
      <c r="G14" s="78">
        <v>138.58180000000002</v>
      </c>
      <c r="H14" s="16"/>
      <c r="I14" s="77">
        <v>7</v>
      </c>
      <c r="J14" s="75" t="s">
        <v>84</v>
      </c>
      <c r="K14" s="78">
        <v>4.5</v>
      </c>
      <c r="L14" s="76"/>
      <c r="M14" s="77">
        <v>37</v>
      </c>
      <c r="N14" s="75" t="s">
        <v>102</v>
      </c>
      <c r="O14" s="78">
        <v>4.5</v>
      </c>
      <c r="P14" s="16"/>
      <c r="Q14" s="77">
        <v>7</v>
      </c>
      <c r="R14" s="75" t="s">
        <v>84</v>
      </c>
      <c r="S14" s="78">
        <v>2</v>
      </c>
      <c r="T14" s="76"/>
      <c r="U14" s="77">
        <v>37</v>
      </c>
      <c r="V14" s="75" t="s">
        <v>102</v>
      </c>
      <c r="W14" s="78">
        <v>2.5</v>
      </c>
      <c r="X14" s="16"/>
      <c r="Y14" s="77">
        <v>7</v>
      </c>
      <c r="Z14" s="75" t="s">
        <v>47</v>
      </c>
      <c r="AA14" s="78">
        <v>1.5</v>
      </c>
      <c r="AB14" s="76"/>
      <c r="AC14" s="75"/>
      <c r="AD14" s="75"/>
      <c r="AE14" s="75"/>
    </row>
    <row r="15" spans="1:31" ht="21.95" customHeight="1">
      <c r="A15" s="77">
        <v>8</v>
      </c>
      <c r="B15" s="75" t="s">
        <v>85</v>
      </c>
      <c r="C15" s="78">
        <v>116.27350000000001</v>
      </c>
      <c r="D15" s="76"/>
      <c r="E15" s="77">
        <v>38</v>
      </c>
      <c r="F15" s="75" t="s">
        <v>103</v>
      </c>
      <c r="G15" s="78">
        <v>141.88230000000001</v>
      </c>
      <c r="H15" s="16"/>
      <c r="I15" s="77">
        <v>8</v>
      </c>
      <c r="J15" s="75" t="s">
        <v>85</v>
      </c>
      <c r="K15" s="78">
        <v>4.5</v>
      </c>
      <c r="L15" s="76"/>
      <c r="M15" s="77">
        <v>38</v>
      </c>
      <c r="N15" s="75" t="s">
        <v>103</v>
      </c>
      <c r="O15" s="78">
        <v>4.5</v>
      </c>
      <c r="P15" s="16"/>
      <c r="Q15" s="77">
        <v>8</v>
      </c>
      <c r="R15" s="75" t="s">
        <v>85</v>
      </c>
      <c r="S15" s="78">
        <v>2</v>
      </c>
      <c r="T15" s="76"/>
      <c r="U15" s="77">
        <v>38</v>
      </c>
      <c r="V15" s="75" t="s">
        <v>103</v>
      </c>
      <c r="W15" s="78">
        <v>2.5</v>
      </c>
      <c r="X15" s="16"/>
      <c r="Y15" s="77">
        <v>8</v>
      </c>
      <c r="Z15" s="75" t="s">
        <v>48</v>
      </c>
      <c r="AA15" s="78">
        <v>1.5</v>
      </c>
      <c r="AB15" s="76"/>
      <c r="AC15" s="75"/>
      <c r="AD15" s="75"/>
      <c r="AE15" s="75"/>
    </row>
    <row r="16" spans="1:31" ht="21.95" customHeight="1">
      <c r="A16" s="77">
        <v>9</v>
      </c>
      <c r="B16" s="75" t="s">
        <v>86</v>
      </c>
      <c r="C16" s="78">
        <v>112.91000000000001</v>
      </c>
      <c r="D16" s="76"/>
      <c r="E16" s="77">
        <v>39</v>
      </c>
      <c r="F16" s="75" t="s">
        <v>104</v>
      </c>
      <c r="G16" s="78">
        <v>127.5295</v>
      </c>
      <c r="H16" s="16"/>
      <c r="I16" s="77">
        <v>9</v>
      </c>
      <c r="J16" s="75" t="s">
        <v>86</v>
      </c>
      <c r="K16" s="78">
        <v>4.5</v>
      </c>
      <c r="L16" s="76"/>
      <c r="M16" s="77">
        <v>39</v>
      </c>
      <c r="N16" s="75" t="s">
        <v>104</v>
      </c>
      <c r="O16" s="78">
        <v>4.5</v>
      </c>
      <c r="P16" s="16"/>
      <c r="Q16" s="77">
        <v>9</v>
      </c>
      <c r="R16" s="75" t="s">
        <v>86</v>
      </c>
      <c r="S16" s="78">
        <v>2</v>
      </c>
      <c r="T16" s="76"/>
      <c r="U16" s="77">
        <v>39</v>
      </c>
      <c r="V16" s="75" t="s">
        <v>104</v>
      </c>
      <c r="W16" s="78">
        <v>2</v>
      </c>
      <c r="X16" s="16"/>
      <c r="Y16" s="77">
        <v>9</v>
      </c>
      <c r="Z16" s="75" t="s">
        <v>49</v>
      </c>
      <c r="AA16" s="78">
        <v>1</v>
      </c>
      <c r="AB16" s="76"/>
      <c r="AC16" s="75"/>
      <c r="AD16" s="75"/>
      <c r="AE16" s="75"/>
    </row>
    <row r="17" spans="1:31" ht="21.95" customHeight="1">
      <c r="A17" s="77">
        <v>10</v>
      </c>
      <c r="B17" s="75" t="s">
        <v>87</v>
      </c>
      <c r="C17" s="78">
        <v>110.58810000000001</v>
      </c>
      <c r="D17" s="76"/>
      <c r="E17" s="77">
        <v>40</v>
      </c>
      <c r="F17" s="75" t="s">
        <v>105</v>
      </c>
      <c r="G17" s="78">
        <v>119.22540000000001</v>
      </c>
      <c r="H17" s="16"/>
      <c r="I17" s="77">
        <v>10</v>
      </c>
      <c r="J17" s="75" t="s">
        <v>87</v>
      </c>
      <c r="K17" s="78">
        <v>4.5</v>
      </c>
      <c r="L17" s="76"/>
      <c r="M17" s="77">
        <v>40</v>
      </c>
      <c r="N17" s="75" t="s">
        <v>105</v>
      </c>
      <c r="O17" s="78">
        <v>4.5</v>
      </c>
      <c r="P17" s="16"/>
      <c r="Q17" s="77">
        <v>10</v>
      </c>
      <c r="R17" s="75" t="s">
        <v>87</v>
      </c>
      <c r="S17" s="78">
        <v>2</v>
      </c>
      <c r="T17" s="76"/>
      <c r="U17" s="77">
        <v>40</v>
      </c>
      <c r="V17" s="75" t="s">
        <v>105</v>
      </c>
      <c r="W17" s="78">
        <v>2</v>
      </c>
      <c r="X17" s="16"/>
      <c r="Y17" s="77">
        <v>10</v>
      </c>
      <c r="Z17" s="75" t="s">
        <v>133</v>
      </c>
      <c r="AA17" s="78">
        <v>2</v>
      </c>
      <c r="AB17" s="76"/>
      <c r="AC17" s="75"/>
      <c r="AD17" s="75"/>
      <c r="AE17" s="75"/>
    </row>
    <row r="18" spans="1:31" ht="21.95" customHeight="1">
      <c r="A18" s="77">
        <v>11</v>
      </c>
      <c r="B18" s="75" t="s">
        <v>88</v>
      </c>
      <c r="C18" s="78">
        <v>108.99980000000002</v>
      </c>
      <c r="D18" s="76"/>
      <c r="E18" s="77">
        <v>41</v>
      </c>
      <c r="F18" s="75" t="s">
        <v>106</v>
      </c>
      <c r="G18" s="78">
        <v>108.99980000000002</v>
      </c>
      <c r="H18" s="16"/>
      <c r="I18" s="77">
        <v>11</v>
      </c>
      <c r="J18" s="75" t="s">
        <v>88</v>
      </c>
      <c r="K18" s="78">
        <v>4.5</v>
      </c>
      <c r="L18" s="76"/>
      <c r="M18" s="77">
        <v>41</v>
      </c>
      <c r="N18" s="75" t="s">
        <v>106</v>
      </c>
      <c r="O18" s="78">
        <v>4.5</v>
      </c>
      <c r="P18" s="16"/>
      <c r="Q18" s="77">
        <v>11</v>
      </c>
      <c r="R18" s="75" t="s">
        <v>88</v>
      </c>
      <c r="S18" s="78">
        <v>2</v>
      </c>
      <c r="T18" s="76"/>
      <c r="U18" s="77">
        <v>41</v>
      </c>
      <c r="V18" s="75" t="s">
        <v>106</v>
      </c>
      <c r="W18" s="78">
        <v>2</v>
      </c>
      <c r="X18" s="16"/>
      <c r="Y18" s="77">
        <v>11</v>
      </c>
      <c r="Z18" s="75" t="s">
        <v>134</v>
      </c>
      <c r="AA18" s="78">
        <v>1.5</v>
      </c>
      <c r="AB18" s="76"/>
      <c r="AC18" s="75"/>
      <c r="AD18" s="75"/>
      <c r="AE18" s="75"/>
    </row>
    <row r="19" spans="1:31" ht="21.95" customHeight="1">
      <c r="A19" s="77">
        <v>12</v>
      </c>
      <c r="B19" s="75" t="s">
        <v>89</v>
      </c>
      <c r="C19" s="78">
        <v>106.45250000000001</v>
      </c>
      <c r="D19" s="76"/>
      <c r="E19" s="77">
        <v>42</v>
      </c>
      <c r="F19" s="75" t="s">
        <v>107</v>
      </c>
      <c r="G19" s="78">
        <v>141.88510000000002</v>
      </c>
      <c r="H19" s="16"/>
      <c r="I19" s="77">
        <v>12</v>
      </c>
      <c r="J19" s="75" t="s">
        <v>89</v>
      </c>
      <c r="K19" s="78">
        <v>4.5</v>
      </c>
      <c r="L19" s="76"/>
      <c r="M19" s="77">
        <v>42</v>
      </c>
      <c r="N19" s="75" t="s">
        <v>107</v>
      </c>
      <c r="O19" s="78">
        <v>4.5</v>
      </c>
      <c r="P19" s="16"/>
      <c r="Q19" s="77">
        <v>12</v>
      </c>
      <c r="R19" s="75" t="s">
        <v>89</v>
      </c>
      <c r="S19" s="78">
        <v>2</v>
      </c>
      <c r="T19" s="76"/>
      <c r="U19" s="77">
        <v>42</v>
      </c>
      <c r="V19" s="75" t="s">
        <v>107</v>
      </c>
      <c r="W19" s="78">
        <v>2.5</v>
      </c>
      <c r="X19" s="16"/>
      <c r="Y19" s="77">
        <v>12</v>
      </c>
      <c r="Z19" s="75" t="s">
        <v>135</v>
      </c>
      <c r="AA19" s="78">
        <v>1.5</v>
      </c>
      <c r="AB19" s="76"/>
      <c r="AC19" s="75"/>
      <c r="AD19" s="75"/>
      <c r="AE19" s="75"/>
    </row>
    <row r="20" spans="1:31" ht="21.95" customHeight="1">
      <c r="A20" s="77">
        <v>13</v>
      </c>
      <c r="B20" s="75" t="s">
        <v>190</v>
      </c>
      <c r="C20" s="78">
        <v>119.34650000000002</v>
      </c>
      <c r="D20" s="76"/>
      <c r="E20" s="77">
        <v>43</v>
      </c>
      <c r="F20" s="75" t="s">
        <v>108</v>
      </c>
      <c r="G20" s="78">
        <v>123.36170000000001</v>
      </c>
      <c r="H20" s="16"/>
      <c r="I20" s="77">
        <v>13</v>
      </c>
      <c r="J20" s="75" t="s">
        <v>190</v>
      </c>
      <c r="K20" s="78">
        <v>4.5</v>
      </c>
      <c r="L20" s="76"/>
      <c r="M20" s="77">
        <v>43</v>
      </c>
      <c r="N20" s="75" t="s">
        <v>108</v>
      </c>
      <c r="O20" s="78">
        <v>4.5</v>
      </c>
      <c r="P20" s="16"/>
      <c r="Q20" s="77">
        <v>13</v>
      </c>
      <c r="R20" s="75" t="s">
        <v>190</v>
      </c>
      <c r="S20" s="78">
        <v>2</v>
      </c>
      <c r="T20" s="76"/>
      <c r="U20" s="77">
        <v>43</v>
      </c>
      <c r="V20" s="75" t="s">
        <v>108</v>
      </c>
      <c r="W20" s="78">
        <v>2</v>
      </c>
      <c r="X20" s="16"/>
      <c r="Y20" s="77">
        <v>13</v>
      </c>
      <c r="Z20" s="75" t="s">
        <v>136</v>
      </c>
      <c r="AA20" s="78">
        <v>1.5</v>
      </c>
      <c r="AB20" s="76"/>
      <c r="AC20" s="75"/>
      <c r="AD20" s="75"/>
      <c r="AE20" s="75"/>
    </row>
    <row r="21" spans="1:31" ht="21.95" customHeight="1">
      <c r="A21" s="77">
        <v>14</v>
      </c>
      <c r="B21" s="75" t="s">
        <v>90</v>
      </c>
      <c r="C21" s="78">
        <v>112.67060000000001</v>
      </c>
      <c r="D21" s="76"/>
      <c r="E21" s="77">
        <v>44</v>
      </c>
      <c r="F21" s="75" t="s">
        <v>109</v>
      </c>
      <c r="G21" s="78">
        <v>119.36400000000002</v>
      </c>
      <c r="H21" s="16"/>
      <c r="I21" s="77">
        <v>14</v>
      </c>
      <c r="J21" s="75" t="s">
        <v>90</v>
      </c>
      <c r="K21" s="78">
        <v>4.5</v>
      </c>
      <c r="L21" s="76"/>
      <c r="M21" s="77">
        <v>44</v>
      </c>
      <c r="N21" s="75" t="s">
        <v>109</v>
      </c>
      <c r="O21" s="78">
        <v>4.5</v>
      </c>
      <c r="P21" s="16"/>
      <c r="Q21" s="77">
        <v>14</v>
      </c>
      <c r="R21" s="75" t="s">
        <v>90</v>
      </c>
      <c r="S21" s="78">
        <v>2</v>
      </c>
      <c r="T21" s="76"/>
      <c r="U21" s="77">
        <v>44</v>
      </c>
      <c r="V21" s="75" t="s">
        <v>109</v>
      </c>
      <c r="W21" s="78">
        <v>2</v>
      </c>
      <c r="X21" s="16"/>
      <c r="Y21" s="77"/>
      <c r="Z21" s="75"/>
      <c r="AA21" s="78"/>
      <c r="AB21" s="76"/>
      <c r="AC21" s="75"/>
      <c r="AD21" s="75"/>
      <c r="AE21" s="75"/>
    </row>
    <row r="22" spans="1:31" ht="21.95" customHeight="1">
      <c r="A22" s="77">
        <v>15</v>
      </c>
      <c r="B22" s="75" t="s">
        <v>91</v>
      </c>
      <c r="C22" s="78">
        <v>138.19260000000003</v>
      </c>
      <c r="D22" s="76"/>
      <c r="E22" s="77">
        <v>45</v>
      </c>
      <c r="F22" s="75" t="s">
        <v>110</v>
      </c>
      <c r="G22" s="78">
        <v>130.00120000000001</v>
      </c>
      <c r="H22" s="16"/>
      <c r="I22" s="77">
        <v>15</v>
      </c>
      <c r="J22" s="75" t="s">
        <v>91</v>
      </c>
      <c r="K22" s="78">
        <v>4.5</v>
      </c>
      <c r="L22" s="76"/>
      <c r="M22" s="77">
        <v>45</v>
      </c>
      <c r="N22" s="75" t="s">
        <v>110</v>
      </c>
      <c r="O22" s="78">
        <v>4.5</v>
      </c>
      <c r="P22" s="16"/>
      <c r="Q22" s="77">
        <v>15</v>
      </c>
      <c r="R22" s="75" t="s">
        <v>91</v>
      </c>
      <c r="S22" s="78">
        <v>2.5</v>
      </c>
      <c r="T22" s="76"/>
      <c r="U22" s="77">
        <v>45</v>
      </c>
      <c r="V22" s="75" t="s">
        <v>110</v>
      </c>
      <c r="W22" s="78">
        <v>2</v>
      </c>
      <c r="X22" s="16"/>
      <c r="Y22" s="77"/>
      <c r="Z22" s="75"/>
      <c r="AA22" s="78"/>
      <c r="AB22" s="76"/>
      <c r="AC22" s="75"/>
      <c r="AD22" s="75"/>
      <c r="AE22" s="75"/>
    </row>
    <row r="23" spans="1:31" ht="21.95" customHeight="1">
      <c r="A23" s="77">
        <v>16</v>
      </c>
      <c r="B23" s="75" t="s">
        <v>92</v>
      </c>
      <c r="C23" s="78">
        <v>93.455600000000004</v>
      </c>
      <c r="D23" s="76"/>
      <c r="E23" s="77">
        <v>46</v>
      </c>
      <c r="F23" s="75" t="s">
        <v>111</v>
      </c>
      <c r="G23" s="78">
        <v>75.383700000000019</v>
      </c>
      <c r="H23" s="16"/>
      <c r="I23" s="77">
        <v>16</v>
      </c>
      <c r="J23" s="75" t="s">
        <v>92</v>
      </c>
      <c r="K23" s="78">
        <v>4.5</v>
      </c>
      <c r="L23" s="76"/>
      <c r="M23" s="77">
        <v>46</v>
      </c>
      <c r="N23" s="75" t="s">
        <v>111</v>
      </c>
      <c r="O23" s="78">
        <v>4.5</v>
      </c>
      <c r="P23" s="16"/>
      <c r="Q23" s="77">
        <v>16</v>
      </c>
      <c r="R23" s="75" t="s">
        <v>92</v>
      </c>
      <c r="S23" s="78">
        <v>1.5</v>
      </c>
      <c r="T23" s="76"/>
      <c r="U23" s="77">
        <v>46</v>
      </c>
      <c r="V23" s="75" t="s">
        <v>111</v>
      </c>
      <c r="W23" s="78">
        <v>1.5</v>
      </c>
      <c r="X23" s="16"/>
      <c r="Y23" s="77"/>
      <c r="Z23" s="75"/>
      <c r="AA23" s="78"/>
      <c r="AB23" s="76"/>
      <c r="AC23" s="75"/>
      <c r="AD23" s="75"/>
      <c r="AE23" s="75"/>
    </row>
    <row r="24" spans="1:31" ht="21.95" customHeight="1">
      <c r="A24" s="77">
        <v>17</v>
      </c>
      <c r="B24" s="75" t="s">
        <v>93</v>
      </c>
      <c r="C24" s="78">
        <v>94.450300000000013</v>
      </c>
      <c r="D24" s="76"/>
      <c r="E24" s="77">
        <v>47</v>
      </c>
      <c r="F24" s="75" t="s">
        <v>112</v>
      </c>
      <c r="G24" s="78">
        <v>79.9071</v>
      </c>
      <c r="H24" s="16"/>
      <c r="I24" s="77">
        <v>17</v>
      </c>
      <c r="J24" s="75" t="s">
        <v>93</v>
      </c>
      <c r="K24" s="78">
        <v>4.5</v>
      </c>
      <c r="L24" s="76"/>
      <c r="M24" s="77">
        <v>47</v>
      </c>
      <c r="N24" s="75" t="s">
        <v>112</v>
      </c>
      <c r="O24" s="78">
        <v>4.5</v>
      </c>
      <c r="P24" s="16"/>
      <c r="Q24" s="77">
        <v>17</v>
      </c>
      <c r="R24" s="75" t="s">
        <v>93</v>
      </c>
      <c r="S24" s="78">
        <v>1.5</v>
      </c>
      <c r="T24" s="76"/>
      <c r="U24" s="77">
        <v>47</v>
      </c>
      <c r="V24" s="75" t="s">
        <v>112</v>
      </c>
      <c r="W24" s="78">
        <v>1.5</v>
      </c>
      <c r="X24" s="16"/>
      <c r="Y24" s="77"/>
      <c r="Z24" s="75"/>
      <c r="AA24" s="78"/>
      <c r="AB24" s="76"/>
      <c r="AC24" s="75"/>
      <c r="AD24" s="75"/>
      <c r="AE24" s="75"/>
    </row>
    <row r="25" spans="1:31" ht="21.95" customHeight="1">
      <c r="A25" s="77">
        <v>18</v>
      </c>
      <c r="B25" s="75" t="s">
        <v>94</v>
      </c>
      <c r="C25" s="78">
        <v>93.991100000000017</v>
      </c>
      <c r="D25" s="76"/>
      <c r="E25" s="77">
        <v>48</v>
      </c>
      <c r="F25" s="75" t="s">
        <v>113</v>
      </c>
      <c r="G25" s="78">
        <v>71.810199999999995</v>
      </c>
      <c r="H25" s="16"/>
      <c r="I25" s="77">
        <v>18</v>
      </c>
      <c r="J25" s="75" t="s">
        <v>94</v>
      </c>
      <c r="K25" s="78">
        <v>4.5</v>
      </c>
      <c r="L25" s="76"/>
      <c r="M25" s="77">
        <v>48</v>
      </c>
      <c r="N25" s="75" t="s">
        <v>113</v>
      </c>
      <c r="O25" s="78">
        <v>4.5</v>
      </c>
      <c r="P25" s="16"/>
      <c r="Q25" s="77">
        <v>18</v>
      </c>
      <c r="R25" s="75" t="s">
        <v>94</v>
      </c>
      <c r="S25" s="78">
        <v>1.5</v>
      </c>
      <c r="T25" s="76"/>
      <c r="U25" s="77">
        <v>48</v>
      </c>
      <c r="V25" s="75" t="s">
        <v>113</v>
      </c>
      <c r="W25" s="78">
        <v>1.5</v>
      </c>
      <c r="X25" s="16"/>
      <c r="Y25" s="77"/>
      <c r="Z25" s="75"/>
      <c r="AA25" s="78"/>
      <c r="AB25" s="76"/>
      <c r="AC25" s="75"/>
      <c r="AD25" s="75"/>
      <c r="AE25" s="75"/>
    </row>
    <row r="26" spans="1:31" ht="21.95" customHeight="1">
      <c r="A26" s="77">
        <v>19</v>
      </c>
      <c r="B26" s="75" t="s">
        <v>95</v>
      </c>
      <c r="C26" s="78">
        <v>116.62140000000001</v>
      </c>
      <c r="D26" s="76"/>
      <c r="E26" s="77">
        <v>49</v>
      </c>
      <c r="F26" s="75" t="s">
        <v>114</v>
      </c>
      <c r="G26" s="78">
        <v>71.810199999999995</v>
      </c>
      <c r="H26" s="16"/>
      <c r="I26" s="77">
        <v>19</v>
      </c>
      <c r="J26" s="75" t="s">
        <v>95</v>
      </c>
      <c r="K26" s="78">
        <v>4.5</v>
      </c>
      <c r="L26" s="76"/>
      <c r="M26" s="77">
        <v>49</v>
      </c>
      <c r="N26" s="75" t="s">
        <v>114</v>
      </c>
      <c r="O26" s="78">
        <v>4.5</v>
      </c>
      <c r="P26" s="16"/>
      <c r="Q26" s="77">
        <v>19</v>
      </c>
      <c r="R26" s="75" t="s">
        <v>95</v>
      </c>
      <c r="S26" s="78">
        <v>2</v>
      </c>
      <c r="T26" s="76"/>
      <c r="U26" s="77">
        <v>49</v>
      </c>
      <c r="V26" s="75" t="s">
        <v>114</v>
      </c>
      <c r="W26" s="78">
        <v>1.5</v>
      </c>
      <c r="X26" s="16"/>
      <c r="Y26" s="77"/>
      <c r="Z26" s="75"/>
      <c r="AA26" s="78"/>
      <c r="AB26" s="76"/>
      <c r="AC26" s="75"/>
      <c r="AD26" s="75"/>
      <c r="AE26" s="75"/>
    </row>
    <row r="27" spans="1:31" ht="21.95" customHeight="1">
      <c r="A27" s="77">
        <v>20</v>
      </c>
      <c r="B27" s="75" t="s">
        <v>96</v>
      </c>
      <c r="C27" s="78">
        <v>78.843800000000002</v>
      </c>
      <c r="D27" s="76"/>
      <c r="E27" s="77">
        <v>50</v>
      </c>
      <c r="F27" s="75" t="s">
        <v>115</v>
      </c>
      <c r="G27" s="78">
        <v>81.313400000000001</v>
      </c>
      <c r="H27" s="16"/>
      <c r="I27" s="77">
        <v>20</v>
      </c>
      <c r="J27" s="75" t="s">
        <v>96</v>
      </c>
      <c r="K27" s="78">
        <v>4.5</v>
      </c>
      <c r="L27" s="76"/>
      <c r="M27" s="77">
        <v>50</v>
      </c>
      <c r="N27" s="75" t="s">
        <v>115</v>
      </c>
      <c r="O27" s="78">
        <v>4.5</v>
      </c>
      <c r="P27" s="16"/>
      <c r="Q27" s="77">
        <v>20</v>
      </c>
      <c r="R27" s="75" t="s">
        <v>96</v>
      </c>
      <c r="S27" s="78">
        <v>1.5</v>
      </c>
      <c r="T27" s="76"/>
      <c r="U27" s="77">
        <v>50</v>
      </c>
      <c r="V27" s="75" t="s">
        <v>115</v>
      </c>
      <c r="W27" s="78">
        <v>1.5</v>
      </c>
      <c r="X27" s="16"/>
      <c r="Y27" s="77"/>
      <c r="Z27" s="75"/>
      <c r="AA27" s="78"/>
      <c r="AB27" s="76"/>
      <c r="AC27" s="75"/>
      <c r="AD27" s="75"/>
      <c r="AE27" s="75"/>
    </row>
    <row r="28" spans="1:31" ht="21.95" customHeight="1">
      <c r="A28" s="77">
        <v>21</v>
      </c>
      <c r="B28" s="75" t="s">
        <v>97</v>
      </c>
      <c r="C28" s="78">
        <v>81.313400000000001</v>
      </c>
      <c r="D28" s="76"/>
      <c r="E28" s="77">
        <v>51</v>
      </c>
      <c r="F28" s="75" t="s">
        <v>122</v>
      </c>
      <c r="G28" s="78">
        <v>112.90860000000001</v>
      </c>
      <c r="H28" s="16"/>
      <c r="I28" s="77">
        <v>21</v>
      </c>
      <c r="J28" s="75" t="s">
        <v>97</v>
      </c>
      <c r="K28" s="78">
        <v>4.5</v>
      </c>
      <c r="L28" s="76"/>
      <c r="M28" s="77">
        <v>51</v>
      </c>
      <c r="N28" s="75" t="s">
        <v>122</v>
      </c>
      <c r="O28" s="78">
        <v>4.5</v>
      </c>
      <c r="P28" s="16"/>
      <c r="Q28" s="77">
        <v>21</v>
      </c>
      <c r="R28" s="75" t="s">
        <v>97</v>
      </c>
      <c r="S28" s="78">
        <v>1.5</v>
      </c>
      <c r="T28" s="76"/>
      <c r="U28" s="77">
        <v>51</v>
      </c>
      <c r="V28" s="75" t="s">
        <v>122</v>
      </c>
      <c r="W28" s="78">
        <v>2</v>
      </c>
      <c r="X28" s="16"/>
      <c r="Y28" s="77"/>
      <c r="Z28" s="75"/>
      <c r="AA28" s="78"/>
      <c r="AB28" s="76"/>
      <c r="AC28" s="75"/>
      <c r="AD28" s="75"/>
      <c r="AE28" s="75"/>
    </row>
    <row r="29" spans="1:31" ht="21.95" customHeight="1">
      <c r="A29" s="77">
        <v>22</v>
      </c>
      <c r="B29" s="75" t="s">
        <v>98</v>
      </c>
      <c r="C29" s="78">
        <v>81.313400000000001</v>
      </c>
      <c r="D29" s="76"/>
      <c r="E29" s="77">
        <v>52</v>
      </c>
      <c r="F29" s="75" t="s">
        <v>123</v>
      </c>
      <c r="G29" s="78">
        <v>123.73830000000001</v>
      </c>
      <c r="H29" s="16"/>
      <c r="I29" s="77">
        <v>22</v>
      </c>
      <c r="J29" s="75" t="s">
        <v>98</v>
      </c>
      <c r="K29" s="78">
        <v>4.5</v>
      </c>
      <c r="L29" s="76"/>
      <c r="M29" s="77">
        <v>52</v>
      </c>
      <c r="N29" s="75" t="s">
        <v>123</v>
      </c>
      <c r="O29" s="78">
        <v>4.5</v>
      </c>
      <c r="P29" s="16"/>
      <c r="Q29" s="77">
        <v>22</v>
      </c>
      <c r="R29" s="75" t="s">
        <v>98</v>
      </c>
      <c r="S29" s="78">
        <v>1.5</v>
      </c>
      <c r="T29" s="76"/>
      <c r="U29" s="77">
        <v>52</v>
      </c>
      <c r="V29" s="75" t="s">
        <v>123</v>
      </c>
      <c r="W29" s="78">
        <v>2.5</v>
      </c>
      <c r="X29" s="16"/>
      <c r="Y29" s="77"/>
      <c r="Z29" s="75"/>
      <c r="AA29" s="78"/>
      <c r="AB29" s="76"/>
      <c r="AC29" s="75"/>
      <c r="AD29" s="75"/>
      <c r="AE29" s="75"/>
    </row>
    <row r="30" spans="1:31" ht="21.95" customHeight="1">
      <c r="A30" s="77">
        <v>23</v>
      </c>
      <c r="B30" s="75" t="s">
        <v>65</v>
      </c>
      <c r="C30" s="78">
        <v>108.52170000000001</v>
      </c>
      <c r="D30" s="76"/>
      <c r="E30" s="77">
        <v>53</v>
      </c>
      <c r="F30" s="75" t="s">
        <v>124</v>
      </c>
      <c r="G30" s="78">
        <v>108.99910000000001</v>
      </c>
      <c r="H30" s="16"/>
      <c r="I30" s="77">
        <v>23</v>
      </c>
      <c r="J30" s="75" t="s">
        <v>65</v>
      </c>
      <c r="K30" s="78">
        <v>4.5</v>
      </c>
      <c r="L30" s="76"/>
      <c r="M30" s="77">
        <v>53</v>
      </c>
      <c r="N30" s="75" t="s">
        <v>124</v>
      </c>
      <c r="O30" s="78">
        <v>4.5</v>
      </c>
      <c r="P30" s="16"/>
      <c r="Q30" s="77">
        <v>23</v>
      </c>
      <c r="R30" s="75" t="s">
        <v>65</v>
      </c>
      <c r="S30" s="78">
        <v>2</v>
      </c>
      <c r="T30" s="76"/>
      <c r="U30" s="77">
        <v>53</v>
      </c>
      <c r="V30" s="75" t="s">
        <v>124</v>
      </c>
      <c r="W30" s="78">
        <v>2</v>
      </c>
      <c r="X30" s="16"/>
      <c r="Y30" s="77"/>
      <c r="Z30" s="75"/>
      <c r="AA30" s="78"/>
      <c r="AB30" s="76"/>
      <c r="AC30" s="75"/>
      <c r="AD30" s="75"/>
      <c r="AE30" s="75"/>
    </row>
    <row r="31" spans="1:31" ht="21.95" customHeight="1">
      <c r="A31" s="77">
        <v>24</v>
      </c>
      <c r="B31" s="75" t="s">
        <v>66</v>
      </c>
      <c r="C31" s="78">
        <v>102.4478</v>
      </c>
      <c r="D31" s="76"/>
      <c r="E31" s="77">
        <v>54</v>
      </c>
      <c r="F31" s="75" t="s">
        <v>125</v>
      </c>
      <c r="G31" s="78">
        <v>108.77510000000001</v>
      </c>
      <c r="H31" s="16"/>
      <c r="I31" s="77">
        <v>24</v>
      </c>
      <c r="J31" s="75" t="s">
        <v>66</v>
      </c>
      <c r="K31" s="78">
        <v>4.5</v>
      </c>
      <c r="L31" s="76"/>
      <c r="M31" s="77">
        <v>54</v>
      </c>
      <c r="N31" s="75" t="s">
        <v>125</v>
      </c>
      <c r="O31" s="78">
        <v>4.5</v>
      </c>
      <c r="P31" s="16"/>
      <c r="Q31" s="77">
        <v>24</v>
      </c>
      <c r="R31" s="75" t="s">
        <v>66</v>
      </c>
      <c r="S31" s="78">
        <v>1.5</v>
      </c>
      <c r="T31" s="76"/>
      <c r="U31" s="77">
        <v>54</v>
      </c>
      <c r="V31" s="75" t="s">
        <v>125</v>
      </c>
      <c r="W31" s="78">
        <v>2</v>
      </c>
      <c r="X31" s="16"/>
      <c r="Y31" s="77"/>
      <c r="Z31" s="75"/>
      <c r="AA31" s="78"/>
      <c r="AB31" s="76"/>
      <c r="AC31" s="75"/>
      <c r="AD31" s="75"/>
      <c r="AE31" s="75"/>
    </row>
    <row r="32" spans="1:31" ht="21.95" customHeight="1">
      <c r="A32" s="77">
        <v>25</v>
      </c>
      <c r="B32" s="75" t="s">
        <v>67</v>
      </c>
      <c r="C32" s="78">
        <v>82.034400000000019</v>
      </c>
      <c r="D32" s="76"/>
      <c r="E32" s="77">
        <v>55</v>
      </c>
      <c r="F32" s="75" t="s">
        <v>126</v>
      </c>
      <c r="G32" s="78">
        <v>94.681300000000007</v>
      </c>
      <c r="H32" s="16"/>
      <c r="I32" s="77">
        <v>25</v>
      </c>
      <c r="J32" s="75" t="s">
        <v>67</v>
      </c>
      <c r="K32" s="78">
        <v>4.5</v>
      </c>
      <c r="L32" s="76"/>
      <c r="M32" s="77">
        <v>55</v>
      </c>
      <c r="N32" s="75" t="s">
        <v>126</v>
      </c>
      <c r="O32" s="78">
        <v>4.5</v>
      </c>
      <c r="P32" s="16"/>
      <c r="Q32" s="77">
        <v>25</v>
      </c>
      <c r="R32" s="75" t="s">
        <v>67</v>
      </c>
      <c r="S32" s="78">
        <v>1.5</v>
      </c>
      <c r="T32" s="76"/>
      <c r="U32" s="77">
        <v>55</v>
      </c>
      <c r="V32" s="75" t="s">
        <v>126</v>
      </c>
      <c r="W32" s="78">
        <v>2</v>
      </c>
      <c r="X32" s="16"/>
      <c r="Y32" s="77"/>
      <c r="Z32" s="75"/>
      <c r="AA32" s="78"/>
      <c r="AB32" s="76"/>
      <c r="AC32" s="75"/>
      <c r="AD32" s="75"/>
      <c r="AE32" s="75"/>
    </row>
    <row r="33" spans="1:31" ht="21.95" customHeight="1">
      <c r="A33" s="77">
        <v>26</v>
      </c>
      <c r="B33" s="75" t="s">
        <v>68</v>
      </c>
      <c r="C33" s="78">
        <v>79.286900000000017</v>
      </c>
      <c r="D33" s="76"/>
      <c r="E33" s="77">
        <v>56</v>
      </c>
      <c r="F33" s="75" t="s">
        <v>127</v>
      </c>
      <c r="G33" s="78">
        <v>116.25670000000001</v>
      </c>
      <c r="H33" s="16"/>
      <c r="I33" s="77">
        <v>26</v>
      </c>
      <c r="J33" s="75" t="s">
        <v>68</v>
      </c>
      <c r="K33" s="78">
        <v>4.5</v>
      </c>
      <c r="L33" s="76"/>
      <c r="M33" s="77">
        <v>56</v>
      </c>
      <c r="N33" s="75" t="s">
        <v>127</v>
      </c>
      <c r="O33" s="78">
        <v>4.5</v>
      </c>
      <c r="P33" s="16"/>
      <c r="Q33" s="77">
        <v>26</v>
      </c>
      <c r="R33" s="75" t="s">
        <v>68</v>
      </c>
      <c r="S33" s="78">
        <v>1.5</v>
      </c>
      <c r="T33" s="76"/>
      <c r="U33" s="77">
        <v>56</v>
      </c>
      <c r="V33" s="75" t="s">
        <v>127</v>
      </c>
      <c r="W33" s="78">
        <v>2</v>
      </c>
      <c r="X33" s="16"/>
      <c r="Y33" s="77"/>
      <c r="Z33" s="75"/>
      <c r="AA33" s="78"/>
      <c r="AB33" s="76"/>
      <c r="AC33" s="75"/>
      <c r="AD33" s="75"/>
      <c r="AE33" s="75"/>
    </row>
    <row r="34" spans="1:31" ht="21.95" customHeight="1">
      <c r="A34" s="77">
        <v>27</v>
      </c>
      <c r="B34" s="75" t="s">
        <v>69</v>
      </c>
      <c r="C34" s="78">
        <v>78.843800000000002</v>
      </c>
      <c r="D34" s="76"/>
      <c r="E34" s="77">
        <v>57</v>
      </c>
      <c r="F34" s="75" t="s">
        <v>128</v>
      </c>
      <c r="G34" s="78">
        <v>72.914100000000019</v>
      </c>
      <c r="H34" s="16"/>
      <c r="I34" s="77">
        <v>27</v>
      </c>
      <c r="J34" s="75" t="s">
        <v>69</v>
      </c>
      <c r="K34" s="78">
        <v>4.5</v>
      </c>
      <c r="L34" s="76"/>
      <c r="M34" s="77">
        <v>57</v>
      </c>
      <c r="N34" s="75" t="s">
        <v>128</v>
      </c>
      <c r="O34" s="78">
        <v>4.5</v>
      </c>
      <c r="P34" s="16"/>
      <c r="Q34" s="77">
        <v>27</v>
      </c>
      <c r="R34" s="75" t="s">
        <v>69</v>
      </c>
      <c r="S34" s="78">
        <v>1.5</v>
      </c>
      <c r="T34" s="76"/>
      <c r="U34" s="77">
        <v>57</v>
      </c>
      <c r="V34" s="75" t="s">
        <v>128</v>
      </c>
      <c r="W34" s="78">
        <v>2</v>
      </c>
      <c r="X34" s="16"/>
      <c r="Y34" s="77"/>
      <c r="Z34" s="75"/>
      <c r="AA34" s="78"/>
      <c r="AB34" s="76"/>
      <c r="AC34" s="75"/>
      <c r="AD34" s="75"/>
      <c r="AE34" s="75"/>
    </row>
    <row r="35" spans="1:31" ht="21.95" customHeight="1">
      <c r="A35" s="77">
        <v>28</v>
      </c>
      <c r="B35" s="75" t="s">
        <v>70</v>
      </c>
      <c r="C35" s="78">
        <v>78.843800000000002</v>
      </c>
      <c r="D35" s="76"/>
      <c r="E35" s="77">
        <v>58</v>
      </c>
      <c r="F35" s="75" t="s">
        <v>129</v>
      </c>
      <c r="G35" s="78">
        <v>80.826900000000009</v>
      </c>
      <c r="H35" s="16"/>
      <c r="I35" s="77">
        <v>28</v>
      </c>
      <c r="J35" s="75" t="s">
        <v>70</v>
      </c>
      <c r="K35" s="78">
        <v>4.5</v>
      </c>
      <c r="L35" s="76"/>
      <c r="M35" s="77">
        <v>58</v>
      </c>
      <c r="N35" s="75" t="s">
        <v>129</v>
      </c>
      <c r="O35" s="78">
        <v>4.5</v>
      </c>
      <c r="P35" s="16"/>
      <c r="Q35" s="77">
        <v>28</v>
      </c>
      <c r="R35" s="75" t="s">
        <v>70</v>
      </c>
      <c r="S35" s="78">
        <v>1.5</v>
      </c>
      <c r="T35" s="76"/>
      <c r="U35" s="77">
        <v>58</v>
      </c>
      <c r="V35" s="75" t="s">
        <v>129</v>
      </c>
      <c r="W35" s="78">
        <v>2</v>
      </c>
      <c r="X35" s="16"/>
      <c r="Y35" s="77"/>
      <c r="Z35" s="75"/>
      <c r="AA35" s="78"/>
      <c r="AB35" s="76"/>
      <c r="AC35" s="75"/>
      <c r="AD35" s="75"/>
      <c r="AE35" s="75"/>
    </row>
    <row r="36" spans="1:31" ht="21.95" customHeight="1">
      <c r="A36" s="77">
        <v>29</v>
      </c>
      <c r="B36" s="75" t="s">
        <v>71</v>
      </c>
      <c r="C36" s="78">
        <v>72.914100000000019</v>
      </c>
      <c r="D36" s="76"/>
      <c r="E36" s="77">
        <v>59</v>
      </c>
      <c r="F36" s="75" t="s">
        <v>130</v>
      </c>
      <c r="G36" s="78">
        <v>116.25670000000001</v>
      </c>
      <c r="H36" s="16"/>
      <c r="I36" s="77">
        <v>29</v>
      </c>
      <c r="J36" s="75" t="s">
        <v>71</v>
      </c>
      <c r="K36" s="78">
        <v>4.5</v>
      </c>
      <c r="L36" s="76"/>
      <c r="M36" s="77">
        <v>59</v>
      </c>
      <c r="N36" s="75" t="s">
        <v>130</v>
      </c>
      <c r="O36" s="78">
        <v>4.5</v>
      </c>
      <c r="P36" s="16"/>
      <c r="Q36" s="77">
        <v>29</v>
      </c>
      <c r="R36" s="75" t="s">
        <v>71</v>
      </c>
      <c r="S36" s="78">
        <v>1.5</v>
      </c>
      <c r="T36" s="76"/>
      <c r="U36" s="77">
        <v>59</v>
      </c>
      <c r="V36" s="75" t="s">
        <v>130</v>
      </c>
      <c r="W36" s="78">
        <v>2</v>
      </c>
      <c r="X36" s="16"/>
      <c r="Y36" s="77"/>
      <c r="Z36" s="75"/>
      <c r="AA36" s="78"/>
      <c r="AB36" s="76"/>
      <c r="AC36" s="75"/>
      <c r="AD36" s="75"/>
      <c r="AE36" s="75"/>
    </row>
    <row r="37" spans="1:31" ht="21.95" customHeight="1">
      <c r="A37" s="77">
        <v>30</v>
      </c>
      <c r="B37" s="75" t="s">
        <v>72</v>
      </c>
      <c r="C37" s="78">
        <v>75.062399999999997</v>
      </c>
      <c r="D37" s="76"/>
      <c r="E37" s="77">
        <v>60</v>
      </c>
      <c r="F37" s="75" t="s">
        <v>131</v>
      </c>
      <c r="G37" s="78">
        <v>72.914100000000019</v>
      </c>
      <c r="H37" s="16"/>
      <c r="I37" s="77">
        <v>30</v>
      </c>
      <c r="J37" s="75" t="s">
        <v>72</v>
      </c>
      <c r="K37" s="78">
        <v>4.5</v>
      </c>
      <c r="L37" s="76"/>
      <c r="M37" s="77">
        <v>60</v>
      </c>
      <c r="N37" s="75" t="s">
        <v>131</v>
      </c>
      <c r="O37" s="78">
        <v>4.5</v>
      </c>
      <c r="P37" s="16"/>
      <c r="Q37" s="77">
        <v>30</v>
      </c>
      <c r="R37" s="75" t="s">
        <v>72</v>
      </c>
      <c r="S37" s="78">
        <v>1.5</v>
      </c>
      <c r="T37" s="76"/>
      <c r="U37" s="77">
        <v>60</v>
      </c>
      <c r="V37" s="75" t="s">
        <v>131</v>
      </c>
      <c r="W37" s="78">
        <v>1.5</v>
      </c>
      <c r="X37" s="16"/>
      <c r="Y37" s="77"/>
      <c r="Z37" s="75"/>
      <c r="AA37" s="78"/>
      <c r="AB37" s="76"/>
      <c r="AC37" s="75"/>
      <c r="AD37" s="75"/>
      <c r="AE37" s="75"/>
    </row>
    <row r="38" spans="1:31" ht="21.95" customHeight="1">
      <c r="A38" s="77"/>
      <c r="B38" s="75"/>
      <c r="C38" s="78"/>
      <c r="D38" s="76"/>
      <c r="E38" s="77">
        <v>61</v>
      </c>
      <c r="F38" s="75" t="s">
        <v>132</v>
      </c>
      <c r="G38" s="78">
        <v>80.826900000000009</v>
      </c>
      <c r="H38" s="16"/>
      <c r="I38" s="77"/>
      <c r="J38" s="75"/>
      <c r="K38" s="78"/>
      <c r="L38" s="76"/>
      <c r="M38" s="77">
        <v>61</v>
      </c>
      <c r="N38" s="75" t="s">
        <v>132</v>
      </c>
      <c r="O38" s="78">
        <v>4.5</v>
      </c>
      <c r="P38" s="16"/>
      <c r="Q38" s="77"/>
      <c r="R38" s="75"/>
      <c r="S38" s="78"/>
      <c r="T38" s="76"/>
      <c r="U38" s="77">
        <v>61</v>
      </c>
      <c r="V38" s="75" t="s">
        <v>132</v>
      </c>
      <c r="W38" s="78">
        <v>1.5</v>
      </c>
      <c r="X38" s="16"/>
      <c r="Y38" s="77"/>
      <c r="Z38" s="75"/>
      <c r="AA38" s="78"/>
      <c r="AB38" s="76"/>
      <c r="AC38" s="75"/>
      <c r="AD38" s="75"/>
      <c r="AE38" s="75"/>
    </row>
    <row r="39" spans="1:31" ht="21.95" customHeight="1">
      <c r="A39" s="38"/>
      <c r="B39" s="38"/>
      <c r="C39" s="79">
        <f>SUM(C8:C37)</f>
        <v>3173.1980000000008</v>
      </c>
      <c r="D39" s="38"/>
      <c r="E39" s="38"/>
      <c r="F39" s="38"/>
      <c r="G39" s="79">
        <f>SUM(G8:G38)</f>
        <v>3207.9200999999998</v>
      </c>
      <c r="H39" s="16"/>
      <c r="I39" s="16"/>
      <c r="J39" s="16"/>
      <c r="K39" s="80">
        <f>SUM(K8:K38)</f>
        <v>135</v>
      </c>
      <c r="L39" s="81"/>
      <c r="M39" s="82"/>
      <c r="N39" s="82"/>
      <c r="O39" s="80">
        <f>SUM(O8:O38)</f>
        <v>139.5</v>
      </c>
      <c r="P39" s="16"/>
      <c r="Q39" s="38"/>
      <c r="R39" s="38"/>
      <c r="S39" s="79">
        <f>SUM(S8:S37)</f>
        <v>55</v>
      </c>
      <c r="T39" s="38"/>
      <c r="U39" s="38"/>
      <c r="V39" s="38"/>
      <c r="W39" s="79">
        <f>SUM(W8:W38)</f>
        <v>59</v>
      </c>
      <c r="X39" s="16"/>
      <c r="Y39" s="38"/>
      <c r="Z39" s="38"/>
      <c r="AA39" s="79">
        <f>SUM(AA8:AA37)</f>
        <v>21</v>
      </c>
      <c r="AB39" s="38"/>
      <c r="AC39" s="38"/>
      <c r="AD39" s="38"/>
      <c r="AE39" s="81">
        <f>SUM(AE8:AE38)</f>
        <v>0</v>
      </c>
    </row>
    <row r="40" spans="1:31" ht="21.95" customHeight="1">
      <c r="A40" s="304" t="s">
        <v>254</v>
      </c>
      <c r="B40" s="305"/>
      <c r="C40" s="83"/>
      <c r="D40" s="16"/>
      <c r="E40" s="16"/>
      <c r="F40" s="16"/>
      <c r="G40" s="78">
        <f>C39+G39</f>
        <v>6381.1181000000006</v>
      </c>
      <c r="H40" s="16"/>
      <c r="I40" s="304" t="s">
        <v>193</v>
      </c>
      <c r="J40" s="305"/>
      <c r="K40" s="86"/>
      <c r="L40" s="16"/>
      <c r="M40" s="16"/>
      <c r="N40" s="16"/>
      <c r="O40" s="78">
        <f>K39+O39</f>
        <v>274.5</v>
      </c>
      <c r="P40" s="16"/>
      <c r="Q40" s="304" t="s">
        <v>254</v>
      </c>
      <c r="R40" s="305"/>
      <c r="S40" s="83"/>
      <c r="T40" s="16"/>
      <c r="U40" s="16"/>
      <c r="V40" s="16"/>
      <c r="W40" s="78">
        <f>S39+W39</f>
        <v>114</v>
      </c>
      <c r="X40" s="16"/>
      <c r="Y40" s="304" t="s">
        <v>254</v>
      </c>
      <c r="Z40" s="305"/>
      <c r="AA40" s="83"/>
      <c r="AB40" s="16"/>
      <c r="AC40" s="16"/>
      <c r="AD40" s="16"/>
      <c r="AE40" s="78">
        <f>AA39+AE39</f>
        <v>21</v>
      </c>
    </row>
  </sheetData>
  <mergeCells count="8">
    <mergeCell ref="H5:O5"/>
    <mergeCell ref="P5:W5"/>
    <mergeCell ref="X5:AE5"/>
    <mergeCell ref="A5:G5"/>
    <mergeCell ref="A40:B40"/>
    <mergeCell ref="Q40:R40"/>
    <mergeCell ref="Y40:Z40"/>
    <mergeCell ref="I40:J40"/>
  </mergeCells>
  <printOptions horizontalCentered="1"/>
  <pageMargins left="0" right="0" top="0.25" bottom="0" header="0.3" footer="0.3"/>
  <pageSetup scale="88" orientation="portrait" r:id="rId1"/>
  <colBreaks count="3" manualBreakCount="3">
    <brk id="7" max="1048575" man="1"/>
    <brk id="15" max="1048575" man="1"/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اعدادى</vt:lpstr>
      <vt:lpstr>اعدادى 1</vt:lpstr>
      <vt:lpstr>ثانوى1</vt:lpstr>
      <vt:lpstr>بنك</vt:lpstr>
      <vt:lpstr>خلفية (3)</vt:lpstr>
      <vt:lpstr>خلفية بنك</vt:lpstr>
      <vt:lpstr>مفردات مدرس</vt:lpstr>
      <vt:lpstr>مفردات إدارى</vt:lpstr>
      <vt:lpstr>بيان استقطاعات</vt:lpstr>
      <vt:lpstr>استقطاعات 2</vt:lpstr>
      <vt:lpstr>Sheet1</vt:lpstr>
      <vt:lpstr>Sheet2</vt:lpstr>
      <vt:lpstr>Sheet1!Print_Area</vt:lpstr>
      <vt:lpstr>'استقطاعات 2'!Print_Area</vt:lpstr>
      <vt:lpstr>اعدادى!Print_Area</vt:lpstr>
      <vt:lpstr>'اعدادى 1'!Print_Area</vt:lpstr>
      <vt:lpstr>بنك!Print_Area</vt:lpstr>
      <vt:lpstr>ثانوى1!Print_Area</vt:lpstr>
      <vt:lpstr>'خلفية (3)'!Print_Area</vt:lpstr>
      <vt:lpstr>'خلفية بنك'!Print_Area</vt:lpstr>
      <vt:lpstr>'مفردات إدارى'!Print_Area</vt:lpstr>
      <vt:lpstr>'مفردات مدرس'!Print_Area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</dc:creator>
  <cp:lastModifiedBy>man</cp:lastModifiedBy>
  <cp:lastPrinted>2021-10-03T21:52:36Z</cp:lastPrinted>
  <dcterms:created xsi:type="dcterms:W3CDTF">2021-09-16T07:05:03Z</dcterms:created>
  <dcterms:modified xsi:type="dcterms:W3CDTF">2021-10-05T00:07:01Z</dcterms:modified>
</cp:coreProperties>
</file>