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a.abualmagd\Desktop\Auther\"/>
    </mc:Choice>
  </mc:AlternateContent>
  <xr:revisionPtr revIDLastSave="0" documentId="13_ncr:1_{FA094D1D-5E85-4EFA-B89E-8C613B75EFD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mployee" sheetId="2" r:id="rId1"/>
  </sheets>
  <externalReferences>
    <externalReference r:id="rId2"/>
  </externalReferences>
  <definedNames>
    <definedName name="_xlnm._FilterDatabase" localSheetId="0" hidden="1">Employee!$A$2:$AI$127</definedName>
    <definedName name="Excel_BuiltIn__FilterDatabase" localSheetId="0">Employee!$A$2:$V$127</definedName>
    <definedName name="Excel_BuiltIn_Print_Titles" localSheetId="0">Employee!$2:$2</definedName>
    <definedName name="_xlnm.Print_Titles" localSheetId="0">Employee!$2:$2</definedName>
    <definedName name="المبلغ_الإجمالي_للبقالة">'[1]العمليات الحسابية'!$L$4</definedName>
    <definedName name="رمز_الإرساء_للجدول">#REF!</definedName>
    <definedName name="عنوان_العمود_1">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V10" i="2" l="1"/>
  <c r="V126" i="2"/>
  <c r="V125" i="2"/>
  <c r="V124" i="2"/>
  <c r="V123" i="2"/>
  <c r="V122" i="2"/>
  <c r="V121" i="2"/>
  <c r="V120" i="2"/>
  <c r="V119" i="2"/>
  <c r="V118" i="2"/>
  <c r="V117" i="2"/>
  <c r="V116" i="2"/>
  <c r="V115" i="2"/>
  <c r="V114" i="2"/>
  <c r="V113" i="2"/>
  <c r="V112" i="2"/>
  <c r="V111" i="2"/>
  <c r="V110" i="2"/>
  <c r="V109" i="2"/>
  <c r="V108" i="2"/>
  <c r="V107" i="2"/>
  <c r="V106" i="2"/>
  <c r="V105" i="2"/>
  <c r="V104" i="2"/>
  <c r="V103" i="2"/>
  <c r="V102" i="2"/>
  <c r="V101" i="2"/>
  <c r="V100" i="2"/>
  <c r="V99" i="2"/>
  <c r="V98" i="2"/>
  <c r="V97" i="2"/>
  <c r="V96" i="2"/>
  <c r="V95" i="2"/>
  <c r="V94" i="2"/>
  <c r="V93" i="2"/>
  <c r="V92" i="2"/>
  <c r="V91" i="2"/>
  <c r="V90" i="2"/>
  <c r="V89" i="2"/>
  <c r="V88" i="2"/>
  <c r="V87" i="2"/>
  <c r="V86" i="2"/>
  <c r="V85" i="2"/>
  <c r="V84" i="2"/>
  <c r="V83" i="2"/>
  <c r="V82" i="2"/>
  <c r="V81" i="2"/>
  <c r="V80" i="2"/>
  <c r="V79" i="2"/>
  <c r="V78" i="2"/>
  <c r="V77" i="2"/>
  <c r="V76" i="2"/>
  <c r="V75" i="2"/>
  <c r="V74" i="2"/>
  <c r="V73" i="2"/>
  <c r="V72" i="2"/>
  <c r="V71" i="2"/>
  <c r="V70" i="2"/>
  <c r="V69" i="2"/>
  <c r="V68" i="2"/>
  <c r="V67" i="2"/>
  <c r="V66" i="2"/>
  <c r="V65" i="2"/>
  <c r="V64" i="2"/>
  <c r="V63" i="2"/>
  <c r="V62" i="2"/>
  <c r="V61" i="2"/>
  <c r="V60" i="2"/>
  <c r="V59" i="2"/>
  <c r="V58" i="2"/>
  <c r="V57" i="2"/>
  <c r="V56" i="2"/>
  <c r="V55" i="2"/>
  <c r="V54" i="2"/>
  <c r="V53" i="2"/>
  <c r="V52" i="2"/>
  <c r="V51" i="2"/>
  <c r="V50" i="2"/>
  <c r="V49" i="2"/>
  <c r="V48" i="2"/>
  <c r="V47" i="2"/>
  <c r="V46" i="2"/>
  <c r="V45" i="2"/>
  <c r="V44" i="2"/>
  <c r="V43" i="2"/>
  <c r="V42" i="2"/>
  <c r="V41" i="2"/>
  <c r="V40" i="2"/>
  <c r="V39" i="2"/>
  <c r="V38" i="2"/>
  <c r="V37" i="2"/>
  <c r="V36" i="2"/>
  <c r="V35" i="2"/>
  <c r="V34" i="2"/>
  <c r="V33" i="2"/>
  <c r="V32" i="2"/>
  <c r="V31" i="2"/>
  <c r="V30" i="2"/>
  <c r="V29" i="2"/>
  <c r="V28" i="2"/>
  <c r="V27" i="2"/>
  <c r="V26" i="2"/>
  <c r="V25" i="2"/>
  <c r="V24" i="2"/>
  <c r="V23" i="2"/>
  <c r="V22" i="2"/>
  <c r="V21" i="2"/>
  <c r="V20" i="2"/>
  <c r="V19" i="2"/>
  <c r="V18" i="2"/>
  <c r="V17" i="2"/>
  <c r="V16" i="2"/>
  <c r="V15" i="2"/>
  <c r="V14" i="2"/>
  <c r="V13" i="2"/>
  <c r="V12" i="2"/>
  <c r="V11" i="2"/>
  <c r="V9" i="2"/>
  <c r="V8" i="2"/>
  <c r="V7" i="2"/>
  <c r="V6" i="2"/>
  <c r="V5" i="2"/>
  <c r="V4" i="2"/>
  <c r="V3" i="2"/>
  <c r="R4" i="2"/>
  <c r="Q126" i="2"/>
  <c r="Q125" i="2"/>
  <c r="Q124" i="2"/>
  <c r="Q123" i="2"/>
  <c r="Q122" i="2"/>
  <c r="Q121" i="2"/>
  <c r="Q120" i="2"/>
  <c r="Q119" i="2"/>
  <c r="Q118" i="2"/>
  <c r="Q117" i="2"/>
  <c r="Q116" i="2"/>
  <c r="Q115" i="2"/>
  <c r="Q114" i="2"/>
  <c r="Q113" i="2"/>
  <c r="Q112" i="2"/>
  <c r="Q111" i="2"/>
  <c r="Q110" i="2"/>
  <c r="Q109" i="2"/>
  <c r="Q108" i="2"/>
  <c r="Q107" i="2"/>
  <c r="Q106" i="2"/>
  <c r="Q105" i="2"/>
  <c r="Q104" i="2"/>
  <c r="Q103" i="2"/>
  <c r="Q102" i="2"/>
  <c r="Q101" i="2"/>
  <c r="Q100" i="2"/>
  <c r="Q99" i="2"/>
  <c r="Q98" i="2"/>
  <c r="Q97" i="2"/>
  <c r="Q96" i="2"/>
  <c r="Q95" i="2"/>
  <c r="Q94" i="2"/>
  <c r="Q93" i="2"/>
  <c r="Q92" i="2"/>
  <c r="Q91" i="2"/>
  <c r="Q90" i="2"/>
  <c r="Q89" i="2"/>
  <c r="Q88" i="2"/>
  <c r="Q87" i="2"/>
  <c r="Q86" i="2"/>
  <c r="Q85" i="2"/>
  <c r="Q84" i="2"/>
  <c r="Q83" i="2"/>
  <c r="Q82" i="2"/>
  <c r="Q81" i="2"/>
  <c r="Q80" i="2"/>
  <c r="Q79" i="2"/>
  <c r="Q78" i="2"/>
  <c r="Q77" i="2"/>
  <c r="Q76" i="2"/>
  <c r="Q75" i="2"/>
  <c r="Q74" i="2"/>
  <c r="Q73" i="2"/>
  <c r="Q72" i="2"/>
  <c r="Q71" i="2"/>
  <c r="Q70" i="2"/>
  <c r="Q69" i="2"/>
  <c r="Q68" i="2"/>
  <c r="Q67" i="2"/>
  <c r="Q66" i="2"/>
  <c r="Q65" i="2"/>
  <c r="Q64" i="2"/>
  <c r="Q63" i="2"/>
  <c r="Q62" i="2"/>
  <c r="Q61" i="2"/>
  <c r="Q60" i="2"/>
  <c r="Q59" i="2"/>
  <c r="Q58" i="2"/>
  <c r="Q57" i="2"/>
  <c r="Q56" i="2"/>
  <c r="Q55" i="2"/>
  <c r="Q54" i="2"/>
  <c r="Q53" i="2"/>
  <c r="Q52" i="2"/>
  <c r="Q51" i="2"/>
  <c r="Q50" i="2"/>
  <c r="Q49" i="2"/>
  <c r="Q48" i="2"/>
  <c r="Q47" i="2"/>
  <c r="Q46" i="2"/>
  <c r="Q45" i="2"/>
  <c r="Q44" i="2"/>
  <c r="Q43" i="2"/>
  <c r="Q42" i="2"/>
  <c r="Q41" i="2"/>
  <c r="Q40" i="2"/>
  <c r="Q39" i="2"/>
  <c r="Q38" i="2"/>
  <c r="Q37" i="2"/>
  <c r="Q36" i="2"/>
  <c r="Q35" i="2"/>
  <c r="Q34" i="2"/>
  <c r="Q33" i="2"/>
  <c r="Q32" i="2"/>
  <c r="Q31" i="2"/>
  <c r="Q30" i="2"/>
  <c r="Q29" i="2"/>
  <c r="Q28" i="2"/>
  <c r="Q27" i="2"/>
  <c r="Q26" i="2"/>
  <c r="Q25" i="2"/>
  <c r="Q24" i="2"/>
  <c r="Q23" i="2"/>
  <c r="Q22" i="2"/>
  <c r="Q21" i="2"/>
  <c r="Q20" i="2"/>
  <c r="Q19" i="2"/>
  <c r="Q18" i="2"/>
  <c r="Q17" i="2"/>
  <c r="Q16" i="2"/>
  <c r="Q15" i="2"/>
  <c r="Q14" i="2"/>
  <c r="Q13" i="2"/>
  <c r="Q12" i="2"/>
  <c r="Q11" i="2"/>
  <c r="Q10" i="2"/>
  <c r="Q9" i="2"/>
  <c r="Q8" i="2"/>
  <c r="Q7" i="2"/>
  <c r="Q6" i="2"/>
  <c r="Q5" i="2"/>
  <c r="Q4" i="2"/>
  <c r="Q3" i="2"/>
  <c r="K121" i="2" l="1"/>
  <c r="K122" i="2"/>
  <c r="K123" i="2"/>
  <c r="K124" i="2"/>
  <c r="K125" i="2"/>
  <c r="K126" i="2"/>
  <c r="A122" i="2" l="1"/>
  <c r="S122" i="2"/>
  <c r="R122" i="2"/>
  <c r="T122" i="2" s="1"/>
  <c r="X122" i="2"/>
  <c r="W122" i="2"/>
  <c r="Z122" i="2" s="1"/>
  <c r="AA122" i="2" l="1"/>
  <c r="Y122" i="2"/>
  <c r="AB122" i="2" s="1"/>
  <c r="U122" i="2"/>
  <c r="AC122" i="2" s="1"/>
  <c r="W120" i="2"/>
  <c r="Z120" i="2" s="1"/>
  <c r="R120" i="2"/>
  <c r="U120" i="2" s="1"/>
  <c r="K120" i="2"/>
  <c r="A120" i="2"/>
  <c r="A121" i="2"/>
  <c r="S121" i="2"/>
  <c r="R121" i="2"/>
  <c r="T121" i="2" s="1"/>
  <c r="X121" i="2"/>
  <c r="W121" i="2"/>
  <c r="Y121" i="2" s="1"/>
  <c r="A123" i="2"/>
  <c r="R123" i="2"/>
  <c r="X123" i="2"/>
  <c r="W123" i="2"/>
  <c r="Y123" i="2" s="1"/>
  <c r="A124" i="2"/>
  <c r="R124" i="2"/>
  <c r="U124" i="2" s="1"/>
  <c r="X124" i="2"/>
  <c r="W124" i="2"/>
  <c r="Y124" i="2" s="1"/>
  <c r="A125" i="2"/>
  <c r="S125" i="2"/>
  <c r="R125" i="2"/>
  <c r="T125" i="2" s="1"/>
  <c r="X125" i="2"/>
  <c r="W125" i="2"/>
  <c r="Y125" i="2" s="1"/>
  <c r="A126" i="2"/>
  <c r="R126" i="2"/>
  <c r="U126" i="2" s="1"/>
  <c r="X126" i="2"/>
  <c r="W126" i="2"/>
  <c r="Z126" i="2" s="1"/>
  <c r="S120" i="2" l="1"/>
  <c r="X120" i="2"/>
  <c r="Y126" i="2"/>
  <c r="Z123" i="2"/>
  <c r="AC126" i="2"/>
  <c r="Z121" i="2"/>
  <c r="Y120" i="2"/>
  <c r="AA125" i="2"/>
  <c r="AB123" i="2"/>
  <c r="AB124" i="2"/>
  <c r="AA123" i="2"/>
  <c r="Z125" i="2"/>
  <c r="AC120" i="2"/>
  <c r="T120" i="2"/>
  <c r="AB125" i="2"/>
  <c r="AA126" i="2"/>
  <c r="U125" i="2"/>
  <c r="Z124" i="2"/>
  <c r="AC124" i="2" s="1"/>
  <c r="U123" i="2"/>
  <c r="AB121" i="2"/>
  <c r="AA121" i="2"/>
  <c r="AA124" i="2"/>
  <c r="U121" i="2"/>
  <c r="AC121" i="2" l="1"/>
  <c r="AC123" i="2"/>
  <c r="AB126" i="2"/>
  <c r="AA120" i="2"/>
  <c r="AB120" i="2"/>
  <c r="AC125" i="2"/>
  <c r="A105" i="2" l="1"/>
  <c r="K105" i="2"/>
  <c r="S105" i="2" s="1"/>
  <c r="R105" i="2"/>
  <c r="W105" i="2"/>
  <c r="Z105" i="2" s="1"/>
  <c r="T105" i="2" l="1"/>
  <c r="U105" i="2"/>
  <c r="AC105" i="2" s="1"/>
  <c r="Y105" i="2"/>
  <c r="X105" i="2"/>
  <c r="AA105" i="2" s="1"/>
  <c r="AB105" i="2" l="1"/>
  <c r="A33" i="2"/>
  <c r="R66" i="2" l="1"/>
  <c r="U66" i="2" s="1"/>
  <c r="W66" i="2"/>
  <c r="Z66" i="2" s="1"/>
  <c r="R95" i="2"/>
  <c r="W95" i="2"/>
  <c r="Z95" i="2" s="1"/>
  <c r="R3" i="2"/>
  <c r="U3" i="2" s="1"/>
  <c r="W3" i="2"/>
  <c r="Z3" i="2" s="1"/>
  <c r="R114" i="2"/>
  <c r="W114" i="2"/>
  <c r="Z114" i="2" s="1"/>
  <c r="R82" i="2"/>
  <c r="W82" i="2"/>
  <c r="R116" i="2"/>
  <c r="W116" i="2"/>
  <c r="R58" i="2"/>
  <c r="W58" i="2"/>
  <c r="Z58" i="2" s="1"/>
  <c r="R43" i="2"/>
  <c r="W43" i="2"/>
  <c r="Z43" i="2" s="1"/>
  <c r="R65" i="2"/>
  <c r="W65" i="2"/>
  <c r="R76" i="2"/>
  <c r="W76" i="2"/>
  <c r="Z76" i="2" s="1"/>
  <c r="R79" i="2"/>
  <c r="U79" i="2" s="1"/>
  <c r="W79" i="2"/>
  <c r="Z79" i="2" s="1"/>
  <c r="R85" i="2"/>
  <c r="W85" i="2"/>
  <c r="Z85" i="2" s="1"/>
  <c r="R80" i="2"/>
  <c r="W80" i="2"/>
  <c r="R94" i="2"/>
  <c r="W94" i="2"/>
  <c r="R111" i="2"/>
  <c r="U111" i="2" s="1"/>
  <c r="W111" i="2"/>
  <c r="Z111" i="2" s="1"/>
  <c r="R113" i="2"/>
  <c r="W113" i="2"/>
  <c r="Z113" i="2" s="1"/>
  <c r="R117" i="2"/>
  <c r="W117" i="2"/>
  <c r="R5" i="2"/>
  <c r="W5" i="2"/>
  <c r="R37" i="2"/>
  <c r="W37" i="2"/>
  <c r="R41" i="2"/>
  <c r="W41" i="2"/>
  <c r="R61" i="2"/>
  <c r="W61" i="2"/>
  <c r="Z61" i="2" s="1"/>
  <c r="R63" i="2"/>
  <c r="W63" i="2"/>
  <c r="Z63" i="2" s="1"/>
  <c r="R88" i="2"/>
  <c r="W88" i="2"/>
  <c r="Z88" i="2" s="1"/>
  <c r="R90" i="2"/>
  <c r="W90" i="2"/>
  <c r="Z90" i="2" s="1"/>
  <c r="R115" i="2"/>
  <c r="W115" i="2"/>
  <c r="Z115" i="2" s="1"/>
  <c r="W4" i="2"/>
  <c r="R28" i="2"/>
  <c r="W28" i="2"/>
  <c r="R72" i="2"/>
  <c r="U72" i="2" s="1"/>
  <c r="W72" i="2"/>
  <c r="R97" i="2"/>
  <c r="W97" i="2"/>
  <c r="Z97" i="2" s="1"/>
  <c r="R89" i="2"/>
  <c r="W89" i="2"/>
  <c r="Z89" i="2" s="1"/>
  <c r="R101" i="2"/>
  <c r="W101" i="2"/>
  <c r="Z101" i="2" s="1"/>
  <c r="R103" i="2"/>
  <c r="W103" i="2"/>
  <c r="R109" i="2"/>
  <c r="W109" i="2"/>
  <c r="R119" i="2"/>
  <c r="W119" i="2"/>
  <c r="Z119" i="2" s="1"/>
  <c r="R15" i="2"/>
  <c r="U15" i="2" s="1"/>
  <c r="W15" i="2"/>
  <c r="Z15" i="2" s="1"/>
  <c r="R38" i="2"/>
  <c r="W38" i="2"/>
  <c r="Z38" i="2" s="1"/>
  <c r="R11" i="2"/>
  <c r="U11" i="2" s="1"/>
  <c r="W11" i="2"/>
  <c r="Z11" i="2" s="1"/>
  <c r="R39" i="2"/>
  <c r="W39" i="2"/>
  <c r="R45" i="2"/>
  <c r="U45" i="2" s="1"/>
  <c r="W45" i="2"/>
  <c r="Z45" i="2" s="1"/>
  <c r="R10" i="2"/>
  <c r="W10" i="2"/>
  <c r="R47" i="2"/>
  <c r="W47" i="2"/>
  <c r="Z47" i="2" s="1"/>
  <c r="R59" i="2"/>
  <c r="U59" i="2" s="1"/>
  <c r="W59" i="2"/>
  <c r="Z59" i="2" s="1"/>
  <c r="R60" i="2"/>
  <c r="W60" i="2"/>
  <c r="Z60" i="2" s="1"/>
  <c r="R69" i="2"/>
  <c r="U69" i="2" s="1"/>
  <c r="W69" i="2"/>
  <c r="Z69" i="2" s="1"/>
  <c r="R70" i="2"/>
  <c r="W70" i="2"/>
  <c r="R78" i="2"/>
  <c r="U78" i="2" s="1"/>
  <c r="W78" i="2"/>
  <c r="R87" i="2"/>
  <c r="W87" i="2"/>
  <c r="R81" i="2"/>
  <c r="W81" i="2"/>
  <c r="Z81" i="2" s="1"/>
  <c r="R6" i="2"/>
  <c r="W6" i="2"/>
  <c r="Z6" i="2" s="1"/>
  <c r="R17" i="2"/>
  <c r="W17" i="2"/>
  <c r="Z17" i="2" s="1"/>
  <c r="R26" i="2"/>
  <c r="U26" i="2" s="1"/>
  <c r="W26" i="2"/>
  <c r="Z26" i="2" s="1"/>
  <c r="R40" i="2"/>
  <c r="U40" i="2" s="1"/>
  <c r="W40" i="2"/>
  <c r="Z40" i="2" s="1"/>
  <c r="R112" i="2"/>
  <c r="U112" i="2" s="1"/>
  <c r="W112" i="2"/>
  <c r="R51" i="2"/>
  <c r="U51" i="2" s="1"/>
  <c r="W51" i="2"/>
  <c r="Z51" i="2" s="1"/>
  <c r="R52" i="2"/>
  <c r="U52" i="2" s="1"/>
  <c r="W52" i="2"/>
  <c r="R68" i="2"/>
  <c r="U68" i="2" s="1"/>
  <c r="W68" i="2"/>
  <c r="R91" i="2"/>
  <c r="U91" i="2" s="1"/>
  <c r="W91" i="2"/>
  <c r="R98" i="2"/>
  <c r="W98" i="2"/>
  <c r="R104" i="2"/>
  <c r="W104" i="2"/>
  <c r="R42" i="2"/>
  <c r="U42" i="2" s="1"/>
  <c r="W42" i="2"/>
  <c r="Z42" i="2" s="1"/>
  <c r="R36" i="2"/>
  <c r="W36" i="2"/>
  <c r="Z36" i="2" s="1"/>
  <c r="R24" i="2"/>
  <c r="U24" i="2" s="1"/>
  <c r="W24" i="2"/>
  <c r="Z24" i="2" s="1"/>
  <c r="R44" i="2"/>
  <c r="U44" i="2" s="1"/>
  <c r="W44" i="2"/>
  <c r="R9" i="2"/>
  <c r="U9" i="2" s="1"/>
  <c r="W9" i="2"/>
  <c r="Z9" i="2" s="1"/>
  <c r="R110" i="2"/>
  <c r="W110" i="2"/>
  <c r="R16" i="2"/>
  <c r="W16" i="2"/>
  <c r="Z16" i="2" s="1"/>
  <c r="R46" i="2"/>
  <c r="U46" i="2" s="1"/>
  <c r="W46" i="2"/>
  <c r="Z46" i="2" s="1"/>
  <c r="R107" i="2"/>
  <c r="U107" i="2" s="1"/>
  <c r="W107" i="2"/>
  <c r="R102" i="2"/>
  <c r="W102" i="2"/>
  <c r="R74" i="2"/>
  <c r="U74" i="2" s="1"/>
  <c r="W74" i="2"/>
  <c r="R56" i="2"/>
  <c r="U56" i="2" s="1"/>
  <c r="W56" i="2"/>
  <c r="Z56" i="2" s="1"/>
  <c r="R92" i="2"/>
  <c r="W92" i="2"/>
  <c r="R22" i="2"/>
  <c r="U22" i="2" s="1"/>
  <c r="W22" i="2"/>
  <c r="Z22" i="2" s="1"/>
  <c r="R86" i="2"/>
  <c r="U86" i="2" s="1"/>
  <c r="W86" i="2"/>
  <c r="R83" i="2"/>
  <c r="W83" i="2"/>
  <c r="R67" i="2"/>
  <c r="W67" i="2"/>
  <c r="Z67" i="2" s="1"/>
  <c r="R62" i="2"/>
  <c r="U62" i="2" s="1"/>
  <c r="W62" i="2"/>
  <c r="R64" i="2"/>
  <c r="U64" i="2" s="1"/>
  <c r="W64" i="2"/>
  <c r="Z64" i="2" s="1"/>
  <c r="R20" i="2"/>
  <c r="W20" i="2"/>
  <c r="R54" i="2"/>
  <c r="W54" i="2"/>
  <c r="R100" i="2"/>
  <c r="W100" i="2"/>
  <c r="R75" i="2"/>
  <c r="W75" i="2"/>
  <c r="R21" i="2"/>
  <c r="U21" i="2" s="1"/>
  <c r="W21" i="2"/>
  <c r="Z21" i="2" s="1"/>
  <c r="R106" i="2"/>
  <c r="W106" i="2"/>
  <c r="R12" i="2"/>
  <c r="W12" i="2"/>
  <c r="Z12" i="2" s="1"/>
  <c r="R71" i="2"/>
  <c r="W71" i="2"/>
  <c r="R30" i="2"/>
  <c r="U30" i="2" s="1"/>
  <c r="W30" i="2"/>
  <c r="Z30" i="2" s="1"/>
  <c r="R13" i="2"/>
  <c r="W13" i="2"/>
  <c r="Z13" i="2" s="1"/>
  <c r="R27" i="2"/>
  <c r="U27" i="2" s="1"/>
  <c r="W27" i="2"/>
  <c r="Z27" i="2" s="1"/>
  <c r="R7" i="2"/>
  <c r="W7" i="2"/>
  <c r="Z7" i="2" s="1"/>
  <c r="R57" i="2"/>
  <c r="U57" i="2" s="1"/>
  <c r="W57" i="2"/>
  <c r="Z57" i="2" s="1"/>
  <c r="R108" i="2"/>
  <c r="U108" i="2" s="1"/>
  <c r="W108" i="2"/>
  <c r="R93" i="2"/>
  <c r="U93" i="2" s="1"/>
  <c r="W93" i="2"/>
  <c r="R73" i="2"/>
  <c r="W73" i="2"/>
  <c r="Z73" i="2" s="1"/>
  <c r="R14" i="2"/>
  <c r="U14" i="2" s="1"/>
  <c r="W14" i="2"/>
  <c r="Z14" i="2" s="1"/>
  <c r="R99" i="2"/>
  <c r="U99" i="2" s="1"/>
  <c r="W99" i="2"/>
  <c r="Z99" i="2" s="1"/>
  <c r="R23" i="2"/>
  <c r="U23" i="2" s="1"/>
  <c r="W23" i="2"/>
  <c r="Z23" i="2" s="1"/>
  <c r="R48" i="2"/>
  <c r="U48" i="2" s="1"/>
  <c r="W48" i="2"/>
  <c r="Z48" i="2" s="1"/>
  <c r="R49" i="2"/>
  <c r="U49" i="2" s="1"/>
  <c r="W49" i="2"/>
  <c r="R84" i="2"/>
  <c r="U84" i="2" s="1"/>
  <c r="W84" i="2"/>
  <c r="Z84" i="2" s="1"/>
  <c r="R31" i="2"/>
  <c r="U31" i="2" s="1"/>
  <c r="W31" i="2"/>
  <c r="R77" i="2"/>
  <c r="W77" i="2"/>
  <c r="Z77" i="2" s="1"/>
  <c r="R35" i="2"/>
  <c r="U35" i="2" s="1"/>
  <c r="W35" i="2"/>
  <c r="Z35" i="2" s="1"/>
  <c r="R118" i="2"/>
  <c r="U118" i="2" s="1"/>
  <c r="W118" i="2"/>
  <c r="Z118" i="2" s="1"/>
  <c r="R32" i="2"/>
  <c r="U32" i="2" s="1"/>
  <c r="W32" i="2"/>
  <c r="Z32" i="2" s="1"/>
  <c r="R18" i="2"/>
  <c r="U18" i="2" s="1"/>
  <c r="W18" i="2"/>
  <c r="Z18" i="2" s="1"/>
  <c r="R55" i="2"/>
  <c r="U55" i="2" s="1"/>
  <c r="W55" i="2"/>
  <c r="R50" i="2"/>
  <c r="U50" i="2" s="1"/>
  <c r="W50" i="2"/>
  <c r="R8" i="2"/>
  <c r="U8" i="2" s="1"/>
  <c r="W8" i="2"/>
  <c r="R96" i="2"/>
  <c r="W96" i="2"/>
  <c r="Z96" i="2" s="1"/>
  <c r="R53" i="2"/>
  <c r="U53" i="2" s="1"/>
  <c r="W53" i="2"/>
  <c r="Z53" i="2" s="1"/>
  <c r="R34" i="2"/>
  <c r="U34" i="2" s="1"/>
  <c r="W34" i="2"/>
  <c r="Z34" i="2" s="1"/>
  <c r="R29" i="2"/>
  <c r="U29" i="2" s="1"/>
  <c r="W29" i="2"/>
  <c r="R25" i="2"/>
  <c r="W25" i="2"/>
  <c r="Z25" i="2" s="1"/>
  <c r="R33" i="2"/>
  <c r="U33" i="2" s="1"/>
  <c r="W33" i="2"/>
  <c r="W19" i="2"/>
  <c r="Z19" i="2" s="1"/>
  <c r="R19" i="2"/>
  <c r="U19" i="2" s="1"/>
  <c r="Z5" i="2" l="1"/>
  <c r="U58" i="2"/>
  <c r="U116" i="2"/>
  <c r="U104" i="2"/>
  <c r="U90" i="2"/>
  <c r="U88" i="2"/>
  <c r="U5" i="2"/>
  <c r="U113" i="2"/>
  <c r="U76" i="2"/>
  <c r="U117" i="2"/>
  <c r="U10" i="2"/>
  <c r="K10" i="2"/>
  <c r="U36" i="2"/>
  <c r="Z109" i="2"/>
  <c r="Z80" i="2"/>
  <c r="Z83" i="2"/>
  <c r="Z86" i="2"/>
  <c r="Z112" i="2"/>
  <c r="Z78" i="2"/>
  <c r="U12" i="2"/>
  <c r="Z103" i="2"/>
  <c r="Z50" i="2"/>
  <c r="U100" i="2"/>
  <c r="U102" i="2"/>
  <c r="Z91" i="2"/>
  <c r="Z52" i="2"/>
  <c r="U4" i="2"/>
  <c r="Z107" i="2"/>
  <c r="U17" i="2"/>
  <c r="Z37" i="2"/>
  <c r="Z116" i="2"/>
  <c r="Z100" i="2"/>
  <c r="U67" i="2"/>
  <c r="U83" i="2"/>
  <c r="Z102" i="2"/>
  <c r="Z104" i="2"/>
  <c r="Z70" i="2"/>
  <c r="Z10" i="2"/>
  <c r="U101" i="2"/>
  <c r="Z28" i="2"/>
  <c r="Z4" i="2"/>
  <c r="Z94" i="2"/>
  <c r="U65" i="2"/>
  <c r="Z82" i="2"/>
  <c r="U109" i="2"/>
  <c r="Z117" i="2"/>
  <c r="Z39" i="2"/>
  <c r="Z72" i="2"/>
  <c r="Z41" i="2"/>
  <c r="U80" i="2"/>
  <c r="Z65" i="2"/>
  <c r="U82" i="2"/>
  <c r="U16" i="2"/>
  <c r="U87" i="2"/>
  <c r="U25" i="2"/>
  <c r="U7" i="2"/>
  <c r="U20" i="2"/>
  <c r="U92" i="2"/>
  <c r="U110" i="2"/>
  <c r="U98" i="2"/>
  <c r="Z87" i="2"/>
  <c r="U47" i="2"/>
  <c r="U119" i="2"/>
  <c r="Z75" i="2"/>
  <c r="U89" i="2"/>
  <c r="U94" i="2"/>
  <c r="U96" i="2"/>
  <c r="Z8" i="2"/>
  <c r="U77" i="2"/>
  <c r="Z31" i="2"/>
  <c r="U73" i="2"/>
  <c r="Z93" i="2"/>
  <c r="Z54" i="2"/>
  <c r="Z20" i="2"/>
  <c r="Z92" i="2"/>
  <c r="Z110" i="2"/>
  <c r="Z98" i="2"/>
  <c r="U81" i="2"/>
  <c r="U28" i="2"/>
  <c r="U13" i="2"/>
  <c r="U54" i="2"/>
  <c r="Z33" i="2"/>
  <c r="Z29" i="2"/>
  <c r="Z106" i="2"/>
  <c r="Z55" i="2"/>
  <c r="Z49" i="2"/>
  <c r="Z108" i="2"/>
  <c r="Z71" i="2"/>
  <c r="U70" i="2"/>
  <c r="U39" i="2"/>
  <c r="U61" i="2"/>
  <c r="U71" i="2"/>
  <c r="U106" i="2"/>
  <c r="U75" i="2"/>
  <c r="U6" i="2"/>
  <c r="U60" i="2"/>
  <c r="U38" i="2"/>
  <c r="U103" i="2"/>
  <c r="U97" i="2"/>
  <c r="U115" i="2"/>
  <c r="U63" i="2"/>
  <c r="U37" i="2"/>
  <c r="Z62" i="2"/>
  <c r="Z74" i="2"/>
  <c r="Z44" i="2"/>
  <c r="Z68" i="2"/>
  <c r="U41" i="2"/>
  <c r="U95" i="2"/>
  <c r="U85" i="2"/>
  <c r="U43" i="2"/>
  <c r="U114" i="2"/>
  <c r="T10" i="2" l="1"/>
  <c r="S10" i="2"/>
  <c r="Z127" i="2"/>
  <c r="U127" i="2"/>
  <c r="H127" i="2" l="1"/>
  <c r="G127" i="2"/>
  <c r="I127" i="2"/>
  <c r="J127" i="2"/>
  <c r="L127" i="2"/>
  <c r="M127" i="2"/>
  <c r="N127" i="2"/>
  <c r="O127" i="2"/>
  <c r="P127" i="2"/>
  <c r="A50" i="2"/>
  <c r="A8" i="2"/>
  <c r="A96" i="2"/>
  <c r="A53" i="2"/>
  <c r="A34" i="2"/>
  <c r="A29" i="2"/>
  <c r="A25" i="2"/>
  <c r="K34" i="2"/>
  <c r="Y34" i="2" l="1"/>
  <c r="T34" i="2"/>
  <c r="X34" i="2"/>
  <c r="S34" i="2"/>
  <c r="K8" i="2"/>
  <c r="K96" i="2"/>
  <c r="K53" i="2"/>
  <c r="K29" i="2"/>
  <c r="K25" i="2"/>
  <c r="K33" i="2"/>
  <c r="K118" i="2"/>
  <c r="K22" i="2"/>
  <c r="K86" i="2"/>
  <c r="K83" i="2"/>
  <c r="K67" i="2"/>
  <c r="K62" i="2"/>
  <c r="K64" i="2"/>
  <c r="K20" i="2"/>
  <c r="K54" i="2"/>
  <c r="K100" i="2"/>
  <c r="K75" i="2"/>
  <c r="K21" i="2"/>
  <c r="K106" i="2"/>
  <c r="K12" i="2"/>
  <c r="K71" i="2"/>
  <c r="K30" i="2"/>
  <c r="K13" i="2"/>
  <c r="K27" i="2"/>
  <c r="K7" i="2"/>
  <c r="K57" i="2"/>
  <c r="K108" i="2"/>
  <c r="K93" i="2"/>
  <c r="K73" i="2"/>
  <c r="K14" i="2"/>
  <c r="K99" i="2"/>
  <c r="K23" i="2"/>
  <c r="K48" i="2"/>
  <c r="K49" i="2"/>
  <c r="K84" i="2"/>
  <c r="K31" i="2"/>
  <c r="K77" i="2"/>
  <c r="K35" i="2"/>
  <c r="K32" i="2"/>
  <c r="K18" i="2"/>
  <c r="K55" i="2"/>
  <c r="K50" i="2"/>
  <c r="A55" i="2"/>
  <c r="A18" i="2"/>
  <c r="A32" i="2"/>
  <c r="K92" i="2"/>
  <c r="A92" i="2"/>
  <c r="A22" i="2"/>
  <c r="A86" i="2"/>
  <c r="A83" i="2"/>
  <c r="A67" i="2"/>
  <c r="A62" i="2"/>
  <c r="A64" i="2"/>
  <c r="A20" i="2"/>
  <c r="A54" i="2"/>
  <c r="A100" i="2"/>
  <c r="A75" i="2"/>
  <c r="A21" i="2"/>
  <c r="A106" i="2"/>
  <c r="A12" i="2"/>
  <c r="A71" i="2"/>
  <c r="A30" i="2"/>
  <c r="A13" i="2"/>
  <c r="A27" i="2"/>
  <c r="A7" i="2"/>
  <c r="A57" i="2"/>
  <c r="A108" i="2"/>
  <c r="A93" i="2"/>
  <c r="A73" i="2"/>
  <c r="A14" i="2"/>
  <c r="A99" i="2"/>
  <c r="A23" i="2"/>
  <c r="A48" i="2"/>
  <c r="A49" i="2"/>
  <c r="A84" i="2"/>
  <c r="A31" i="2"/>
  <c r="A77" i="2"/>
  <c r="A35" i="2"/>
  <c r="T33" i="2" l="1"/>
  <c r="S55" i="2"/>
  <c r="T55" i="2"/>
  <c r="X55" i="2"/>
  <c r="Y55" i="2"/>
  <c r="Y48" i="2"/>
  <c r="S48" i="2"/>
  <c r="T48" i="2"/>
  <c r="X48" i="2"/>
  <c r="Y30" i="2"/>
  <c r="T30" i="2"/>
  <c r="X30" i="2"/>
  <c r="S30" i="2"/>
  <c r="S33" i="2"/>
  <c r="X33" i="2"/>
  <c r="Y33" i="2"/>
  <c r="Y18" i="2"/>
  <c r="X18" i="2"/>
  <c r="T18" i="2"/>
  <c r="S18" i="2"/>
  <c r="Y31" i="2"/>
  <c r="T31" i="2"/>
  <c r="S31" i="2"/>
  <c r="X31" i="2"/>
  <c r="T23" i="2"/>
  <c r="Y23" i="2"/>
  <c r="X23" i="2"/>
  <c r="S23" i="2"/>
  <c r="S93" i="2"/>
  <c r="Y93" i="2"/>
  <c r="T93" i="2"/>
  <c r="X93" i="2"/>
  <c r="S7" i="2"/>
  <c r="Y7" i="2"/>
  <c r="X7" i="2"/>
  <c r="T7" i="2"/>
  <c r="T71" i="2"/>
  <c r="Y71" i="2"/>
  <c r="S71" i="2"/>
  <c r="X71" i="2"/>
  <c r="X75" i="2"/>
  <c r="S75" i="2"/>
  <c r="T75" i="2"/>
  <c r="Y75" i="2"/>
  <c r="X64" i="2"/>
  <c r="T64" i="2"/>
  <c r="Y64" i="2"/>
  <c r="S64" i="2"/>
  <c r="Y86" i="2"/>
  <c r="S86" i="2"/>
  <c r="X86" i="2"/>
  <c r="T86" i="2"/>
  <c r="Y25" i="2"/>
  <c r="X25" i="2"/>
  <c r="S25" i="2"/>
  <c r="T25" i="2"/>
  <c r="Y96" i="2"/>
  <c r="X96" i="2"/>
  <c r="S96" i="2"/>
  <c r="T96" i="2"/>
  <c r="Y77" i="2"/>
  <c r="X77" i="2"/>
  <c r="T77" i="2"/>
  <c r="S77" i="2"/>
  <c r="Y73" i="2"/>
  <c r="T73" i="2"/>
  <c r="S73" i="2"/>
  <c r="X73" i="2"/>
  <c r="S57" i="2"/>
  <c r="T57" i="2"/>
  <c r="X57" i="2"/>
  <c r="Y57" i="2"/>
  <c r="Y21" i="2"/>
  <c r="T21" i="2"/>
  <c r="X21" i="2"/>
  <c r="S21" i="2"/>
  <c r="S20" i="2"/>
  <c r="X20" i="2"/>
  <c r="T20" i="2"/>
  <c r="Y20" i="2"/>
  <c r="T83" i="2"/>
  <c r="X83" i="2"/>
  <c r="Y83" i="2"/>
  <c r="S83" i="2"/>
  <c r="S32" i="2"/>
  <c r="X32" i="2"/>
  <c r="T32" i="2"/>
  <c r="Y32" i="2"/>
  <c r="X84" i="2"/>
  <c r="S84" i="2"/>
  <c r="Y84" i="2"/>
  <c r="T84" i="2"/>
  <c r="T99" i="2"/>
  <c r="Y99" i="2"/>
  <c r="X99" i="2"/>
  <c r="S99" i="2"/>
  <c r="T27" i="2"/>
  <c r="Y27" i="2"/>
  <c r="S27" i="2"/>
  <c r="X27" i="2"/>
  <c r="T12" i="2"/>
  <c r="Y12" i="2"/>
  <c r="X12" i="2"/>
  <c r="S12" i="2"/>
  <c r="Y100" i="2"/>
  <c r="T100" i="2"/>
  <c r="S100" i="2"/>
  <c r="X100" i="2"/>
  <c r="X62" i="2"/>
  <c r="S62" i="2"/>
  <c r="Y62" i="2"/>
  <c r="T62" i="2"/>
  <c r="S22" i="2"/>
  <c r="T22" i="2"/>
  <c r="X22" i="2"/>
  <c r="Y22" i="2"/>
  <c r="S29" i="2"/>
  <c r="X29" i="2"/>
  <c r="Y29" i="2"/>
  <c r="T29" i="2"/>
  <c r="Y8" i="2"/>
  <c r="S8" i="2"/>
  <c r="T8" i="2"/>
  <c r="X8" i="2"/>
  <c r="S92" i="2"/>
  <c r="T92" i="2"/>
  <c r="Y92" i="2"/>
  <c r="X92" i="2"/>
  <c r="X50" i="2"/>
  <c r="T50" i="2"/>
  <c r="Y50" i="2"/>
  <c r="S50" i="2"/>
  <c r="S35" i="2"/>
  <c r="X35" i="2"/>
  <c r="T35" i="2"/>
  <c r="Y35" i="2"/>
  <c r="X49" i="2"/>
  <c r="Y49" i="2"/>
  <c r="S49" i="2"/>
  <c r="T49" i="2"/>
  <c r="S14" i="2"/>
  <c r="T14" i="2"/>
  <c r="X14" i="2"/>
  <c r="Y14" i="2"/>
  <c r="T108" i="2"/>
  <c r="X108" i="2"/>
  <c r="S108" i="2"/>
  <c r="Y108" i="2"/>
  <c r="S13" i="2"/>
  <c r="Y13" i="2"/>
  <c r="X13" i="2"/>
  <c r="T13" i="2"/>
  <c r="S106" i="2"/>
  <c r="T106" i="2"/>
  <c r="Y106" i="2"/>
  <c r="X106" i="2"/>
  <c r="X54" i="2"/>
  <c r="Y54" i="2"/>
  <c r="T54" i="2"/>
  <c r="S54" i="2"/>
  <c r="X67" i="2"/>
  <c r="Y67" i="2"/>
  <c r="T67" i="2"/>
  <c r="S67" i="2"/>
  <c r="T118" i="2"/>
  <c r="Y118" i="2"/>
  <c r="S118" i="2"/>
  <c r="X118" i="2"/>
  <c r="T53" i="2"/>
  <c r="Y53" i="2"/>
  <c r="X53" i="2"/>
  <c r="S53" i="2"/>
  <c r="AB34" i="2"/>
  <c r="AA34" i="2"/>
  <c r="AC34" i="2"/>
  <c r="AB99" i="2" l="1"/>
  <c r="AB77" i="2"/>
  <c r="AB50" i="2"/>
  <c r="AB12" i="2"/>
  <c r="AB108" i="2"/>
  <c r="AB30" i="2"/>
  <c r="AB29" i="2"/>
  <c r="AB25" i="2"/>
  <c r="AB67" i="2"/>
  <c r="AB106" i="2"/>
  <c r="AB75" i="2"/>
  <c r="AB23" i="2"/>
  <c r="AB18" i="2"/>
  <c r="AB100" i="2"/>
  <c r="AB32" i="2"/>
  <c r="AB83" i="2"/>
  <c r="AB21" i="2"/>
  <c r="AB57" i="2"/>
  <c r="AB48" i="2"/>
  <c r="AB13" i="2"/>
  <c r="AB84" i="2"/>
  <c r="AB86" i="2"/>
  <c r="AB7" i="2"/>
  <c r="AB22" i="2"/>
  <c r="AB96" i="2"/>
  <c r="AB55" i="2"/>
  <c r="AB54" i="2"/>
  <c r="AB14" i="2"/>
  <c r="AB35" i="2"/>
  <c r="AB8" i="2"/>
  <c r="AB64" i="2"/>
  <c r="AB71" i="2"/>
  <c r="AB93" i="2"/>
  <c r="AB31" i="2"/>
  <c r="AB33" i="2"/>
  <c r="AB62" i="2"/>
  <c r="AB20" i="2"/>
  <c r="AB73" i="2"/>
  <c r="AB92" i="2"/>
  <c r="AB53" i="2"/>
  <c r="AB49" i="2"/>
  <c r="AB27" i="2"/>
  <c r="AC25" i="2"/>
  <c r="AA25" i="2"/>
  <c r="AA12" i="2"/>
  <c r="AC12" i="2"/>
  <c r="AA99" i="2"/>
  <c r="AC99" i="2"/>
  <c r="AC29" i="2"/>
  <c r="AA29" i="2"/>
  <c r="AA30" i="2"/>
  <c r="AC30" i="2"/>
  <c r="AA77" i="2"/>
  <c r="AC77" i="2"/>
  <c r="AA67" i="2"/>
  <c r="AC67" i="2"/>
  <c r="AC106" i="2"/>
  <c r="AA106" i="2"/>
  <c r="AC108" i="2"/>
  <c r="AA108" i="2"/>
  <c r="AA50" i="2"/>
  <c r="AC50" i="2"/>
  <c r="AA8" i="2"/>
  <c r="AC8" i="2"/>
  <c r="AC64" i="2"/>
  <c r="AA64" i="2"/>
  <c r="AA71" i="2"/>
  <c r="AC71" i="2"/>
  <c r="AA93" i="2"/>
  <c r="AC93" i="2"/>
  <c r="AA31" i="2"/>
  <c r="AC31" i="2"/>
  <c r="AA33" i="2"/>
  <c r="AC33" i="2"/>
  <c r="AA62" i="2"/>
  <c r="AC62" i="2"/>
  <c r="AA20" i="2"/>
  <c r="AC20" i="2"/>
  <c r="AA73" i="2"/>
  <c r="AC73" i="2"/>
  <c r="AA92" i="2"/>
  <c r="AC92" i="2"/>
  <c r="AA53" i="2"/>
  <c r="AC53" i="2"/>
  <c r="AC49" i="2"/>
  <c r="AA49" i="2"/>
  <c r="AA27" i="2"/>
  <c r="AC27" i="2"/>
  <c r="AC86" i="2"/>
  <c r="AA86" i="2"/>
  <c r="AA7" i="2"/>
  <c r="AC7" i="2"/>
  <c r="AA22" i="2"/>
  <c r="AC22" i="2"/>
  <c r="AA96" i="2"/>
  <c r="AC96" i="2"/>
  <c r="AC55" i="2"/>
  <c r="AA55" i="2"/>
  <c r="AA54" i="2"/>
  <c r="AC54" i="2"/>
  <c r="AC14" i="2"/>
  <c r="AA14" i="2"/>
  <c r="AC35" i="2"/>
  <c r="AA35" i="2"/>
  <c r="AC75" i="2"/>
  <c r="AA75" i="2"/>
  <c r="AA23" i="2"/>
  <c r="AC23" i="2"/>
  <c r="AA18" i="2"/>
  <c r="AC18" i="2"/>
  <c r="AA100" i="2"/>
  <c r="AC100" i="2"/>
  <c r="AA32" i="2"/>
  <c r="AC32" i="2"/>
  <c r="AA83" i="2"/>
  <c r="AC83" i="2"/>
  <c r="AA21" i="2"/>
  <c r="AC21" i="2"/>
  <c r="AA57" i="2"/>
  <c r="AC57" i="2"/>
  <c r="AA48" i="2"/>
  <c r="AC48" i="2"/>
  <c r="AC13" i="2"/>
  <c r="AA13" i="2"/>
  <c r="AA84" i="2"/>
  <c r="AC84" i="2"/>
  <c r="Y10" i="2" l="1"/>
  <c r="X10" i="2"/>
  <c r="K41" i="2"/>
  <c r="S41" i="2" l="1"/>
  <c r="X41" i="2"/>
  <c r="T41" i="2"/>
  <c r="Y41" i="2"/>
  <c r="AB10" i="2" l="1"/>
  <c r="AC10" i="2" l="1"/>
  <c r="K56" i="2"/>
  <c r="K74" i="2"/>
  <c r="K102" i="2"/>
  <c r="K107" i="2"/>
  <c r="X74" i="2" l="1"/>
  <c r="S74" i="2"/>
  <c r="Y74" i="2"/>
  <c r="T74" i="2"/>
  <c r="T56" i="2"/>
  <c r="Y56" i="2"/>
  <c r="X56" i="2"/>
  <c r="S56" i="2"/>
  <c r="X107" i="2"/>
  <c r="T107" i="2"/>
  <c r="Y107" i="2"/>
  <c r="S107" i="2"/>
  <c r="T102" i="2"/>
  <c r="X102" i="2"/>
  <c r="Y102" i="2"/>
  <c r="S102" i="2"/>
  <c r="AC118" i="2"/>
  <c r="AB118" i="2"/>
  <c r="AA118" i="2"/>
  <c r="A118" i="2"/>
  <c r="A56" i="2"/>
  <c r="A74" i="2"/>
  <c r="A102" i="2"/>
  <c r="A107" i="2"/>
  <c r="K9" i="2"/>
  <c r="K110" i="2"/>
  <c r="K16" i="2"/>
  <c r="K46" i="2"/>
  <c r="K44" i="2"/>
  <c r="K24" i="2"/>
  <c r="K36" i="2"/>
  <c r="K42" i="2"/>
  <c r="A46" i="2"/>
  <c r="A16" i="2"/>
  <c r="S44" i="2" l="1"/>
  <c r="Y44" i="2"/>
  <c r="X44" i="2"/>
  <c r="T44" i="2"/>
  <c r="X9" i="2"/>
  <c r="T9" i="2"/>
  <c r="Y9" i="2"/>
  <c r="S9" i="2"/>
  <c r="S36" i="2"/>
  <c r="X36" i="2"/>
  <c r="T36" i="2"/>
  <c r="Y36" i="2"/>
  <c r="Y16" i="2"/>
  <c r="X16" i="2"/>
  <c r="T16" i="2"/>
  <c r="S16" i="2"/>
  <c r="S24" i="2"/>
  <c r="Y24" i="2"/>
  <c r="T24" i="2"/>
  <c r="X24" i="2"/>
  <c r="S110" i="2"/>
  <c r="X110" i="2"/>
  <c r="T110" i="2"/>
  <c r="Y110" i="2"/>
  <c r="S42" i="2"/>
  <c r="X42" i="2"/>
  <c r="T42" i="2"/>
  <c r="Y42" i="2"/>
  <c r="T46" i="2"/>
  <c r="S46" i="2"/>
  <c r="Y46" i="2"/>
  <c r="X46" i="2"/>
  <c r="AB107" i="2"/>
  <c r="AB56" i="2"/>
  <c r="AB74" i="2"/>
  <c r="AB102" i="2"/>
  <c r="AA107" i="2"/>
  <c r="AC107" i="2"/>
  <c r="AA56" i="2"/>
  <c r="AC56" i="2"/>
  <c r="AA74" i="2"/>
  <c r="AC74" i="2"/>
  <c r="AC102" i="2"/>
  <c r="AA102" i="2"/>
  <c r="AB16" i="2" l="1"/>
  <c r="AB46" i="2"/>
  <c r="AA46" i="2"/>
  <c r="AC46" i="2"/>
  <c r="AA16" i="2"/>
  <c r="AC16" i="2"/>
  <c r="A110" i="2"/>
  <c r="A9" i="2"/>
  <c r="A44" i="2"/>
  <c r="A24" i="2"/>
  <c r="A36" i="2"/>
  <c r="A42" i="2"/>
  <c r="K104" i="2"/>
  <c r="A104" i="2"/>
  <c r="K98" i="2"/>
  <c r="A98" i="2"/>
  <c r="K91" i="2"/>
  <c r="A91" i="2"/>
  <c r="K68" i="2"/>
  <c r="A68" i="2"/>
  <c r="K52" i="2"/>
  <c r="A52" i="2"/>
  <c r="K51" i="2"/>
  <c r="A51" i="2"/>
  <c r="K112" i="2"/>
  <c r="A112" i="2"/>
  <c r="K40" i="2"/>
  <c r="A40" i="2"/>
  <c r="K26" i="2"/>
  <c r="A26" i="2"/>
  <c r="K17" i="2"/>
  <c r="A17" i="2"/>
  <c r="K6" i="2"/>
  <c r="A6" i="2"/>
  <c r="K81" i="2"/>
  <c r="A81" i="2"/>
  <c r="K87" i="2"/>
  <c r="A87" i="2"/>
  <c r="K78" i="2"/>
  <c r="A78" i="2"/>
  <c r="K70" i="2"/>
  <c r="A70" i="2"/>
  <c r="K69" i="2"/>
  <c r="A69" i="2"/>
  <c r="K60" i="2"/>
  <c r="A60" i="2"/>
  <c r="K59" i="2"/>
  <c r="A59" i="2"/>
  <c r="K47" i="2"/>
  <c r="A47" i="2"/>
  <c r="A10" i="2"/>
  <c r="K45" i="2"/>
  <c r="A45" i="2"/>
  <c r="K39" i="2"/>
  <c r="A39" i="2"/>
  <c r="K11" i="2"/>
  <c r="A11" i="2"/>
  <c r="K38" i="2"/>
  <c r="A38" i="2"/>
  <c r="K15" i="2"/>
  <c r="A15" i="2"/>
  <c r="K119" i="2"/>
  <c r="A119" i="2"/>
  <c r="K109" i="2"/>
  <c r="A109" i="2"/>
  <c r="K103" i="2"/>
  <c r="A103" i="2"/>
  <c r="K101" i="2"/>
  <c r="A101" i="2"/>
  <c r="K89" i="2"/>
  <c r="A89" i="2"/>
  <c r="K97" i="2"/>
  <c r="A97" i="2"/>
  <c r="K72" i="2"/>
  <c r="A72" i="2"/>
  <c r="K28" i="2"/>
  <c r="A28" i="2"/>
  <c r="K4" i="2"/>
  <c r="A4" i="2"/>
  <c r="K115" i="2"/>
  <c r="A115" i="2"/>
  <c r="K90" i="2"/>
  <c r="A90" i="2"/>
  <c r="K88" i="2"/>
  <c r="A88" i="2"/>
  <c r="K63" i="2"/>
  <c r="A63" i="2"/>
  <c r="K61" i="2"/>
  <c r="A61" i="2"/>
  <c r="A41" i="2"/>
  <c r="K37" i="2"/>
  <c r="A37" i="2"/>
  <c r="K5" i="2"/>
  <c r="Y5" i="2" s="1"/>
  <c r="A5" i="2"/>
  <c r="K117" i="2"/>
  <c r="A117" i="2"/>
  <c r="K113" i="2"/>
  <c r="A113" i="2"/>
  <c r="K111" i="2"/>
  <c r="A111" i="2"/>
  <c r="K94" i="2"/>
  <c r="A94" i="2"/>
  <c r="K80" i="2"/>
  <c r="A80" i="2"/>
  <c r="K85" i="2"/>
  <c r="A85" i="2"/>
  <c r="K79" i="2"/>
  <c r="A79" i="2"/>
  <c r="K76" i="2"/>
  <c r="A76" i="2"/>
  <c r="K65" i="2"/>
  <c r="A65" i="2"/>
  <c r="K43" i="2"/>
  <c r="A43" i="2"/>
  <c r="K58" i="2"/>
  <c r="A58" i="2"/>
  <c r="K116" i="2"/>
  <c r="A116" i="2"/>
  <c r="K82" i="2"/>
  <c r="A82" i="2"/>
  <c r="K114" i="2"/>
  <c r="A114" i="2"/>
  <c r="K3" i="2"/>
  <c r="A3" i="2"/>
  <c r="K95" i="2"/>
  <c r="A95" i="2"/>
  <c r="K66" i="2"/>
  <c r="A66" i="2"/>
  <c r="K19" i="2"/>
  <c r="A19" i="2"/>
  <c r="S116" i="2" l="1"/>
  <c r="T116" i="2"/>
  <c r="S5" i="2"/>
  <c r="T5" i="2"/>
  <c r="T88" i="2"/>
  <c r="S88" i="2"/>
  <c r="S58" i="2"/>
  <c r="T58" i="2"/>
  <c r="S104" i="2"/>
  <c r="T104" i="2"/>
  <c r="S90" i="2"/>
  <c r="T90" i="2"/>
  <c r="S117" i="2"/>
  <c r="T117" i="2"/>
  <c r="X117" i="2"/>
  <c r="S76" i="2"/>
  <c r="T76" i="2"/>
  <c r="T113" i="2"/>
  <c r="S113" i="2"/>
  <c r="X19" i="2"/>
  <c r="Y19" i="2"/>
  <c r="S63" i="2"/>
  <c r="X63" i="2"/>
  <c r="Y63" i="2"/>
  <c r="T63" i="2"/>
  <c r="X90" i="2"/>
  <c r="Y90" i="2"/>
  <c r="S4" i="2"/>
  <c r="X4" i="2"/>
  <c r="T4" i="2"/>
  <c r="Y4" i="2"/>
  <c r="X72" i="2"/>
  <c r="S72" i="2"/>
  <c r="Y72" i="2"/>
  <c r="T72" i="2"/>
  <c r="S101" i="2"/>
  <c r="T101" i="2"/>
  <c r="Y101" i="2"/>
  <c r="X101" i="2"/>
  <c r="X109" i="2"/>
  <c r="S109" i="2"/>
  <c r="Y109" i="2"/>
  <c r="T109" i="2"/>
  <c r="S15" i="2"/>
  <c r="Y15" i="2"/>
  <c r="X15" i="2"/>
  <c r="T15" i="2"/>
  <c r="S11" i="2"/>
  <c r="T11" i="2"/>
  <c r="Y11" i="2"/>
  <c r="X11" i="2"/>
  <c r="X45" i="2"/>
  <c r="S45" i="2"/>
  <c r="T45" i="2"/>
  <c r="Y45" i="2"/>
  <c r="T19" i="2"/>
  <c r="S19" i="2"/>
  <c r="S95" i="2"/>
  <c r="Y95" i="2"/>
  <c r="X95" i="2"/>
  <c r="T95" i="2"/>
  <c r="S114" i="2"/>
  <c r="Y114" i="2"/>
  <c r="X114" i="2"/>
  <c r="T114" i="2"/>
  <c r="Y116" i="2"/>
  <c r="X116" i="2"/>
  <c r="S43" i="2"/>
  <c r="X43" i="2"/>
  <c r="Y43" i="2"/>
  <c r="T43" i="2"/>
  <c r="Y76" i="2"/>
  <c r="X76" i="2"/>
  <c r="S85" i="2"/>
  <c r="X85" i="2"/>
  <c r="Y85" i="2"/>
  <c r="T85" i="2"/>
  <c r="Y94" i="2"/>
  <c r="S94" i="2"/>
  <c r="X94" i="2"/>
  <c r="T94" i="2"/>
  <c r="X113" i="2"/>
  <c r="Y113" i="2"/>
  <c r="X5" i="2"/>
  <c r="Y47" i="2"/>
  <c r="X47" i="2"/>
  <c r="T47" i="2"/>
  <c r="S47" i="2"/>
  <c r="Y60" i="2"/>
  <c r="S60" i="2"/>
  <c r="X60" i="2"/>
  <c r="T60" i="2"/>
  <c r="S70" i="2"/>
  <c r="Y70" i="2"/>
  <c r="X70" i="2"/>
  <c r="T70" i="2"/>
  <c r="X78" i="2"/>
  <c r="Y78" i="2"/>
  <c r="S78" i="2"/>
  <c r="T78" i="2"/>
  <c r="S81" i="2"/>
  <c r="X81" i="2"/>
  <c r="Y81" i="2"/>
  <c r="T81" i="2"/>
  <c r="Y6" i="2"/>
  <c r="S6" i="2"/>
  <c r="X6" i="2"/>
  <c r="T6" i="2"/>
  <c r="T26" i="2"/>
  <c r="Y26" i="2"/>
  <c r="X26" i="2"/>
  <c r="S26" i="2"/>
  <c r="Y112" i="2"/>
  <c r="X112" i="2"/>
  <c r="T112" i="2"/>
  <c r="S112" i="2"/>
  <c r="S52" i="2"/>
  <c r="T52" i="2"/>
  <c r="Y52" i="2"/>
  <c r="X52" i="2"/>
  <c r="X91" i="2"/>
  <c r="T91" i="2"/>
  <c r="Y91" i="2"/>
  <c r="S91" i="2"/>
  <c r="Y61" i="2"/>
  <c r="S61" i="2"/>
  <c r="X61" i="2"/>
  <c r="T61" i="2"/>
  <c r="X88" i="2"/>
  <c r="Y88" i="2"/>
  <c r="Y115" i="2"/>
  <c r="X115" i="2"/>
  <c r="T115" i="2"/>
  <c r="S115" i="2"/>
  <c r="Y28" i="2"/>
  <c r="X28" i="2"/>
  <c r="T28" i="2"/>
  <c r="S28" i="2"/>
  <c r="Y97" i="2"/>
  <c r="S97" i="2"/>
  <c r="X97" i="2"/>
  <c r="T97" i="2"/>
  <c r="X89" i="2"/>
  <c r="Y89" i="2"/>
  <c r="S89" i="2"/>
  <c r="T89" i="2"/>
  <c r="Y103" i="2"/>
  <c r="S103" i="2"/>
  <c r="X103" i="2"/>
  <c r="T103" i="2"/>
  <c r="Y119" i="2"/>
  <c r="X119" i="2"/>
  <c r="S119" i="2"/>
  <c r="T119" i="2"/>
  <c r="Y38" i="2"/>
  <c r="S38" i="2"/>
  <c r="T38" i="2"/>
  <c r="X38" i="2"/>
  <c r="X39" i="2"/>
  <c r="S39" i="2"/>
  <c r="Y39" i="2"/>
  <c r="T39" i="2"/>
  <c r="T66" i="2"/>
  <c r="X66" i="2"/>
  <c r="Y66" i="2"/>
  <c r="S66" i="2"/>
  <c r="Y3" i="2"/>
  <c r="S3" i="2"/>
  <c r="X3" i="2"/>
  <c r="T3" i="2"/>
  <c r="X82" i="2"/>
  <c r="S82" i="2"/>
  <c r="T82" i="2"/>
  <c r="Y82" i="2"/>
  <c r="Y58" i="2"/>
  <c r="X58" i="2"/>
  <c r="X65" i="2"/>
  <c r="Y65" i="2"/>
  <c r="T65" i="2"/>
  <c r="S65" i="2"/>
  <c r="Y79" i="2"/>
  <c r="T79" i="2"/>
  <c r="S79" i="2"/>
  <c r="X79" i="2"/>
  <c r="X80" i="2"/>
  <c r="Y80" i="2"/>
  <c r="T80" i="2"/>
  <c r="S80" i="2"/>
  <c r="T111" i="2"/>
  <c r="Y111" i="2"/>
  <c r="S111" i="2"/>
  <c r="X111" i="2"/>
  <c r="Y117" i="2"/>
  <c r="Y37" i="2"/>
  <c r="S37" i="2"/>
  <c r="T37" i="2"/>
  <c r="X37" i="2"/>
  <c r="S59" i="2"/>
  <c r="Y59" i="2"/>
  <c r="X59" i="2"/>
  <c r="T59" i="2"/>
  <c r="T69" i="2"/>
  <c r="S69" i="2"/>
  <c r="Y69" i="2"/>
  <c r="X69" i="2"/>
  <c r="X87" i="2"/>
  <c r="S87" i="2"/>
  <c r="Y87" i="2"/>
  <c r="T87" i="2"/>
  <c r="S17" i="2"/>
  <c r="X17" i="2"/>
  <c r="Y17" i="2"/>
  <c r="T17" i="2"/>
  <c r="S40" i="2"/>
  <c r="T40" i="2"/>
  <c r="Y40" i="2"/>
  <c r="X40" i="2"/>
  <c r="T51" i="2"/>
  <c r="Y51" i="2"/>
  <c r="X51" i="2"/>
  <c r="S51" i="2"/>
  <c r="S68" i="2"/>
  <c r="Y68" i="2"/>
  <c r="X68" i="2"/>
  <c r="T68" i="2"/>
  <c r="T98" i="2"/>
  <c r="Y98" i="2"/>
  <c r="X98" i="2"/>
  <c r="S98" i="2"/>
  <c r="Y104" i="2"/>
  <c r="X104" i="2"/>
  <c r="AB41" i="2"/>
  <c r="AA24" i="2"/>
  <c r="AA36" i="2"/>
  <c r="AA9" i="2"/>
  <c r="Q127" i="2"/>
  <c r="R127" i="2"/>
  <c r="K127" i="2"/>
  <c r="AC36" i="2"/>
  <c r="AB110" i="2"/>
  <c r="AC42" i="2"/>
  <c r="AB42" i="2"/>
  <c r="AB44" i="2"/>
  <c r="AA10" i="2"/>
  <c r="AA42" i="2"/>
  <c r="AC80" i="2"/>
  <c r="AC24" i="2"/>
  <c r="AC9" i="2"/>
  <c r="AB19" i="2" l="1"/>
  <c r="T127" i="2"/>
  <c r="S127" i="2"/>
  <c r="Y127" i="2"/>
  <c r="X127" i="2"/>
  <c r="AC41" i="2"/>
  <c r="AC110" i="2"/>
  <c r="AC44" i="2"/>
  <c r="AB112" i="2"/>
  <c r="AB26" i="2"/>
  <c r="AB6" i="2"/>
  <c r="AB78" i="2"/>
  <c r="AB37" i="2"/>
  <c r="AB117" i="2"/>
  <c r="AB45" i="2"/>
  <c r="AB11" i="2"/>
  <c r="AB15" i="2"/>
  <c r="AB109" i="2"/>
  <c r="AB4" i="2"/>
  <c r="AB94" i="2"/>
  <c r="AB76" i="2"/>
  <c r="AB116" i="2"/>
  <c r="AB114" i="2"/>
  <c r="AB91" i="2"/>
  <c r="AB52" i="2"/>
  <c r="AB81" i="2"/>
  <c r="AB70" i="2"/>
  <c r="AB60" i="2"/>
  <c r="AB47" i="2"/>
  <c r="AB101" i="2"/>
  <c r="AB72" i="2"/>
  <c r="AB90" i="2"/>
  <c r="AB63" i="2"/>
  <c r="AB66" i="2"/>
  <c r="AB85" i="2"/>
  <c r="AB43" i="2"/>
  <c r="AB24" i="2"/>
  <c r="AB9" i="2"/>
  <c r="AB104" i="2"/>
  <c r="AB98" i="2"/>
  <c r="AB68" i="2"/>
  <c r="AB51" i="2"/>
  <c r="AB17" i="2"/>
  <c r="AB87" i="2"/>
  <c r="AB69" i="2"/>
  <c r="AB59" i="2"/>
  <c r="AB5" i="2"/>
  <c r="AB39" i="2"/>
  <c r="AB88" i="2"/>
  <c r="AB61" i="2"/>
  <c r="AB111" i="2"/>
  <c r="AB80" i="2"/>
  <c r="AB79" i="2"/>
  <c r="AB65" i="2"/>
  <c r="AB58" i="2"/>
  <c r="AB82" i="2"/>
  <c r="AB95" i="2"/>
  <c r="AB36" i="2"/>
  <c r="AB40" i="2"/>
  <c r="AB113" i="2"/>
  <c r="AB38" i="2"/>
  <c r="AB119" i="2"/>
  <c r="AB103" i="2"/>
  <c r="AB89" i="2"/>
  <c r="AB97" i="2"/>
  <c r="AB28" i="2"/>
  <c r="AB115" i="2"/>
  <c r="AB3" i="2"/>
  <c r="AC91" i="2"/>
  <c r="AA91" i="2"/>
  <c r="AC52" i="2"/>
  <c r="AA52" i="2"/>
  <c r="AC81" i="2"/>
  <c r="AA81" i="2"/>
  <c r="AC70" i="2"/>
  <c r="AA70" i="2"/>
  <c r="AA60" i="2"/>
  <c r="AC60" i="2"/>
  <c r="AC47" i="2"/>
  <c r="AA47" i="2"/>
  <c r="AA101" i="2"/>
  <c r="AC101" i="2"/>
  <c r="AA72" i="2"/>
  <c r="AC72" i="2"/>
  <c r="AA90" i="2"/>
  <c r="AC90" i="2"/>
  <c r="AA63" i="2"/>
  <c r="AC63" i="2"/>
  <c r="AA66" i="2"/>
  <c r="AC66" i="2"/>
  <c r="AA85" i="2"/>
  <c r="AC85" i="2"/>
  <c r="AA43" i="2"/>
  <c r="AC43" i="2"/>
  <c r="AA110" i="2"/>
  <c r="AC112" i="2"/>
  <c r="AA112" i="2"/>
  <c r="AA26" i="2"/>
  <c r="AC26" i="2"/>
  <c r="AC6" i="2"/>
  <c r="AA6" i="2"/>
  <c r="AC78" i="2"/>
  <c r="AA78" i="2"/>
  <c r="AA37" i="2"/>
  <c r="AC37" i="2"/>
  <c r="AA117" i="2"/>
  <c r="AC117" i="2"/>
  <c r="AA45" i="2"/>
  <c r="AC45" i="2"/>
  <c r="AA11" i="2"/>
  <c r="AC11" i="2"/>
  <c r="AA15" i="2"/>
  <c r="AC15" i="2"/>
  <c r="AA109" i="2"/>
  <c r="AC109" i="2"/>
  <c r="AA4" i="2"/>
  <c r="AC4" i="2"/>
  <c r="AA94" i="2"/>
  <c r="AC94" i="2"/>
  <c r="AA76" i="2"/>
  <c r="AC76" i="2"/>
  <c r="AA116" i="2"/>
  <c r="AC116" i="2"/>
  <c r="AA114" i="2"/>
  <c r="AC114" i="2"/>
  <c r="AC19" i="2"/>
  <c r="AA19" i="2"/>
  <c r="AA41" i="2"/>
  <c r="AA40" i="2"/>
  <c r="AC40" i="2"/>
  <c r="AA113" i="2"/>
  <c r="AC113" i="2"/>
  <c r="AA38" i="2"/>
  <c r="AC38" i="2"/>
  <c r="AC119" i="2"/>
  <c r="AA119" i="2"/>
  <c r="AC103" i="2"/>
  <c r="AA103" i="2"/>
  <c r="AC89" i="2"/>
  <c r="AA89" i="2"/>
  <c r="AA97" i="2"/>
  <c r="AC97" i="2"/>
  <c r="AC28" i="2"/>
  <c r="AA28" i="2"/>
  <c r="AC115" i="2"/>
  <c r="AA115" i="2"/>
  <c r="AA3" i="2"/>
  <c r="AC3" i="2"/>
  <c r="AA44" i="2"/>
  <c r="AA104" i="2"/>
  <c r="AC104" i="2"/>
  <c r="AA98" i="2"/>
  <c r="AC98" i="2"/>
  <c r="AA68" i="2"/>
  <c r="AC68" i="2"/>
  <c r="AA51" i="2"/>
  <c r="AC51" i="2"/>
  <c r="AA17" i="2"/>
  <c r="AC17" i="2"/>
  <c r="AA87" i="2"/>
  <c r="AC87" i="2"/>
  <c r="AA69" i="2"/>
  <c r="AC69" i="2"/>
  <c r="AA59" i="2"/>
  <c r="AC59" i="2"/>
  <c r="AA5" i="2"/>
  <c r="AC5" i="2"/>
  <c r="AC39" i="2"/>
  <c r="AA39" i="2"/>
  <c r="AA88" i="2"/>
  <c r="AC88" i="2"/>
  <c r="AA61" i="2"/>
  <c r="AC61" i="2"/>
  <c r="AA111" i="2"/>
  <c r="AC111" i="2"/>
  <c r="AA80" i="2"/>
  <c r="AA79" i="2"/>
  <c r="AC79" i="2"/>
  <c r="AA65" i="2"/>
  <c r="AC65" i="2"/>
  <c r="AA58" i="2"/>
  <c r="AC58" i="2"/>
  <c r="AA82" i="2"/>
  <c r="AC82" i="2"/>
  <c r="AC95" i="2"/>
  <c r="AA95" i="2"/>
  <c r="AA127" i="2" l="1"/>
  <c r="AB127" i="2"/>
  <c r="AC127" i="2"/>
</calcChain>
</file>

<file path=xl/sharedStrings.xml><?xml version="1.0" encoding="utf-8"?>
<sst xmlns="http://schemas.openxmlformats.org/spreadsheetml/2006/main" count="688" uniqueCount="201">
  <si>
    <t>م</t>
  </si>
  <si>
    <t>كود الموظف</t>
  </si>
  <si>
    <t>اسم الموظف</t>
  </si>
  <si>
    <t>رقم الاقامة / الهوية</t>
  </si>
  <si>
    <t>الجنسية</t>
  </si>
  <si>
    <t>تاريخ التعيين</t>
  </si>
  <si>
    <t>الراتب الاساسي</t>
  </si>
  <si>
    <t>بدل سكن</t>
  </si>
  <si>
    <t xml:space="preserve">بدل انتقال </t>
  </si>
  <si>
    <t>اخرى</t>
  </si>
  <si>
    <t>اجمالي الراتب</t>
  </si>
  <si>
    <t>تاريخ اخر  اجازة</t>
  </si>
  <si>
    <t>تاريخ اخر مباشرة عمل</t>
  </si>
  <si>
    <t>نوع عقد العمل</t>
  </si>
  <si>
    <t>اعداد المرافقين</t>
  </si>
  <si>
    <t>ايام الاجازة / السنة</t>
  </si>
  <si>
    <t>مدة الخدمة/اليوم</t>
  </si>
  <si>
    <t>مدة الاجازة المستحقة باليوم</t>
  </si>
  <si>
    <t>نهاية الخدمة</t>
  </si>
  <si>
    <t>رصيد اجازات</t>
  </si>
  <si>
    <t>تذاكر سفر</t>
  </si>
  <si>
    <t xml:space="preserve">لم يسبق له اجازة </t>
  </si>
  <si>
    <t xml:space="preserve">عقد عمل عائلى </t>
  </si>
  <si>
    <t>باكستاني</t>
  </si>
  <si>
    <t>عقد عمل فرد</t>
  </si>
  <si>
    <t>تذكرة السفر</t>
  </si>
  <si>
    <t>يمني</t>
  </si>
  <si>
    <t>مصري</t>
  </si>
  <si>
    <t>سوريا</t>
  </si>
  <si>
    <t>نيبالي</t>
  </si>
  <si>
    <t>سعودي</t>
  </si>
  <si>
    <t>سوداني</t>
  </si>
  <si>
    <t>بنجلاديش</t>
  </si>
  <si>
    <t>ارتريا</t>
  </si>
  <si>
    <t>تشاد</t>
  </si>
  <si>
    <t>الهند</t>
  </si>
  <si>
    <t>اندونسيا</t>
  </si>
  <si>
    <t>الاردن</t>
  </si>
  <si>
    <t>نيجيريا</t>
  </si>
  <si>
    <t xml:space="preserve"> باكستان</t>
  </si>
  <si>
    <t>فلسطين</t>
  </si>
  <si>
    <t>الفلبين</t>
  </si>
  <si>
    <t>عائليه</t>
  </si>
  <si>
    <t>Total</t>
  </si>
  <si>
    <t xml:space="preserve">سعودي </t>
  </si>
  <si>
    <t>لبناني</t>
  </si>
  <si>
    <t>Name /English</t>
  </si>
  <si>
    <t xml:space="preserve">Iqama Number </t>
  </si>
  <si>
    <t>Nationality</t>
  </si>
  <si>
    <t>Date of joining</t>
  </si>
  <si>
    <t>Last Vacition Date</t>
  </si>
  <si>
    <t>Total Salary</t>
  </si>
  <si>
    <t>Employee Number</t>
  </si>
  <si>
    <t>Basic</t>
  </si>
  <si>
    <t>Housing</t>
  </si>
  <si>
    <t xml:space="preserve">Other </t>
  </si>
  <si>
    <t>Last Vacition Date Reutrn</t>
  </si>
  <si>
    <t>Type</t>
  </si>
  <si>
    <t>No.</t>
  </si>
  <si>
    <t>مدة الخدمة/اليوم2</t>
  </si>
  <si>
    <t>مدة الاجازة المستحقة باليوم3</t>
  </si>
  <si>
    <t>حركة المخصصات حتى تاريخ</t>
  </si>
  <si>
    <t>الرصيد الذي يتم تعلية خلال الفترة المحددة</t>
  </si>
  <si>
    <t>في اجازه سنوية</t>
  </si>
  <si>
    <t>حركة المخصصات عن الفترة المنتهية في</t>
  </si>
  <si>
    <t>Trans</t>
  </si>
  <si>
    <t>نهاية الخدمة2</t>
  </si>
  <si>
    <t>نهاية الخدمة3</t>
  </si>
  <si>
    <t>رصيد اجازات2</t>
  </si>
  <si>
    <t>رصيد اجازات3</t>
  </si>
  <si>
    <t>تذاكر سفر2</t>
  </si>
  <si>
    <t>تذاكر سفر3</t>
  </si>
  <si>
    <t>Tom Dalaney</t>
  </si>
  <si>
    <t>Jim Smart</t>
  </si>
  <si>
    <t>Sue Tracey</t>
  </si>
  <si>
    <t>Grace Kali</t>
  </si>
  <si>
    <t>Paul Slator</t>
  </si>
  <si>
    <t>950-001-001</t>
  </si>
  <si>
    <t>950-001-002</t>
  </si>
  <si>
    <t>950-001-003</t>
  </si>
  <si>
    <t>950-001-004</t>
  </si>
  <si>
    <t>950-001-005</t>
  </si>
  <si>
    <t>950-001-006</t>
  </si>
  <si>
    <t>950-001-007</t>
  </si>
  <si>
    <t>950-001-008</t>
  </si>
  <si>
    <t>950-001-009</t>
  </si>
  <si>
    <t>950-001-010</t>
  </si>
  <si>
    <t>950-001-011</t>
  </si>
  <si>
    <t>950-001-012</t>
  </si>
  <si>
    <t>950-001-013</t>
  </si>
  <si>
    <t>950-001-014</t>
  </si>
  <si>
    <t>950-001-015</t>
  </si>
  <si>
    <t>950-001-016</t>
  </si>
  <si>
    <t>950-001-017</t>
  </si>
  <si>
    <t>950-001-018</t>
  </si>
  <si>
    <t>950-001-019</t>
  </si>
  <si>
    <t>950-001-020</t>
  </si>
  <si>
    <t>950-001-021</t>
  </si>
  <si>
    <t>950-001-022</t>
  </si>
  <si>
    <t>950-001-023</t>
  </si>
  <si>
    <t>950-001-024</t>
  </si>
  <si>
    <t>950-001-025</t>
  </si>
  <si>
    <t>950-001-026</t>
  </si>
  <si>
    <t>950-001-027</t>
  </si>
  <si>
    <t>950-001-028</t>
  </si>
  <si>
    <t>950-001-029</t>
  </si>
  <si>
    <t>950-001-030</t>
  </si>
  <si>
    <t>950-001-031</t>
  </si>
  <si>
    <t>950-001-032</t>
  </si>
  <si>
    <t>950-001-033</t>
  </si>
  <si>
    <t>950-001-034</t>
  </si>
  <si>
    <t>950-001-035</t>
  </si>
  <si>
    <t>950-001-036</t>
  </si>
  <si>
    <t>950-001-037</t>
  </si>
  <si>
    <t>950-001-038</t>
  </si>
  <si>
    <t>950-001-039</t>
  </si>
  <si>
    <t>950-001-040</t>
  </si>
  <si>
    <t>950-001-041</t>
  </si>
  <si>
    <t>950-001-042</t>
  </si>
  <si>
    <t>950-001-043</t>
  </si>
  <si>
    <t>950-001-044</t>
  </si>
  <si>
    <t>950-001-045</t>
  </si>
  <si>
    <t>950-001-046</t>
  </si>
  <si>
    <t>950-001-047</t>
  </si>
  <si>
    <t>950-001-048</t>
  </si>
  <si>
    <t>950-001-049</t>
  </si>
  <si>
    <t>950-001-050</t>
  </si>
  <si>
    <t>950-001-051</t>
  </si>
  <si>
    <t>950-001-052</t>
  </si>
  <si>
    <t>950-001-053</t>
  </si>
  <si>
    <t>950-001-054</t>
  </si>
  <si>
    <t>950-001-055</t>
  </si>
  <si>
    <t>950-001-056</t>
  </si>
  <si>
    <t>950-001-057</t>
  </si>
  <si>
    <t>950-001-058</t>
  </si>
  <si>
    <t>950-001-059</t>
  </si>
  <si>
    <t>950-001-060</t>
  </si>
  <si>
    <t>950-001-061</t>
  </si>
  <si>
    <t>950-001-062</t>
  </si>
  <si>
    <t>950-001-063</t>
  </si>
  <si>
    <t>950-001-064</t>
  </si>
  <si>
    <t>950-001-065</t>
  </si>
  <si>
    <t>950-001-066</t>
  </si>
  <si>
    <t>950-001-067</t>
  </si>
  <si>
    <t>950-001-068</t>
  </si>
  <si>
    <t>950-001-069</t>
  </si>
  <si>
    <t>950-001-070</t>
  </si>
  <si>
    <t>950-001-071</t>
  </si>
  <si>
    <t>950-001-072</t>
  </si>
  <si>
    <t>950-001-073</t>
  </si>
  <si>
    <t>950-001-074</t>
  </si>
  <si>
    <t>950-001-075</t>
  </si>
  <si>
    <t>950-001-076</t>
  </si>
  <si>
    <t>950-001-077</t>
  </si>
  <si>
    <t>950-001-078</t>
  </si>
  <si>
    <t>950-001-079</t>
  </si>
  <si>
    <t>950-001-080</t>
  </si>
  <si>
    <t>950-001-081</t>
  </si>
  <si>
    <t>950-001-082</t>
  </si>
  <si>
    <t>950-001-083</t>
  </si>
  <si>
    <t>950-001-084</t>
  </si>
  <si>
    <t>950-001-085</t>
  </si>
  <si>
    <t>950-001-086</t>
  </si>
  <si>
    <t>950-001-087</t>
  </si>
  <si>
    <t>950-001-088</t>
  </si>
  <si>
    <t>950-001-089</t>
  </si>
  <si>
    <t>950-001-090</t>
  </si>
  <si>
    <t>950-001-091</t>
  </si>
  <si>
    <t>950-001-092</t>
  </si>
  <si>
    <t>950-001-093</t>
  </si>
  <si>
    <t>950-001-094</t>
  </si>
  <si>
    <t>950-001-095</t>
  </si>
  <si>
    <t>950-001-096</t>
  </si>
  <si>
    <t>950-001-097</t>
  </si>
  <si>
    <t>950-001-098</t>
  </si>
  <si>
    <t>950-001-099</t>
  </si>
  <si>
    <t>950-001-100</t>
  </si>
  <si>
    <t>950-001-101</t>
  </si>
  <si>
    <t>950-001-102</t>
  </si>
  <si>
    <t>950-001-103</t>
  </si>
  <si>
    <t>950-001-104</t>
  </si>
  <si>
    <t>950-001-105</t>
  </si>
  <si>
    <t>950-001-106</t>
  </si>
  <si>
    <t>950-001-107</t>
  </si>
  <si>
    <t>950-001-108</t>
  </si>
  <si>
    <t>950-001-109</t>
  </si>
  <si>
    <t>950-001-110</t>
  </si>
  <si>
    <t>950-001-111</t>
  </si>
  <si>
    <t>950-001-112</t>
  </si>
  <si>
    <t>950-001-113</t>
  </si>
  <si>
    <t>950-001-114</t>
  </si>
  <si>
    <t>950-001-115</t>
  </si>
  <si>
    <t>950-001-116</t>
  </si>
  <si>
    <t>950-001-117</t>
  </si>
  <si>
    <t>950-001-118</t>
  </si>
  <si>
    <t>950-001-119</t>
  </si>
  <si>
    <t>950-001-120</t>
  </si>
  <si>
    <t>950-001-121</t>
  </si>
  <si>
    <t>950-001-122</t>
  </si>
  <si>
    <t>950-001-123</t>
  </si>
  <si>
    <t>950-001-124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</si>
</sst>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164" formatCode="_(* #,##0.00_);_(* \(#,##0.00\);_(* &quot;-&quot;??_);_(@_)"/>
    <numFmt numFmtId="165" formatCode="_(* #,##0.00_);_(* \(#,##0.00\);_(* \-??_);_(@_)"/>
    <numFmt numFmtId="166" formatCode="_(* #,##0_);_(* \(#,##0\);_(* \-??_);_(@_)"/>
    <numFmt numFmtId="167" formatCode="[$-409]d\-mmm\-yyyy;@"/>
    <numFmt numFmtId="171" formatCode="_(* #,##0_);_(* \(#,##0\);_(* &quot;-&quot;??_);_(@_)"/>
    <numFmt numFmtId="172" formatCode="[$-409]dd\-mmm\-yy;@"/>
    <numFmt numFmtId="174" formatCode="&quot;ر.س.‏&quot;\ #,##0.00_-"/>
  </numFmts>
  <fonts count="26" x14ac:knownFonts="1">
    <font>
      <sz val="11"/>
      <color rgb="FF000000"/>
      <name val="Calibri"/>
      <family val="2"/>
    </font>
    <font>
      <sz val="11"/>
      <color theme="1"/>
      <name val="Arial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charset val="178"/>
    </font>
    <font>
      <sz val="10"/>
      <name val="Sakkal Majalla"/>
    </font>
    <font>
      <sz val="11"/>
      <name val="Sakkal Majalla"/>
    </font>
    <font>
      <sz val="11"/>
      <color rgb="FF000000"/>
      <name val="Calibri"/>
      <family val="2"/>
    </font>
    <font>
      <sz val="9"/>
      <name val="Sakkal Majalla"/>
    </font>
    <font>
      <sz val="9"/>
      <name val="Arial"/>
      <family val="2"/>
    </font>
    <font>
      <sz val="9"/>
      <color rgb="FF000000"/>
      <name val="Calibri"/>
      <family val="2"/>
    </font>
    <font>
      <sz val="11"/>
      <color theme="1"/>
      <name val="Arial"/>
      <family val="2"/>
      <charset val="178"/>
      <scheme val="minor"/>
    </font>
    <font>
      <b/>
      <sz val="14"/>
      <color theme="0"/>
      <name val="Sakkal Majalla"/>
    </font>
    <font>
      <sz val="11"/>
      <color rgb="FF006100"/>
      <name val="Arial"/>
      <family val="2"/>
      <scheme val="minor"/>
    </font>
    <font>
      <b/>
      <sz val="11"/>
      <color theme="0"/>
      <name val="Sakkal Majalla"/>
    </font>
    <font>
      <b/>
      <sz val="11"/>
      <color theme="0"/>
      <name val="Calibri"/>
      <family val="2"/>
    </font>
    <font>
      <b/>
      <sz val="11"/>
      <name val="Sakkal Majalla"/>
    </font>
    <font>
      <sz val="8"/>
      <name val="Calibri"/>
      <family val="2"/>
    </font>
    <font>
      <sz val="11"/>
      <color theme="3"/>
      <name val="Tahoma"/>
      <family val="2"/>
    </font>
    <font>
      <sz val="11"/>
      <color theme="8" tint="0.89992980742820516"/>
      <name val="Tahoma"/>
      <family val="2"/>
    </font>
    <font>
      <sz val="36"/>
      <color theme="8"/>
      <name val="Tahoma"/>
      <family val="2"/>
    </font>
    <font>
      <b/>
      <sz val="11"/>
      <color theme="3"/>
      <name val="Tahoma"/>
      <family val="2"/>
    </font>
    <font>
      <sz val="11"/>
      <color theme="1"/>
      <name val="Tahoma"/>
      <family val="2"/>
    </font>
    <font>
      <b/>
      <sz val="12"/>
      <color theme="0"/>
      <name val="Sakkal Majalla"/>
    </font>
    <font>
      <sz val="11"/>
      <name val="Calibri"/>
      <family val="2"/>
    </font>
    <font>
      <sz val="10"/>
      <name val="Arial"/>
      <family val="2"/>
    </font>
    <font>
      <b/>
      <sz val="11"/>
      <color rgb="FF800080"/>
      <name val="Sakkal Majalla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8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66003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0.34998626667073579"/>
      </bottom>
      <diagonal/>
    </border>
    <border>
      <left style="thin">
        <color theme="0" tint="-4.9989318521683403E-2"/>
      </left>
      <right/>
      <top/>
      <bottom style="thin">
        <color theme="0" tint="-0.34998626667073579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rgb="FF57257D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</borders>
  <cellStyleXfs count="17">
    <xf numFmtId="0" fontId="0" fillId="0" borderId="0"/>
    <xf numFmtId="0" fontId="3" fillId="0" borderId="0"/>
    <xf numFmtId="164" fontId="6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0" fontId="12" fillId="3" borderId="0" applyNumberFormat="0" applyBorder="0" applyAlignment="0" applyProtection="0"/>
    <xf numFmtId="0" fontId="1" fillId="4" borderId="0" applyNumberFormat="0" applyBorder="0" applyAlignment="0" applyProtection="0"/>
    <xf numFmtId="164" fontId="10" fillId="0" borderId="0" applyFont="0" applyFill="0" applyBorder="0" applyAlignment="0" applyProtection="0"/>
    <xf numFmtId="0" fontId="3" fillId="0" borderId="0"/>
    <xf numFmtId="0" fontId="17" fillId="0" borderId="0" applyNumberFormat="0" applyFill="0" applyBorder="0" applyAlignment="0" applyProtection="0">
      <alignment readingOrder="2"/>
    </xf>
    <xf numFmtId="0" fontId="18" fillId="5" borderId="0" applyNumberFormat="0" applyBorder="0" applyAlignment="0" applyProtection="0">
      <alignment readingOrder="2"/>
    </xf>
    <xf numFmtId="0" fontId="19" fillId="0" borderId="0" applyNumberFormat="0" applyFill="0" applyBorder="0" applyProtection="0"/>
    <xf numFmtId="0" fontId="17" fillId="2" borderId="0" applyNumberFormat="0" applyBorder="0" applyAlignment="0" applyProtection="0">
      <alignment readingOrder="2"/>
    </xf>
    <xf numFmtId="0" fontId="20" fillId="0" borderId="0" applyNumberFormat="0" applyFill="0" applyBorder="0" applyProtection="0">
      <alignment horizontal="right"/>
    </xf>
    <xf numFmtId="174" fontId="21" fillId="0" borderId="0" applyFont="0" applyFill="0" applyBorder="0" applyProtection="0">
      <alignment horizontal="left"/>
    </xf>
    <xf numFmtId="0" fontId="17" fillId="0" borderId="0" applyNumberFormat="0" applyFill="0" applyBorder="0" applyProtection="0">
      <alignment horizontal="right"/>
    </xf>
    <xf numFmtId="0" fontId="24" fillId="0" borderId="0" applyNumberFormat="0" applyFill="0" applyBorder="0" applyAlignment="0" applyProtection="0"/>
  </cellStyleXfs>
  <cellXfs count="68">
    <xf numFmtId="0" fontId="0" fillId="0" borderId="0" xfId="0"/>
    <xf numFmtId="0" fontId="2" fillId="0" borderId="0" xfId="1" applyFont="1" applyProtection="1">
      <protection locked="0"/>
    </xf>
    <xf numFmtId="0" fontId="4" fillId="0" borderId="0" xfId="1" applyFont="1" applyProtection="1">
      <protection locked="0"/>
    </xf>
    <xf numFmtId="0" fontId="2" fillId="0" borderId="0" xfId="1" applyFont="1" applyAlignment="1" applyProtection="1">
      <alignment wrapText="1"/>
      <protection locked="0"/>
    </xf>
    <xf numFmtId="0" fontId="2" fillId="0" borderId="0" xfId="1" applyFont="1" applyAlignment="1" applyProtection="1">
      <alignment wrapText="1"/>
      <protection locked="0"/>
    </xf>
    <xf numFmtId="165" fontId="4" fillId="0" borderId="0" xfId="1" applyNumberFormat="1" applyFont="1" applyProtection="1">
      <protection locked="0"/>
    </xf>
    <xf numFmtId="0" fontId="8" fillId="0" borderId="0" xfId="1" applyFont="1" applyProtection="1">
      <protection locked="0"/>
    </xf>
    <xf numFmtId="0" fontId="7" fillId="0" borderId="0" xfId="1" applyFont="1" applyProtection="1">
      <protection locked="0"/>
    </xf>
    <xf numFmtId="167" fontId="8" fillId="0" borderId="0" xfId="1" applyNumberFormat="1" applyFont="1" applyProtection="1">
      <protection locked="0"/>
    </xf>
    <xf numFmtId="165" fontId="9" fillId="0" borderId="0" xfId="1" applyNumberFormat="1" applyFont="1" applyProtection="1">
      <protection locked="0"/>
    </xf>
    <xf numFmtId="0" fontId="8" fillId="0" borderId="0" xfId="1" applyFont="1" applyAlignment="1" applyProtection="1">
      <alignment horizontal="center"/>
      <protection locked="0"/>
    </xf>
    <xf numFmtId="166" fontId="9" fillId="0" borderId="0" xfId="1" applyNumberFormat="1" applyFont="1" applyAlignment="1" applyProtection="1">
      <alignment horizontal="center"/>
      <protection locked="0"/>
    </xf>
    <xf numFmtId="165" fontId="7" fillId="0" borderId="0" xfId="1" applyNumberFormat="1" applyFont="1" applyAlignment="1" applyProtection="1">
      <alignment horizontal="center"/>
      <protection locked="0"/>
    </xf>
    <xf numFmtId="1" fontId="7" fillId="0" borderId="0" xfId="1" applyNumberFormat="1" applyFont="1" applyAlignment="1" applyProtection="1">
      <alignment horizontal="center"/>
      <protection locked="0"/>
    </xf>
    <xf numFmtId="0" fontId="5" fillId="0" borderId="0" xfId="1" applyNumberFormat="1" applyFont="1" applyProtection="1">
      <protection locked="0"/>
    </xf>
    <xf numFmtId="0" fontId="7" fillId="0" borderId="0" xfId="1" applyFont="1" applyAlignment="1" applyProtection="1">
      <protection locked="0"/>
    </xf>
    <xf numFmtId="0" fontId="5" fillId="0" borderId="0" xfId="1" applyFont="1" applyAlignment="1" applyProtection="1">
      <alignment horizontal="right"/>
      <protection locked="0"/>
    </xf>
    <xf numFmtId="171" fontId="23" fillId="6" borderId="7" xfId="0" applyNumberFormat="1" applyFont="1" applyFill="1" applyBorder="1"/>
    <xf numFmtId="171" fontId="5" fillId="6" borderId="7" xfId="0" applyNumberFormat="1" applyFont="1" applyFill="1" applyBorder="1"/>
    <xf numFmtId="171" fontId="23" fillId="6" borderId="6" xfId="0" applyNumberFormat="1" applyFont="1" applyFill="1" applyBorder="1"/>
    <xf numFmtId="171" fontId="5" fillId="6" borderId="12" xfId="0" applyNumberFormat="1" applyFont="1" applyFill="1" applyBorder="1"/>
    <xf numFmtId="0" fontId="22" fillId="7" borderId="16" xfId="5" applyFont="1" applyFill="1" applyBorder="1" applyAlignment="1">
      <alignment horizontal="center" vertical="center" wrapText="1"/>
    </xf>
    <xf numFmtId="0" fontId="22" fillId="7" borderId="17" xfId="5" applyFont="1" applyFill="1" applyBorder="1" applyAlignment="1">
      <alignment horizontal="center" vertical="center" wrapText="1"/>
    </xf>
    <xf numFmtId="0" fontId="13" fillId="7" borderId="17" xfId="5" applyFont="1" applyFill="1" applyBorder="1" applyAlignment="1">
      <alignment horizontal="right" vertical="center" wrapText="1"/>
    </xf>
    <xf numFmtId="0" fontId="22" fillId="7" borderId="17" xfId="5" applyNumberFormat="1" applyFont="1" applyFill="1" applyBorder="1" applyAlignment="1">
      <alignment horizontal="center" vertical="center" wrapText="1"/>
    </xf>
    <xf numFmtId="167" fontId="22" fillId="7" borderId="17" xfId="5" applyNumberFormat="1" applyFont="1" applyFill="1" applyBorder="1" applyAlignment="1">
      <alignment horizontal="center" vertical="center" wrapText="1"/>
    </xf>
    <xf numFmtId="165" fontId="22" fillId="7" borderId="17" xfId="5" applyNumberFormat="1" applyFont="1" applyFill="1" applyBorder="1" applyAlignment="1">
      <alignment horizontal="center" vertical="center" wrapText="1"/>
    </xf>
    <xf numFmtId="166" fontId="22" fillId="7" borderId="17" xfId="5" applyNumberFormat="1" applyFont="1" applyFill="1" applyBorder="1" applyAlignment="1">
      <alignment horizontal="center" vertical="center" wrapText="1"/>
    </xf>
    <xf numFmtId="0" fontId="22" fillId="7" borderId="18" xfId="5" applyFont="1" applyFill="1" applyBorder="1" applyAlignment="1">
      <alignment vertical="center" wrapText="1"/>
    </xf>
    <xf numFmtId="172" fontId="11" fillId="7" borderId="18" xfId="5" applyNumberFormat="1" applyFont="1" applyFill="1" applyBorder="1" applyAlignment="1">
      <alignment horizontal="center" vertical="center" wrapText="1"/>
    </xf>
    <xf numFmtId="0" fontId="13" fillId="7" borderId="2" xfId="5" applyFont="1" applyFill="1" applyBorder="1" applyAlignment="1">
      <alignment horizontal="center" vertical="center"/>
    </xf>
    <xf numFmtId="164" fontId="13" fillId="7" borderId="5" xfId="6" applyNumberFormat="1" applyFont="1" applyFill="1" applyBorder="1" applyAlignment="1">
      <alignment horizontal="right" vertical="center"/>
    </xf>
    <xf numFmtId="0" fontId="13" fillId="7" borderId="1" xfId="5" applyFont="1" applyFill="1" applyBorder="1" applyAlignment="1">
      <alignment horizontal="center" vertical="center"/>
    </xf>
    <xf numFmtId="164" fontId="13" fillId="7" borderId="4" xfId="2" applyFont="1" applyFill="1" applyBorder="1" applyAlignment="1">
      <alignment horizontal="right" vertical="center"/>
    </xf>
    <xf numFmtId="164" fontId="13" fillId="7" borderId="4" xfId="6" applyNumberFormat="1" applyFont="1" applyFill="1" applyBorder="1" applyAlignment="1">
      <alignment horizontal="right" vertical="center"/>
    </xf>
    <xf numFmtId="0" fontId="13" fillId="7" borderId="3" xfId="0" applyFont="1" applyFill="1" applyBorder="1" applyAlignment="1">
      <alignment horizontal="center" vertical="center"/>
    </xf>
    <xf numFmtId="0" fontId="14" fillId="7" borderId="0" xfId="0" applyFont="1" applyFill="1" applyAlignment="1">
      <alignment horizontal="right"/>
    </xf>
    <xf numFmtId="171" fontId="5" fillId="6" borderId="6" xfId="0" applyNumberFormat="1" applyFont="1" applyFill="1" applyBorder="1"/>
    <xf numFmtId="165" fontId="11" fillId="7" borderId="10" xfId="5" applyNumberFormat="1" applyFont="1" applyFill="1" applyBorder="1" applyAlignment="1">
      <alignment horizontal="center" vertical="center"/>
    </xf>
    <xf numFmtId="165" fontId="11" fillId="7" borderId="19" xfId="5" applyNumberFormat="1" applyFont="1" applyFill="1" applyBorder="1" applyAlignment="1">
      <alignment horizontal="center" vertical="center"/>
    </xf>
    <xf numFmtId="165" fontId="11" fillId="7" borderId="20" xfId="5" applyNumberFormat="1" applyFont="1" applyFill="1" applyBorder="1" applyAlignment="1">
      <alignment horizontal="center" vertical="center"/>
    </xf>
    <xf numFmtId="165" fontId="22" fillId="7" borderId="10" xfId="5" applyNumberFormat="1" applyFont="1" applyFill="1" applyBorder="1" applyAlignment="1">
      <alignment horizontal="center" vertical="center" wrapText="1"/>
    </xf>
    <xf numFmtId="165" fontId="22" fillId="7" borderId="19" xfId="5" applyNumberFormat="1" applyFont="1" applyFill="1" applyBorder="1" applyAlignment="1">
      <alignment horizontal="center" vertical="center" wrapText="1"/>
    </xf>
    <xf numFmtId="165" fontId="22" fillId="7" borderId="8" xfId="5" applyNumberFormat="1" applyFont="1" applyFill="1" applyBorder="1" applyAlignment="1">
      <alignment horizontal="center" vertical="center" wrapText="1"/>
    </xf>
    <xf numFmtId="0" fontId="25" fillId="2" borderId="11" xfId="9" applyFont="1" applyFill="1" applyBorder="1" applyAlignment="1">
      <alignment horizontal="center" vertical="center" readingOrder="2"/>
    </xf>
    <xf numFmtId="0" fontId="15" fillId="9" borderId="21" xfId="2" applyNumberFormat="1" applyFont="1" applyFill="1" applyBorder="1" applyAlignment="1">
      <alignment horizontal="right" vertical="center" indent="1"/>
    </xf>
    <xf numFmtId="171" fontId="15" fillId="9" borderId="21" xfId="2" applyNumberFormat="1" applyFont="1" applyFill="1" applyBorder="1" applyAlignment="1">
      <alignment horizontal="right" vertical="center" indent="1"/>
    </xf>
    <xf numFmtId="172" fontId="15" fillId="9" borderId="21" xfId="2" applyNumberFormat="1" applyFont="1" applyFill="1" applyBorder="1" applyAlignment="1">
      <alignment horizontal="right" vertical="center" indent="1"/>
    </xf>
    <xf numFmtId="171" fontId="15" fillId="9" borderId="21" xfId="2" applyNumberFormat="1" applyFont="1" applyFill="1" applyBorder="1" applyAlignment="1">
      <alignment vertical="center"/>
    </xf>
    <xf numFmtId="171" fontId="15" fillId="9" borderId="21" xfId="2" applyNumberFormat="1" applyFont="1" applyFill="1" applyBorder="1" applyAlignment="1" applyProtection="1">
      <alignment horizontal="right" vertical="center" indent="1"/>
      <protection locked="0"/>
    </xf>
    <xf numFmtId="0" fontId="15" fillId="8" borderId="13" xfId="2" applyNumberFormat="1" applyFont="1" applyFill="1" applyBorder="1" applyAlignment="1">
      <alignment horizontal="right" vertical="center" indent="1"/>
    </xf>
    <xf numFmtId="171" fontId="15" fillId="8" borderId="14" xfId="2" applyNumberFormat="1" applyFont="1" applyFill="1" applyBorder="1" applyAlignment="1">
      <alignment horizontal="right" vertical="center" indent="1"/>
    </xf>
    <xf numFmtId="172" fontId="15" fillId="8" borderId="14" xfId="2" applyNumberFormat="1" applyFont="1" applyFill="1" applyBorder="1" applyAlignment="1">
      <alignment horizontal="right" vertical="center" indent="1"/>
    </xf>
    <xf numFmtId="171" fontId="15" fillId="8" borderId="15" xfId="2" applyNumberFormat="1" applyFont="1" applyFill="1" applyBorder="1" applyAlignment="1">
      <alignment vertical="center"/>
    </xf>
    <xf numFmtId="171" fontId="15" fillId="8" borderId="13" xfId="2" applyNumberFormat="1" applyFont="1" applyFill="1" applyBorder="1" applyAlignment="1">
      <alignment horizontal="right" vertical="center" indent="1"/>
    </xf>
    <xf numFmtId="171" fontId="15" fillId="8" borderId="15" xfId="2" applyNumberFormat="1" applyFont="1" applyFill="1" applyBorder="1" applyAlignment="1">
      <alignment horizontal="right" vertical="center" indent="1"/>
    </xf>
    <xf numFmtId="171" fontId="15" fillId="8" borderId="22" xfId="2" applyNumberFormat="1" applyFont="1" applyFill="1" applyBorder="1" applyAlignment="1">
      <alignment horizontal="right" vertical="center" indent="1"/>
    </xf>
    <xf numFmtId="171" fontId="15" fillId="8" borderId="14" xfId="2" applyNumberFormat="1" applyFont="1" applyFill="1" applyBorder="1" applyAlignment="1" applyProtection="1">
      <alignment horizontal="right" vertical="center" indent="1"/>
      <protection locked="0"/>
    </xf>
    <xf numFmtId="171" fontId="15" fillId="8" borderId="15" xfId="2" applyNumberFormat="1" applyFont="1" applyFill="1" applyBorder="1" applyAlignment="1" applyProtection="1">
      <alignment horizontal="right" vertical="center" indent="1"/>
      <protection locked="0"/>
    </xf>
    <xf numFmtId="0" fontId="25" fillId="2" borderId="11" xfId="9" applyFont="1" applyFill="1" applyBorder="1" applyAlignment="1">
      <alignment horizontal="center" vertical="center" wrapText="1" readingOrder="2"/>
    </xf>
    <xf numFmtId="171" fontId="15" fillId="8" borderId="9" xfId="2" applyNumberFormat="1" applyFont="1" applyFill="1" applyBorder="1" applyAlignment="1">
      <alignment vertical="center"/>
    </xf>
    <xf numFmtId="171" fontId="15" fillId="8" borderId="17" xfId="2" applyNumberFormat="1" applyFont="1" applyFill="1" applyBorder="1" applyAlignment="1">
      <alignment horizontal="right" vertical="center" indent="1"/>
    </xf>
    <xf numFmtId="171" fontId="15" fillId="9" borderId="23" xfId="2" applyNumberFormat="1" applyFont="1" applyFill="1" applyBorder="1" applyAlignment="1">
      <alignment horizontal="right" vertical="center" indent="1"/>
    </xf>
    <xf numFmtId="171" fontId="15" fillId="8" borderId="9" xfId="2" applyNumberFormat="1" applyFont="1" applyFill="1" applyBorder="1" applyAlignment="1">
      <alignment horizontal="right" vertical="center" indent="1"/>
    </xf>
    <xf numFmtId="0" fontId="4" fillId="0" borderId="24" xfId="1" applyFont="1" applyBorder="1" applyProtection="1">
      <protection locked="0"/>
    </xf>
    <xf numFmtId="0" fontId="4" fillId="0" borderId="25" xfId="1" applyFont="1" applyBorder="1" applyProtection="1">
      <protection locked="0"/>
    </xf>
    <xf numFmtId="0" fontId="4" fillId="0" borderId="26" xfId="1" applyFont="1" applyBorder="1" applyProtection="1">
      <protection locked="0"/>
    </xf>
    <xf numFmtId="0" fontId="2" fillId="6" borderId="0" xfId="1" applyFont="1" applyFill="1" applyProtection="1">
      <protection locked="0"/>
    </xf>
  </cellXfs>
  <cellStyles count="17">
    <cellStyle name="20% - Accent6" xfId="6" builtinId="50"/>
    <cellStyle name="Comma" xfId="2" builtinId="3"/>
    <cellStyle name="Comma 2" xfId="4" xr:uid="{B624411F-E740-4D97-9E9A-159DA1E04CB3}"/>
    <cellStyle name="Comma 2 2" xfId="7" xr:uid="{1ED321E4-BF34-4824-BDCA-80EA32273C9E}"/>
    <cellStyle name="Explanatory Text" xfId="1" builtinId="53" customBuiltin="1"/>
    <cellStyle name="Explanatory Text 2" xfId="8" xr:uid="{CE7BC31F-B808-40BE-89CF-92DD66767084}"/>
    <cellStyle name="Good" xfId="5" builtinId="26"/>
    <cellStyle name="Heading 1 2" xfId="11" xr:uid="{87DD3D61-0F22-4FA3-B970-CB8A83172DA6}"/>
    <cellStyle name="Normal" xfId="0" builtinId="0"/>
    <cellStyle name="Normal 2" xfId="3" xr:uid="{3F71EED0-98FF-45AC-BC57-685C8B3A31FB}"/>
    <cellStyle name="Normal 3" xfId="9" xr:uid="{121A4912-3FA8-4CDB-A825-605ADB6B484B}"/>
    <cellStyle name="Normal 4" xfId="16" xr:uid="{55F1DCD8-6802-46E5-A22B-FC15425007A7}"/>
    <cellStyle name="التحريك إلى مستوى أدنى" xfId="15" xr:uid="{59ACFBB3-7914-4CC9-B7AF-C0D661FFC28A}"/>
    <cellStyle name="العملة المخصصة" xfId="14" xr:uid="{90097114-872F-4579-9D15-5D0D90B7E44A}"/>
    <cellStyle name="العنصر" xfId="13" xr:uid="{4A6FD7D8-AB89-4F08-A4F3-6E8AEE186B44}"/>
    <cellStyle name="خلفية أرجوانية" xfId="10" xr:uid="{8147CFF8-D527-45ED-8FD2-2BE984440C5C}"/>
    <cellStyle name="خلفية بيضاء" xfId="12" xr:uid="{10B8AF9B-6EAE-4778-8950-01BF5FF24738}"/>
  </cellStyles>
  <dxfs count="70">
    <dxf>
      <font>
        <color rgb="FF800080"/>
        <name val="Calibri"/>
        <family val="2"/>
      </font>
      <fill>
        <patternFill>
          <bgColor rgb="FFFF99CC"/>
        </patternFill>
      </fill>
    </dxf>
    <dxf>
      <font>
        <color rgb="FF800080"/>
        <name val="Calibri"/>
        <family val="2"/>
      </font>
      <fill>
        <patternFill>
          <bgColor rgb="FFFF99CC"/>
        </patternFill>
      </fill>
    </dxf>
    <dxf>
      <font>
        <color rgb="FF800080"/>
        <name val="Calibri"/>
        <family val="2"/>
      </font>
      <fill>
        <patternFill>
          <bgColor rgb="FFFF99CC"/>
        </patternFill>
      </fill>
    </dxf>
    <dxf>
      <font>
        <color rgb="FF800080"/>
        <name val="Calibri"/>
        <family val="2"/>
      </font>
      <fill>
        <patternFill>
          <bgColor rgb="FFFF99C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akkal Majalla"/>
        <scheme val="none"/>
      </font>
      <numFmt numFmtId="171" formatCode="_(* #,##0_);_(* \(#,##0\);_(* &quot;-&quot;??_);_(@_)"/>
      <fill>
        <patternFill patternType="solid">
          <fgColor indexed="64"/>
          <bgColor rgb="FFFFCC00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akkal Majalla"/>
        <scheme val="none"/>
      </font>
      <numFmt numFmtId="171" formatCode="_(* #,##0_);_(* \(#,##0\);_(* &quot;-&quot;??_);_(@_)"/>
      <fill>
        <patternFill patternType="solid">
          <fgColor indexed="64"/>
          <bgColor rgb="FFFFCC00"/>
        </patternFill>
      </fill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akkal Majalla"/>
        <scheme val="none"/>
      </font>
      <numFmt numFmtId="171" formatCode="_(* #,##0_);_(* \(#,##0\);_(* &quot;-&quot;??_);_(@_)"/>
      <fill>
        <patternFill patternType="solid">
          <fgColor indexed="64"/>
          <bgColor rgb="FFFFCC00"/>
        </patternFill>
      </fill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akkal Majalla"/>
        <scheme val="none"/>
      </font>
      <numFmt numFmtId="171" formatCode="_(* #,##0_);_(* \(#,##0\);_(* &quot;-&quot;??_);_(@_)"/>
      <fill>
        <patternFill patternType="solid">
          <fgColor indexed="64"/>
          <bgColor rgb="FFFFCC00"/>
        </patternFill>
      </fill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akkal Majalla"/>
        <scheme val="none"/>
      </font>
      <numFmt numFmtId="171" formatCode="_(* #,##0_);_(* \(#,##0\);_(* &quot;-&quot;??_);_(@_)"/>
      <fill>
        <patternFill patternType="solid">
          <fgColor indexed="64"/>
          <bgColor rgb="FFFFCC00"/>
        </patternFill>
      </fill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akkal Majalla"/>
        <scheme val="none"/>
      </font>
      <numFmt numFmtId="171" formatCode="_(* #,##0_);_(* \(#,##0\);_(* &quot;-&quot;??_);_(@_)"/>
      <fill>
        <patternFill patternType="solid">
          <fgColor indexed="64"/>
          <bgColor rgb="FFFFCC00"/>
        </patternFill>
      </fill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akkal Majalla"/>
        <scheme val="none"/>
      </font>
      <numFmt numFmtId="171" formatCode="_(* #,##0_);_(* \(#,##0\);_(* &quot;-&quot;??_);_(@_)"/>
      <fill>
        <patternFill patternType="solid">
          <fgColor indexed="64"/>
          <bgColor rgb="FFFFCC00"/>
        </patternFill>
      </fill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akkal Majalla"/>
        <scheme val="none"/>
      </font>
      <numFmt numFmtId="171" formatCode="_(* #,##0_);_(* \(#,##0\);_(* &quot;-&quot;??_);_(@_)"/>
      <fill>
        <patternFill patternType="solid">
          <fgColor indexed="64"/>
          <bgColor rgb="FFFFCC00"/>
        </patternFill>
      </fill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akkal Majalla"/>
        <scheme val="none"/>
      </font>
      <numFmt numFmtId="171" formatCode="_(* #,##0_);_(* \(#,##0\);_(* &quot;-&quot;??_);_(@_)"/>
      <fill>
        <patternFill patternType="solid">
          <fgColor indexed="64"/>
          <bgColor rgb="FFFFCC00"/>
        </patternFill>
      </fill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akkal Majalla"/>
        <scheme val="none"/>
      </font>
      <numFmt numFmtId="171" formatCode="_(* #,##0_);_(* \(#,##0\);_(* &quot;-&quot;??_);_(@_)"/>
      <fill>
        <patternFill patternType="solid">
          <fgColor indexed="64"/>
          <bgColor rgb="FFFFCC00"/>
        </patternFill>
      </fill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akkal Majalla"/>
        <scheme val="none"/>
      </font>
      <numFmt numFmtId="171" formatCode="_(* #,##0_);_(* \(#,##0\);_(* &quot;-&quot;??_);_(@_)"/>
      <fill>
        <patternFill patternType="solid">
          <fgColor indexed="64"/>
          <bgColor rgb="FFFFCC00"/>
        </patternFill>
      </fill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akkal Majalla"/>
        <scheme val="none"/>
      </font>
      <numFmt numFmtId="171" formatCode="_(* #,##0_);_(* \(#,##0\);_(* &quot;-&quot;??_);_(@_)"/>
      <fill>
        <patternFill patternType="solid">
          <fgColor indexed="64"/>
          <bgColor rgb="FFFFCC00"/>
        </patternFill>
      </fill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akkal Majalla"/>
        <scheme val="none"/>
      </font>
      <numFmt numFmtId="171" formatCode="_(* #,##0_);_(* \(#,##0\);_(* &quot;-&quot;??_);_(@_)"/>
      <fill>
        <patternFill patternType="solid">
          <fgColor indexed="64"/>
          <bgColor rgb="FFFFCC00"/>
        </patternFill>
      </fill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akkal Majalla"/>
        <scheme val="none"/>
      </font>
      <numFmt numFmtId="171" formatCode="_(* #,##0_);_(* \(#,##0\);_(* &quot;-&quot;??_);_(@_)"/>
      <fill>
        <patternFill patternType="solid">
          <fgColor indexed="64"/>
          <bgColor rgb="FFFFCC00"/>
        </patternFill>
      </fill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akkal Majalla"/>
        <scheme val="none"/>
      </font>
      <numFmt numFmtId="171" formatCode="_(* #,##0_);_(* \(#,##0\);_(* &quot;-&quot;??_);_(@_)"/>
      <fill>
        <patternFill patternType="solid">
          <fgColor indexed="64"/>
          <bgColor rgb="FFFFCC00"/>
        </patternFill>
      </fill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akkal Majalla"/>
        <scheme val="none"/>
      </font>
      <numFmt numFmtId="171" formatCode="_(* #,##0_);_(* \(#,##0\);_(* &quot;-&quot;??_);_(@_)"/>
      <fill>
        <patternFill patternType="solid">
          <fgColor indexed="64"/>
          <bgColor rgb="FFFFCC00"/>
        </patternFill>
      </fill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akkal Majalla"/>
        <scheme val="none"/>
      </font>
      <numFmt numFmtId="171" formatCode="_(* #,##0_);_(* \(#,##0\);_(* &quot;-&quot;??_);_(@_)"/>
      <fill>
        <patternFill patternType="solid">
          <fgColor indexed="64"/>
          <bgColor rgb="FFFFCC00"/>
        </patternFill>
      </fill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akkal Majalla"/>
        <scheme val="none"/>
      </font>
      <numFmt numFmtId="171" formatCode="_(* #,##0_);_(* \(#,##0\);_(* &quot;-&quot;??_);_(@_)"/>
      <fill>
        <patternFill patternType="solid">
          <fgColor indexed="64"/>
          <bgColor rgb="FFFFCC00"/>
        </patternFill>
      </fill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akkal Majalla"/>
        <scheme val="none"/>
      </font>
      <numFmt numFmtId="171" formatCode="_(* #,##0_);_(* \(#,##0\);_(* &quot;-&quot;??_);_(@_)"/>
      <fill>
        <patternFill patternType="solid">
          <fgColor indexed="64"/>
          <bgColor rgb="FFFFCC00"/>
        </patternFill>
      </fill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akkal Majalla"/>
        <scheme val="none"/>
      </font>
      <numFmt numFmtId="171" formatCode="_(* #,##0_);_(* \(#,##0\);_(* &quot;-&quot;??_);_(@_)"/>
      <fill>
        <patternFill patternType="solid">
          <fgColor indexed="64"/>
          <bgColor rgb="FFFFCC00"/>
        </patternFill>
      </fill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akkal Majalla"/>
        <scheme val="none"/>
      </font>
      <numFmt numFmtId="171" formatCode="_(* #,##0_);_(* \(#,##0\);_(* &quot;-&quot;??_);_(@_)"/>
      <fill>
        <patternFill patternType="solid">
          <fgColor indexed="64"/>
          <bgColor rgb="FFFFCC00"/>
        </patternFill>
      </fill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akkal Majalla"/>
        <scheme val="none"/>
      </font>
      <numFmt numFmtId="171" formatCode="_(* #,##0_);_(* \(#,##0\);_(* &quot;-&quot;??_);_(@_)"/>
      <fill>
        <patternFill patternType="solid">
          <fgColor indexed="64"/>
          <bgColor rgb="FFFFCC00"/>
        </patternFill>
      </fill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akkal Majalla"/>
        <scheme val="none"/>
      </font>
      <numFmt numFmtId="171" formatCode="_(* #,##0_);_(* \(#,##0\);_(* &quot;-&quot;??_);_(@_)"/>
      <fill>
        <patternFill patternType="solid">
          <fgColor indexed="64"/>
          <bgColor rgb="FFFFCC00"/>
        </patternFill>
      </fill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71" formatCode="_(* #,##0_);_(* \(#,##0\);_(* &quot;-&quot;??_);_(@_)"/>
      <fill>
        <patternFill patternType="solid">
          <fgColor indexed="64"/>
          <bgColor rgb="FFFFCC00"/>
        </patternFill>
      </fill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71" formatCode="_(* #,##0_);_(* \(#,##0\);_(* &quot;-&quot;??_);_(@_)"/>
      <fill>
        <patternFill patternType="solid">
          <fgColor indexed="64"/>
          <bgColor rgb="FFFFCC00"/>
        </patternFill>
      </fill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71" formatCode="_(* #,##0_);_(* \(#,##0\);_(* &quot;-&quot;??_);_(@_)"/>
      <fill>
        <patternFill patternType="solid">
          <fgColor indexed="64"/>
          <bgColor rgb="FFFFCC00"/>
        </patternFill>
      </fill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solid">
          <fgColor indexed="64"/>
          <bgColor rgb="FF660033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Sakkal Majalla"/>
        <scheme val="none"/>
      </font>
      <fill>
        <patternFill patternType="solid">
          <fgColor indexed="64"/>
          <bgColor rgb="FF66003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Sakkal Majalla"/>
        <scheme val="none"/>
      </font>
      <fill>
        <patternFill patternType="solid">
          <fgColor indexed="64"/>
          <bgColor rgb="FF66003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Sakkal Majalla"/>
        <scheme val="none"/>
      </font>
      <numFmt numFmtId="164" formatCode="_(* #,##0.00_);_(* \(#,##0.00\);_(* &quot;-&quot;??_);_(@_)"/>
      <fill>
        <patternFill patternType="none">
          <fgColor indexed="64"/>
          <bgColor auto="1"/>
        </patternFill>
      </fill>
      <alignment horizontal="right" vertical="center" textRotation="0" wrapText="0" indent="1" justifyLastLine="0" shrinkToFit="0" readingOrder="0"/>
      <border diagonalUp="0" diagonalDown="0" outline="0">
        <left style="thin">
          <color theme="0" tint="-4.9989318521683403E-2"/>
        </left>
        <right/>
        <top style="thin">
          <color theme="0" tint="-4.9989318521683403E-2"/>
        </top>
        <bottom style="thin">
          <color theme="0" tint="-0.34998626667073579"/>
        </bottom>
      </border>
    </dxf>
    <dxf>
      <font>
        <strike val="0"/>
        <outline val="0"/>
        <shadow val="0"/>
        <u val="none"/>
        <vertAlign val="baseline"/>
        <sz val="11"/>
        <color auto="1"/>
        <name val="Sakkal Majalla"/>
        <scheme val="none"/>
      </font>
      <numFmt numFmtId="164" formatCode="_(* #,##0.00_);_(* \(#,##0.00\);_(* &quot;-&quot;??_);_(@_)"/>
      <fill>
        <patternFill patternType="none">
          <fgColor indexed="64"/>
          <bgColor auto="1"/>
        </patternFill>
      </fill>
      <alignment horizontal="right" vertical="center" textRotation="0" wrapText="0" indent="1" justifyLastLine="0" shrinkToFit="0" readingOrder="0"/>
      <border diagonalUp="0" diagonalDown="0" outline="0">
        <left style="thin">
          <color theme="0" tint="-4.9989318521683403E-2"/>
        </left>
        <right/>
        <top style="thin">
          <color theme="0" tint="-4.9989318521683403E-2"/>
        </top>
        <bottom style="thin">
          <color theme="0" tint="-0.34998626667073579"/>
        </bottom>
      </border>
    </dxf>
    <dxf>
      <font>
        <strike val="0"/>
        <outline val="0"/>
        <shadow val="0"/>
        <u val="none"/>
        <vertAlign val="baseline"/>
        <sz val="11"/>
        <color auto="1"/>
        <name val="Sakkal Majalla"/>
        <scheme val="none"/>
      </font>
      <numFmt numFmtId="164" formatCode="_(* #,##0.00_);_(* \(#,##0.00\);_(* &quot;-&quot;??_);_(@_)"/>
      <fill>
        <patternFill patternType="none">
          <fgColor indexed="64"/>
          <bgColor auto="1"/>
        </patternFill>
      </fill>
      <alignment horizontal="right" vertical="center" textRotation="0" wrapText="0" indent="1" justifyLastLine="0" shrinkToFit="0" readingOrder="0"/>
      <border diagonalUp="0" diagonalDown="0" outline="0">
        <left style="thin">
          <color theme="0" tint="-4.9989318521683403E-2"/>
        </left>
        <right/>
        <top style="thin">
          <color theme="0" tint="-4.9989318521683403E-2"/>
        </top>
        <bottom style="thin">
          <color theme="0" tint="-0.34998626667073579"/>
        </bottom>
      </border>
    </dxf>
    <dxf>
      <font>
        <strike val="0"/>
        <outline val="0"/>
        <shadow val="0"/>
        <u val="none"/>
        <vertAlign val="baseline"/>
        <sz val="11"/>
        <color auto="1"/>
        <name val="Sakkal Majalla"/>
        <scheme val="none"/>
      </font>
      <numFmt numFmtId="164" formatCode="_(* #,##0.00_);_(* \(#,##0.00\);_(* &quot;-&quot;??_);_(@_)"/>
      <fill>
        <patternFill patternType="none">
          <fgColor indexed="64"/>
          <bgColor auto="1"/>
        </patternFill>
      </fill>
      <alignment horizontal="right" vertical="center" textRotation="0" wrapText="0" indent="1" justifyLastLine="0" shrinkToFit="0" readingOrder="0"/>
      <border diagonalUp="0" diagonalDown="0" outline="0">
        <left style="thin">
          <color theme="0" tint="-4.9989318521683403E-2"/>
        </left>
        <right/>
        <top style="thin">
          <color theme="0" tint="-4.9989318521683403E-2"/>
        </top>
        <bottom style="thin">
          <color theme="0" tint="-0.34998626667073579"/>
        </bottom>
      </border>
    </dxf>
    <dxf>
      <font>
        <strike val="0"/>
        <outline val="0"/>
        <shadow val="0"/>
        <u val="none"/>
        <vertAlign val="baseline"/>
        <sz val="11"/>
        <color auto="1"/>
        <name val="Sakkal Majalla"/>
        <scheme val="none"/>
      </font>
      <numFmt numFmtId="164" formatCode="_(* #,##0.00_);_(* \(#,##0.00\);_(* &quot;-&quot;??_);_(@_)"/>
      <fill>
        <patternFill patternType="none">
          <fgColor indexed="64"/>
          <bgColor auto="1"/>
        </patternFill>
      </fill>
      <alignment horizontal="right" vertical="center" textRotation="0" wrapText="0" indent="1" justifyLastLine="0" shrinkToFit="0" readingOrder="0"/>
      <border diagonalUp="0" diagonalDown="0" outline="0">
        <left style="thin">
          <color theme="0" tint="-4.9989318521683403E-2"/>
        </left>
        <right/>
        <top style="thin">
          <color theme="0" tint="-4.9989318521683403E-2"/>
        </top>
        <bottom style="thin">
          <color theme="0" tint="-0.34998626667073579"/>
        </bottom>
      </border>
    </dxf>
    <dxf>
      <font>
        <strike val="0"/>
        <outline val="0"/>
        <shadow val="0"/>
        <u val="none"/>
        <vertAlign val="baseline"/>
        <sz val="11"/>
        <color auto="1"/>
        <name val="Sakkal Majalla"/>
        <scheme val="none"/>
      </font>
      <numFmt numFmtId="164" formatCode="_(* #,##0.00_);_(* \(#,##0.00\);_(* &quot;-&quot;??_);_(@_)"/>
      <fill>
        <patternFill patternType="none">
          <fgColor indexed="64"/>
          <bgColor auto="1"/>
        </patternFill>
      </fill>
      <alignment horizontal="right" vertical="center" textRotation="0" wrapText="0" indent="1" justifyLastLine="0" shrinkToFit="0" readingOrder="0"/>
      <border diagonalUp="0" diagonalDown="0" outline="0">
        <left style="thin">
          <color theme="0" tint="-4.9989318521683403E-2"/>
        </left>
        <right/>
        <top style="thin">
          <color theme="0" tint="-4.9989318521683403E-2"/>
        </top>
        <bottom style="thin">
          <color theme="0" tint="-0.34998626667073579"/>
        </bottom>
      </border>
    </dxf>
    <dxf>
      <font>
        <strike val="0"/>
        <outline val="0"/>
        <shadow val="0"/>
        <u val="none"/>
        <vertAlign val="baseline"/>
        <sz val="11"/>
        <color auto="1"/>
        <name val="Sakkal Majalla"/>
        <scheme val="none"/>
      </font>
      <numFmt numFmtId="164" formatCode="_(* #,##0.00_);_(* \(#,##0.00\);_(* &quot;-&quot;??_);_(@_)"/>
      <fill>
        <patternFill patternType="none">
          <fgColor indexed="64"/>
          <bgColor auto="1"/>
        </patternFill>
      </fill>
      <alignment horizontal="right" vertical="center" textRotation="0" wrapText="0" indent="1" justifyLastLine="0" shrinkToFit="0" readingOrder="0"/>
      <border diagonalUp="0" diagonalDown="0" outline="0">
        <left style="thin">
          <color theme="0" tint="-4.9989318521683403E-2"/>
        </left>
        <right/>
        <top style="thin">
          <color theme="0" tint="-4.9989318521683403E-2"/>
        </top>
        <bottom style="thin">
          <color theme="0" tint="-0.34998626667073579"/>
        </bottom>
      </border>
    </dxf>
    <dxf>
      <font>
        <strike val="0"/>
        <outline val="0"/>
        <shadow val="0"/>
        <u val="none"/>
        <vertAlign val="baseline"/>
        <sz val="11"/>
        <color auto="1"/>
        <name val="Sakkal Majalla"/>
        <scheme val="none"/>
      </font>
      <numFmt numFmtId="164" formatCode="_(* #,##0.00_);_(* \(#,##0.00\);_(* &quot;-&quot;??_);_(@_)"/>
      <fill>
        <patternFill patternType="none">
          <fgColor indexed="64"/>
          <bgColor auto="1"/>
        </patternFill>
      </fill>
      <alignment horizontal="right" vertical="center" textRotation="0" wrapText="0" indent="1" justifyLastLine="0" shrinkToFit="0" readingOrder="0"/>
      <border diagonalUp="0" diagonalDown="0" outline="0">
        <left style="thin">
          <color theme="0" tint="-4.9989318521683403E-2"/>
        </left>
        <right/>
        <top style="thin">
          <color theme="0" tint="-4.9989318521683403E-2"/>
        </top>
        <bottom style="thin">
          <color theme="0" tint="-0.34998626667073579"/>
        </bottom>
      </border>
    </dxf>
    <dxf>
      <font>
        <b/>
        <strike val="0"/>
        <outline val="0"/>
        <shadow val="0"/>
        <u val="none"/>
        <vertAlign val="baseline"/>
        <sz val="11"/>
        <color auto="1"/>
        <name val="Sakkal Majalla"/>
        <scheme val="none"/>
      </font>
      <numFmt numFmtId="171" formatCode="_(* #,##0_);_(* \(#,##0\);_(* &quot;-&quot;??_);_(@_)"/>
      <fill>
        <patternFill patternType="solid">
          <fgColor indexed="64"/>
          <bgColor theme="6"/>
        </patternFill>
      </fill>
      <alignment horizontal="right" vertical="center" textRotation="0" wrapText="0" indent="1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strike val="0"/>
        <outline val="0"/>
        <shadow val="0"/>
        <u val="none"/>
        <vertAlign val="baseline"/>
        <sz val="11"/>
        <color auto="1"/>
        <name val="Sakkal Majalla"/>
        <scheme val="none"/>
      </font>
      <numFmt numFmtId="164" formatCode="_(* #,##0.00_);_(* \(#,##0.00\);_(* &quot;-&quot;??_);_(@_)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 outline="0">
        <left style="thin">
          <color theme="0" tint="-4.9989318521683403E-2"/>
        </left>
        <right/>
        <top style="thin">
          <color theme="0" tint="-4.9989318521683403E-2"/>
        </top>
        <bottom style="thin">
          <color theme="0" tint="-0.34998626667073579"/>
        </bottom>
      </border>
    </dxf>
    <dxf>
      <font>
        <strike val="0"/>
        <outline val="0"/>
        <shadow val="0"/>
        <u val="none"/>
        <vertAlign val="baseline"/>
        <sz val="11"/>
        <color auto="1"/>
        <name val="Sakkal Majalla"/>
        <scheme val="none"/>
      </font>
      <numFmt numFmtId="164" formatCode="_(* #,##0.00_);_(* \(#,##0.00\);_(* &quot;-&quot;??_);_(@_)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 outline="0">
        <left style="thin">
          <color theme="0" tint="-4.9989318521683403E-2"/>
        </left>
        <right/>
        <top style="thin">
          <color theme="0" tint="-4.9989318521683403E-2"/>
        </top>
        <bottom style="thin">
          <color theme="0" tint="-0.34998626667073579"/>
        </bottom>
      </border>
    </dxf>
    <dxf>
      <font>
        <strike val="0"/>
        <outline val="0"/>
        <shadow val="0"/>
        <u val="none"/>
        <vertAlign val="baseline"/>
        <sz val="11"/>
        <color auto="1"/>
        <name val="Sakkal Majalla"/>
        <scheme val="none"/>
      </font>
      <numFmt numFmtId="164" formatCode="_(* #,##0.00_);_(* \(#,##0.00\);_(* &quot;-&quot;??_);_(@_)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 outline="0">
        <left style="thin">
          <color theme="0" tint="-4.9989318521683403E-2"/>
        </left>
        <right/>
        <top style="thin">
          <color theme="0" tint="-4.9989318521683403E-2"/>
        </top>
        <bottom style="thin">
          <color theme="0" tint="-0.34998626667073579"/>
        </bottom>
      </border>
    </dxf>
    <dxf>
      <font>
        <strike val="0"/>
        <outline val="0"/>
        <shadow val="0"/>
        <u val="none"/>
        <vertAlign val="baseline"/>
        <sz val="11"/>
        <color auto="1"/>
        <name val="Sakkal Majalla"/>
        <scheme val="none"/>
      </font>
      <numFmt numFmtId="164" formatCode="_(* #,##0.00_);_(* \(#,##0.00\);_(* &quot;-&quot;??_);_(@_)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 outline="0">
        <left style="thin">
          <color theme="0" tint="-4.9989318521683403E-2"/>
        </left>
        <right/>
        <top style="thin">
          <color theme="0" tint="-4.9989318521683403E-2"/>
        </top>
        <bottom style="thin">
          <color theme="0" tint="-0.34998626667073579"/>
        </bottom>
      </border>
    </dxf>
    <dxf>
      <font>
        <strike val="0"/>
        <outline val="0"/>
        <shadow val="0"/>
        <u val="none"/>
        <vertAlign val="baseline"/>
        <sz val="11"/>
        <color auto="1"/>
        <name val="Sakkal Majalla"/>
        <scheme val="none"/>
      </font>
      <numFmt numFmtId="164" formatCode="_(* #,##0.00_);_(* \(#,##0.00\);_(* &quot;-&quot;??_);_(@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0" tint="-4.9989318521683403E-2"/>
        </left>
        <right/>
        <top style="thin">
          <color theme="0" tint="-4.9989318521683403E-2"/>
        </top>
        <bottom style="thin">
          <color theme="0" tint="-0.34998626667073579"/>
        </bottom>
      </border>
    </dxf>
    <dxf>
      <font>
        <sz val="10"/>
        <color theme="1"/>
        <name val="Sakkal Majalla"/>
        <scheme val="none"/>
      </font>
      <numFmt numFmtId="164" formatCode="_(* #,##0.00_);_(* \(#,##0.00\);_(* &quot;-&quot;??_);_(@_)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>
        <left style="thin">
          <color theme="0" tint="-4.9989318521683403E-2"/>
        </left>
        <right/>
        <top style="thin">
          <color theme="0" tint="-4.9989318521683403E-2"/>
        </top>
        <bottom style="thin">
          <color theme="0" tint="-0.34998626667073579"/>
        </bottom>
        <vertical/>
        <horizontal/>
      </border>
    </dxf>
    <dxf>
      <font>
        <sz val="10"/>
        <color theme="1"/>
        <name val="Sakkal Majalla"/>
        <scheme val="none"/>
      </font>
      <numFmt numFmtId="164" formatCode="_(* #,##0.00_);_(* \(#,##0.00\);_(* &quot;-&quot;??_);_(@_)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>
        <left style="thin">
          <color theme="0" tint="-4.9989318521683403E-2"/>
        </left>
        <right/>
        <top style="thin">
          <color theme="0" tint="-4.9989318521683403E-2"/>
        </top>
        <bottom style="thin">
          <color theme="0" tint="-0.34998626667073579"/>
        </bottom>
        <vertical/>
        <horizontal/>
      </border>
    </dxf>
    <dxf>
      <font>
        <sz val="10"/>
        <color theme="1"/>
        <name val="Sakkal Majalla"/>
        <scheme val="none"/>
      </font>
      <numFmt numFmtId="167" formatCode="[$-409]d\-mmm\-yyyy;@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>
        <left style="thin">
          <color theme="0" tint="-4.9989318521683403E-2"/>
        </left>
        <right/>
        <top style="thin">
          <color theme="0" tint="-4.9989318521683403E-2"/>
        </top>
        <bottom style="thin">
          <color theme="0" tint="-0.34998626667073579"/>
        </bottom>
        <vertical/>
        <horizontal/>
      </border>
    </dxf>
    <dxf>
      <font>
        <sz val="10"/>
        <color theme="1"/>
        <name val="Sakkal Majalla"/>
        <scheme val="none"/>
      </font>
      <numFmt numFmtId="167" formatCode="[$-409]d\-mmm\-yyyy;@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>
        <left style="thin">
          <color theme="0" tint="-4.9989318521683403E-2"/>
        </left>
        <right/>
        <top style="thin">
          <color theme="0" tint="-4.9989318521683403E-2"/>
        </top>
        <bottom style="thin">
          <color theme="0" tint="-0.34998626667073579"/>
        </bottom>
        <vertical/>
        <horizontal/>
      </border>
    </dxf>
    <dxf>
      <font>
        <b/>
        <sz val="10"/>
        <color theme="1"/>
        <name val="Sakkal Majalla"/>
      </font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>
        <left style="thin">
          <color theme="0" tint="-4.9989318521683403E-2"/>
        </left>
        <right/>
        <top style="thin">
          <color theme="0" tint="-4.9989318521683403E-2"/>
        </top>
        <bottom style="thin">
          <color theme="0" tint="-0.34998626667073579"/>
        </bottom>
        <vertical/>
        <horizontal/>
      </border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0"/>
        <name val="Sakkal Majalla"/>
        <scheme val="none"/>
      </font>
      <fill>
        <patternFill patternType="solid">
          <fgColor indexed="64"/>
          <bgColor rgb="FF660033"/>
        </patternFill>
      </fill>
      <alignment horizontal="right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Sakkal Majalla"/>
        <scheme val="none"/>
      </font>
      <fill>
        <patternFill patternType="solid">
          <fgColor indexed="64"/>
          <bgColor rgb="FF66003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Sakkal Majalla"/>
        <scheme val="none"/>
      </font>
      <fill>
        <patternFill patternType="solid">
          <fgColor indexed="64"/>
          <bgColor rgb="FF66003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</border>
    </dxf>
    <dxf>
      <font>
        <strike val="0"/>
        <outline val="0"/>
        <shadow val="0"/>
        <u val="none"/>
        <vertAlign val="baseline"/>
        <sz val="11"/>
        <color theme="0"/>
      </font>
      <fill>
        <patternFill patternType="solid">
          <fgColor indexed="64"/>
          <bgColor rgb="FFA50021"/>
        </patternFill>
      </fill>
    </dxf>
    <dxf>
      <border outline="0">
        <bottom style="thin">
          <color rgb="FFFFFFFF"/>
        </bottom>
      </border>
    </dxf>
    <dxf>
      <fill>
        <patternFill patternType="none">
          <bgColor auto="1"/>
        </patternFill>
      </fill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Sakkal Majalla"/>
        <scheme val="none"/>
      </font>
      <numFmt numFmtId="165" formatCode="_(* #,##0.00_);_(* \(#,##0.00\);_(* \-??_);_(@_)"/>
      <fill>
        <patternFill patternType="solid">
          <fgColor indexed="64"/>
          <bgColor rgb="FF66003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ill>
        <patternFill>
          <bgColor theme="2"/>
        </patternFill>
      </fill>
    </dxf>
    <dxf>
      <font>
        <color theme="8"/>
      </font>
      <border>
        <bottom style="medium">
          <color theme="8"/>
        </bottom>
      </border>
    </dxf>
    <dxf>
      <fill>
        <patternFill>
          <bgColor theme="0"/>
        </patternFill>
      </fill>
    </dxf>
  </dxfs>
  <tableStyles count="1" defaultTableStyle="TableStyleMedium2" defaultPivotStyle="PivotStyleLight16">
    <tableStyle name="قائمة البقالة" pivot="0" count="3" xr9:uid="{157CBC28-C669-4CAD-8818-C90541BB3E1F}">
      <tableStyleElement type="wholeTable" dxfId="69"/>
      <tableStyleElement type="headerRow" dxfId="68"/>
      <tableStyleElement type="firstRowStripe" dxfId="67"/>
    </tableStyle>
  </tableStyles>
  <colors>
    <mruColors>
      <color rgb="FFFFCC00"/>
      <color rgb="FF660033"/>
      <color rgb="FFA50021"/>
      <color rgb="FFCC3300"/>
      <color rgb="FFFF6699"/>
      <color rgb="FF003300"/>
      <color rgb="FFCCCC00"/>
      <color rgb="FF336600"/>
      <color rgb="FF339933"/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tf03427477_win322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قائمة البقالة"/>
      <sheetName val="العمليات الحسابية"/>
    </sheetNames>
    <sheetDataSet>
      <sheetData sheetId="0"/>
      <sheetData sheetId="1">
        <row r="3">
          <cell r="L3">
            <v>0</v>
          </cell>
        </row>
        <row r="4">
          <cell r="L4">
            <v>271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981CAF5-6283-4F2E-97D8-AB681ACBB95D}" name="Table1" displayName="Table1" ref="A2:AC127" totalsRowCount="1" headerRowDxfId="66" dataDxfId="64" totalsRowDxfId="62" headerRowBorderDxfId="65" tableBorderDxfId="63" headerRowCellStyle="Good">
  <autoFilter ref="A2:AC126" xr:uid="{C981CAF5-6283-4F2E-97D8-AB681ACBB95D}"/>
  <tableColumns count="29">
    <tableColumn id="1" xr3:uid="{8173F4D0-156F-44A1-AA79-EA03199613FB}" name="م" totalsRowLabel="Total" dataDxfId="61" totalsRowDxfId="32" dataCellStyle="Good"/>
    <tableColumn id="2" xr3:uid="{CC6F8B40-84DB-44D1-9EAE-A8EF9CEA37BF}" name="كود الموظف" dataDxfId="60" totalsRowDxfId="31" dataCellStyle="Good"/>
    <tableColumn id="3" xr3:uid="{329E62A4-8135-437B-978D-104E133B94A4}" name="اسم الموظف" dataDxfId="59" totalsRowDxfId="30"/>
    <tableColumn id="4" xr3:uid="{5E208D5D-387A-46D7-B0C6-BB2CC4A34E79}" name="رقم الاقامة / الهوية" dataDxfId="58" totalsRowDxfId="29"/>
    <tableColumn id="5" xr3:uid="{9ED4A767-0C44-4C76-931F-D567147F0273}" name="الجنسية" dataDxfId="57" totalsRowDxfId="28"/>
    <tableColumn id="6" xr3:uid="{56FDD82C-401E-4060-BA6E-23852EA73BEC}" name="تاريخ التعيين" dataDxfId="56" totalsRowDxfId="27"/>
    <tableColumn id="11" xr3:uid="{54D81792-DAE0-4AEC-B63A-A8EB438486D2}" name="الراتب الاساسي" totalsRowFunction="sum" dataDxfId="55" totalsRowDxfId="26"/>
    <tableColumn id="12" xr3:uid="{56CA324B-6222-4A28-B229-81F7B8FBDF78}" name="بدل سكن" totalsRowFunction="sum" dataDxfId="54" totalsRowDxfId="25"/>
    <tableColumn id="13" xr3:uid="{3397D8F3-EE4E-4A4D-9C99-D9FE6E8BC690}" name="بدل انتقال " totalsRowFunction="sum" dataDxfId="53" totalsRowDxfId="24"/>
    <tableColumn id="14" xr3:uid="{DD7380A3-9D52-4C08-819C-4C5EDA636DEA}" name="اخرى" totalsRowFunction="sum" dataDxfId="52" totalsRowDxfId="23"/>
    <tableColumn id="15" xr3:uid="{DC487F8B-15D6-4761-B98B-0AA66CD0D753}" name="اجمالي الراتب" totalsRowFunction="sum" dataDxfId="51" totalsRowDxfId="22" dataCellStyle="Comma"/>
    <tableColumn id="16" xr3:uid="{37BEEE0A-8B77-4B98-A7AD-FB4DFEFB5546}" name="تاريخ اخر  اجازة" totalsRowFunction="sum" dataDxfId="50" totalsRowDxfId="21" dataCellStyle="20% - Accent6"/>
    <tableColumn id="17" xr3:uid="{2D530292-CF2D-4144-B7A5-5FF849AE7135}" name="تاريخ اخر مباشرة عمل" totalsRowFunction="sum" dataDxfId="49" totalsRowDxfId="20" dataCellStyle="20% - Accent6"/>
    <tableColumn id="18" xr3:uid="{907F0F45-0CFC-4165-B7BC-E06A38D09BFC}" name="نوع عقد العمل" totalsRowFunction="sum" dataDxfId="48" totalsRowDxfId="19" dataCellStyle="20% - Accent6"/>
    <tableColumn id="19" xr3:uid="{514F6349-AE0C-4BBC-93DD-63BAFC26BE38}" name="اعداد المرافقين" totalsRowFunction="sum" dataDxfId="47" totalsRowDxfId="18" dataCellStyle="20% - Accent6"/>
    <tableColumn id="21" xr3:uid="{C54736B8-0E40-4BF9-B9C9-1AA1D09AF7C2}" name="ايام الاجازة / السنة" totalsRowFunction="sum" dataDxfId="46" totalsRowDxfId="17" dataCellStyle="20% - Accent6"/>
    <tableColumn id="22" xr3:uid="{5B24F51C-29F5-48DC-BB93-0A487EAC27C2}" name="مدة الخدمة/اليوم" totalsRowFunction="sum" dataDxfId="45" totalsRowDxfId="16" dataCellStyle="20% - Accent6"/>
    <tableColumn id="23" xr3:uid="{2617DCDC-E6E1-4689-9FA7-9BC2C6853AA6}" name="مدة الاجازة المستحقة باليوم" totalsRowFunction="sum" dataDxfId="44" totalsRowDxfId="15" dataCellStyle="20% - Accent6"/>
    <tableColumn id="24" xr3:uid="{50AEF20C-6F0C-4F54-A431-E56F232B69DD}" name="نهاية الخدمة" totalsRowFunction="custom" dataDxfId="43" totalsRowDxfId="14" dataCellStyle="20% - Accent6">
      <totalsRowFormula>SUBTOTAL(109,$S$3:$S$126)</totalsRowFormula>
    </tableColumn>
    <tableColumn id="25" xr3:uid="{E87363D0-84C9-4E8B-8C8F-40DF5644800F}" name="رصيد اجازات" totalsRowFunction="custom" dataDxfId="42" totalsRowDxfId="13" dataCellStyle="20% - Accent6">
      <totalsRowFormula>SUBTOTAL(109,$T$3:$T$126)</totalsRowFormula>
    </tableColumn>
    <tableColumn id="26" xr3:uid="{4FCF26B0-6FCE-4B95-8F2D-10CC94185815}" name="تذاكر سفر" totalsRowFunction="custom" dataDxfId="41" totalsRowDxfId="12" dataCellStyle="Comma">
      <totalsRowFormula>SUBTOTAL(109,$U$3:$U$126)</totalsRowFormula>
    </tableColumn>
    <tableColumn id="37" xr3:uid="{15AA68F8-1D86-4E08-A5AD-CE0B0A5CFCBE}" name="مدة الخدمة/اليوم2" dataDxfId="40" totalsRowDxfId="11" dataCellStyle="20% - Accent6">
      <calculatedColumnFormula>IF(G3&gt;0,DATEDIF($F3,Employee!$U$3,"Y")*12*30+DATEDIF($F3,Employee!$U$3,"YM")*30+DATEDIF($F3,Employee!$U$3,"MD"),0)</calculatedColumnFormula>
    </tableColumn>
    <tableColumn id="38" xr3:uid="{9887370E-B5ED-4878-85C7-9504DC5C5D99}" name="مدة الاجازة المستحقة باليوم3" dataDxfId="39" totalsRowDxfId="10" dataCellStyle="20% - Accent6">
      <calculatedColumnFormula>IF(G3&gt;0,IF(Q3=$AG$23,0,IF($M3=$AF$23,DATEDIF($F3,Employee!$U$3,"D")-(DATEDIF($F3,Employee!$U$3,"D")*5/365)+1,DATEDIF($M3,Employee!$U$3,"D")-(DATEDIF($M3,Employee!$U$3,"D")*5/365)+1)),0)</calculatedColumnFormula>
    </tableColumn>
    <tableColumn id="39" xr3:uid="{A38BFF37-AF6D-49CB-8CC9-7A71952E8D44}" name="نهاية الخدمة2" totalsRowFunction="custom" dataDxfId="38" totalsRowDxfId="9" dataCellStyle="20% - Accent6">
      <calculatedColumnFormula>IF($Q3&lt;=1800,($Q3/360*$K3)*0.5,($Q3-1800)/360*$K3+1800/360*$K3*0.5)</calculatedColumnFormula>
      <totalsRowFormula>SUBTOTAL(109,$X$3:$X$126)</totalsRowFormula>
    </tableColumn>
    <tableColumn id="40" xr3:uid="{9B4EAC51-105E-4642-A332-EB77C315A34D}" name="رصيد اجازات2" totalsRowFunction="custom" dataDxfId="37" totalsRowDxfId="8" dataCellStyle="20% - Accent6">
      <calculatedColumnFormula>IF($P3=21,0.0583333333333333*$R3*$K3/30,0.0833333333333333*$R3*$K3/30)</calculatedColumnFormula>
      <totalsRowFormula>SUBTOTAL(109,$Y$3:$Y$126)</totalsRowFormula>
    </tableColumn>
    <tableColumn id="41" xr3:uid="{88CDDC5B-8EAA-402D-95DF-1B9A41C6519F}" name="تذاكر سفر2" totalsRowFunction="custom" dataDxfId="36" totalsRowDxfId="7" dataCellStyle="20% - Accent6">
      <calculatedColumnFormula>IFERROR(IF($R3&gt;=360,IF(S3&gt;4,IF($N3=$AH$23,VLOOKUP($E3,#REF!,2,0)*4,VLOOKUP($E3,#REF!,2,0)),IF($N3=$AH$23,VLOOKUP($E3,#REF!,2,0)*S3,VLOOKUP($E3,#REF!,2,0))),(IF(S3&gt;4,IF($N3=$AH$23,VLOOKUP($E3,#REF!,2,0)*4,VLOOKUP($E3,#REF!,2,0)),IF($N3=$AH$23,VLOOKUP($E3,#REF!,2,0)*S3,VLOOKUP($E3,#REF!,2,0))))/360*$R3),0)</calculatedColumnFormula>
      <totalsRowFormula>SUBTOTAL(109,$Z$3:$Z$126)</totalsRowFormula>
    </tableColumn>
    <tableColumn id="42" xr3:uid="{C58A8D2E-3357-43CF-A20A-6BD31FE3CE47}" name="نهاية الخدمة3" totalsRowFunction="sum" dataDxfId="35" totalsRowDxfId="6" dataCellStyle="20% - Accent6">
      <calculatedColumnFormula>Table1[[#This Row],[نهاية الخدمة2]]-Table1[[#This Row],[نهاية الخدمة]]</calculatedColumnFormula>
    </tableColumn>
    <tableColumn id="43" xr3:uid="{D71E33DA-98C2-4356-B2FA-C38CB80F41B5}" name="رصيد اجازات3" totalsRowFunction="sum" dataDxfId="34" totalsRowDxfId="5" dataCellStyle="20% - Accent6">
      <calculatedColumnFormula>Table1[[#This Row],[رصيد اجازات2]]-Table1[[#This Row],[رصيد اجازات]]</calculatedColumnFormula>
    </tableColumn>
    <tableColumn id="44" xr3:uid="{8656DEEE-C3C2-4634-8221-679437580C05}" name="تذاكر سفر3" totalsRowFunction="sum" dataDxfId="33" totalsRowDxfId="4" dataCellStyle="20% - Accent6">
      <calculatedColumnFormula>Table1[[#This Row],[تذاكر سفر2]]-Table1[[#This Row],[تذاكر سفر]]</calculatedColumnFormula>
    </tableColumn>
  </tableColumns>
  <tableStyleInfo name="TableStyleLight1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AI127"/>
  <sheetViews>
    <sheetView rightToLeft="1" tabSelected="1" zoomScale="80" zoomScaleNormal="80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C3" sqref="C3"/>
    </sheetView>
  </sheetViews>
  <sheetFormatPr defaultRowHeight="18" x14ac:dyDescent="0.45"/>
  <cols>
    <col min="1" max="1" width="5.42578125" style="6" customWidth="1"/>
    <col min="2" max="2" width="9.7109375" style="6" customWidth="1"/>
    <col min="3" max="3" width="26.5703125" style="16" customWidth="1"/>
    <col min="4" max="4" width="13.85546875" style="14" customWidth="1"/>
    <col min="5" max="5" width="12.5703125" style="7" customWidth="1"/>
    <col min="6" max="6" width="15.140625" style="8" customWidth="1"/>
    <col min="7" max="7" width="12.42578125" style="9" customWidth="1"/>
    <col min="8" max="8" width="11" style="9" customWidth="1"/>
    <col min="9" max="9" width="9.85546875" style="9" customWidth="1"/>
    <col min="10" max="10" width="8.5703125" style="9" customWidth="1"/>
    <col min="11" max="11" width="11.42578125" style="9" customWidth="1"/>
    <col min="12" max="12" width="15.85546875" style="8" customWidth="1"/>
    <col min="13" max="13" width="19.140625" style="8" customWidth="1"/>
    <col min="14" max="14" width="13.42578125" style="10" customWidth="1"/>
    <col min="15" max="15" width="7.28515625" style="11" customWidth="1"/>
    <col min="16" max="16" width="8.5703125" style="15" customWidth="1"/>
    <col min="17" max="17" width="10.85546875" style="13" customWidth="1"/>
    <col min="18" max="18" width="11.5703125" style="13" customWidth="1"/>
    <col min="19" max="19" width="11.7109375" style="12" customWidth="1"/>
    <col min="20" max="20" width="12.140625" style="12" customWidth="1"/>
    <col min="21" max="21" width="12.5703125" style="12" customWidth="1"/>
    <col min="22" max="22" width="11.85546875" style="13" customWidth="1"/>
    <col min="23" max="23" width="13.140625" style="13" customWidth="1"/>
    <col min="24" max="24" width="11.7109375" style="12" customWidth="1"/>
    <col min="25" max="25" width="12.140625" style="12" customWidth="1"/>
    <col min="26" max="26" width="12" style="12" bestFit="1" customWidth="1"/>
    <col min="27" max="27" width="10.85546875" style="2" customWidth="1"/>
    <col min="28" max="28" width="11.140625" style="2" customWidth="1"/>
    <col min="29" max="29" width="9" style="2" customWidth="1"/>
    <col min="30" max="30" width="5.28515625" style="2" customWidth="1"/>
    <col min="31" max="32" width="7.42578125" style="2" customWidth="1"/>
    <col min="33" max="33" width="9" style="2" customWidth="1"/>
    <col min="34" max="35" width="9.140625" style="1" customWidth="1"/>
  </cols>
  <sheetData>
    <row r="1" spans="1:33" s="4" customFormat="1" ht="29.25" customHeight="1" x14ac:dyDescent="0.2">
      <c r="A1" s="21"/>
      <c r="B1" s="22" t="s">
        <v>52</v>
      </c>
      <c r="C1" s="23" t="s">
        <v>46</v>
      </c>
      <c r="D1" s="24" t="s">
        <v>47</v>
      </c>
      <c r="E1" s="22" t="s">
        <v>48</v>
      </c>
      <c r="F1" s="25" t="s">
        <v>49</v>
      </c>
      <c r="G1" s="26" t="s">
        <v>53</v>
      </c>
      <c r="H1" s="26" t="s">
        <v>54</v>
      </c>
      <c r="I1" s="26" t="s">
        <v>65</v>
      </c>
      <c r="J1" s="26" t="s">
        <v>55</v>
      </c>
      <c r="K1" s="26" t="s">
        <v>51</v>
      </c>
      <c r="L1" s="25" t="s">
        <v>50</v>
      </c>
      <c r="M1" s="25" t="s">
        <v>56</v>
      </c>
      <c r="N1" s="22" t="s">
        <v>57</v>
      </c>
      <c r="O1" s="27" t="s">
        <v>58</v>
      </c>
      <c r="P1" s="28"/>
      <c r="Q1" s="38" t="s">
        <v>64</v>
      </c>
      <c r="R1" s="39"/>
      <c r="S1" s="39"/>
      <c r="T1" s="40"/>
      <c r="U1" s="29">
        <v>44681</v>
      </c>
      <c r="V1" s="38" t="s">
        <v>61</v>
      </c>
      <c r="W1" s="39"/>
      <c r="X1" s="39"/>
      <c r="Y1" s="40"/>
      <c r="Z1" s="29">
        <v>44712</v>
      </c>
      <c r="AA1" s="41" t="s">
        <v>62</v>
      </c>
      <c r="AB1" s="42"/>
      <c r="AC1" s="43"/>
    </row>
    <row r="2" spans="1:33" s="3" customFormat="1" ht="38.25" customHeight="1" thickBot="1" x14ac:dyDescent="0.25">
      <c r="A2" s="44" t="s">
        <v>0</v>
      </c>
      <c r="B2" s="44" t="s">
        <v>1</v>
      </c>
      <c r="C2" s="44" t="s">
        <v>2</v>
      </c>
      <c r="D2" s="44" t="s">
        <v>3</v>
      </c>
      <c r="E2" s="44" t="s">
        <v>4</v>
      </c>
      <c r="F2" s="44" t="s">
        <v>5</v>
      </c>
      <c r="G2" s="44" t="s">
        <v>6</v>
      </c>
      <c r="H2" s="44" t="s">
        <v>7</v>
      </c>
      <c r="I2" s="44" t="s">
        <v>8</v>
      </c>
      <c r="J2" s="44" t="s">
        <v>9</v>
      </c>
      <c r="K2" s="44" t="s">
        <v>10</v>
      </c>
      <c r="L2" s="59" t="s">
        <v>11</v>
      </c>
      <c r="M2" s="59" t="s">
        <v>12</v>
      </c>
      <c r="N2" s="59" t="s">
        <v>13</v>
      </c>
      <c r="O2" s="59" t="s">
        <v>14</v>
      </c>
      <c r="P2" s="59" t="s">
        <v>15</v>
      </c>
      <c r="Q2" s="59" t="s">
        <v>16</v>
      </c>
      <c r="R2" s="59" t="s">
        <v>17</v>
      </c>
      <c r="S2" s="59" t="s">
        <v>18</v>
      </c>
      <c r="T2" s="59" t="s">
        <v>19</v>
      </c>
      <c r="U2" s="59" t="s">
        <v>20</v>
      </c>
      <c r="V2" s="59" t="s">
        <v>59</v>
      </c>
      <c r="W2" s="59" t="s">
        <v>60</v>
      </c>
      <c r="X2" s="59" t="s">
        <v>66</v>
      </c>
      <c r="Y2" s="59" t="s">
        <v>68</v>
      </c>
      <c r="Z2" s="59" t="s">
        <v>70</v>
      </c>
      <c r="AA2" s="59" t="s">
        <v>67</v>
      </c>
      <c r="AB2" s="59" t="s">
        <v>69</v>
      </c>
      <c r="AC2" s="59" t="s">
        <v>71</v>
      </c>
    </row>
    <row r="3" spans="1:33" ht="20.25" customHeight="1" thickTop="1" x14ac:dyDescent="0.35">
      <c r="A3" s="30">
        <f>SUBTOTAL(3,C$3:$C3)</f>
        <v>1</v>
      </c>
      <c r="B3" s="30" t="s">
        <v>77</v>
      </c>
      <c r="C3" s="31" t="s">
        <v>72</v>
      </c>
      <c r="D3" s="45">
        <v>1101101102</v>
      </c>
      <c r="E3" s="46" t="s">
        <v>23</v>
      </c>
      <c r="F3" s="47">
        <v>40179</v>
      </c>
      <c r="G3" s="46">
        <v>5026</v>
      </c>
      <c r="H3" s="46">
        <v>1001</v>
      </c>
      <c r="I3" s="46">
        <v>500</v>
      </c>
      <c r="J3" s="46">
        <v>0</v>
      </c>
      <c r="K3" s="46">
        <f t="shared" ref="K3:K34" si="0">G3+H3+I3+J3</f>
        <v>6527</v>
      </c>
      <c r="L3" s="47">
        <v>43373</v>
      </c>
      <c r="M3" s="47">
        <v>44252</v>
      </c>
      <c r="N3" s="46" t="s">
        <v>24</v>
      </c>
      <c r="O3" s="46">
        <v>0</v>
      </c>
      <c r="P3" s="48">
        <v>30</v>
      </c>
      <c r="Q3" s="46">
        <f>IF(F3&gt;0,DATEDIF($F3,Employee!$U$1,"Y")*12*30+DATEDIF($F3,Employee!$U$1,"YM")*30+DATEDIF($F3,Employee!$U$1,"MD")+1,0)</f>
        <v>4440</v>
      </c>
      <c r="R3" s="46">
        <f>IF(F3&gt;0,IF(M3=$AG$23,0,IF($M3=$AF$23,DATEDIF($F3,Employee!$U$1,"D")-(DATEDIF($F3,Employee!$U$1,"D")*5/365)+1,DATEDIF($M3,Employee!$U$1,"D")-(DATEDIF($M3,Employee!$U$1,"D")*5/365)+1)),0)</f>
        <v>424.1232876712329</v>
      </c>
      <c r="S3" s="46">
        <f>IF($Q3&lt;=1800,($Q3/360*$K3)*0.5,($Q3-1800)/360*$K3+1800/360*$K3*0.5)</f>
        <v>64182.166666666664</v>
      </c>
      <c r="T3" s="46">
        <f>IF($P3=21,0.0583333333333333*$R3*$K3/30,0.0833333333333333*$R3*$K3/30)</f>
        <v>7689.5908295281561</v>
      </c>
      <c r="U3" s="46">
        <f>IFERROR(IF($R3&gt;=360,IF(O3&gt;4,IF($N3=$AH$23,VLOOKUP($E3,$AF$4:$AG$22,2,0)*4,VLOOKUP($E3,$AF$4:$AG$22,2,0)),IF($N3=$AH$23,VLOOKUP($E3,$AF$4:$AG$22,2,0)*O3,VLOOKUP($E3,$AF$4:$AG$22,2,0))),(IF(O3&gt;4,IF($N3=$AH$23,VLOOKUP($E3,$AF$4:$AG$22,2,0)*4,VLOOKUP($E3,$AF$4:$AG$22,2,0)),IF($N3=$AH$23,VLOOKUP($E3,$AF$4:$AG$22,2,0)*O3,VLOOKUP($E3,$AF$4:$AG$22,2,0))))/360*$R3),0)</f>
        <v>2250</v>
      </c>
      <c r="V3" s="46">
        <f>IF(F3&gt;0,DATEDIF($F3,Employee!$Z$1,"Y")*12*30+DATEDIF($F3,Employee!$Z$1,"YM")*30+DATEDIF($F3,Employee!$Z$1,"MD")+1,0)</f>
        <v>4471</v>
      </c>
      <c r="W3" s="46">
        <f>IF(F3&gt;0,IF(M3=$AG$23,0,IF($M3=$AF$23,DATEDIF($F3,Employee!$Z$1,"D")-(DATEDIF($F3,Employee!$Z$1,"D")*5/365)+1,DATEDIF($M3,Employee!$Z$1,"D")-(DATEDIF($M3,Employee!$Z$1,"D")*5/365)+1)),0)</f>
        <v>454.69863013698631</v>
      </c>
      <c r="X3" s="46">
        <f>IF($V3&lt;=1800,($V3/360*$K3)*0.5,($V3-1800)/360*$K3+1800/360*$K3*0.5)</f>
        <v>64744.213888888888</v>
      </c>
      <c r="Y3" s="46">
        <f>IF($P3=21,0.0583333333333333*$W3*$K3/30,0.0833333333333333*$W3*$K3/30)</f>
        <v>8243.938774733635</v>
      </c>
      <c r="Z3" s="46">
        <f>IFERROR(IF($W3&gt;=360,IF(O3&gt;4,IF($N3=$AH$23,VLOOKUP($E3,$AF$4:$AG$22,2,0)*4,VLOOKUP($E3,$AF$4:$AG$22,2,0)),IF($N3=$AH$23,VLOOKUP($E3,$AF$4:$AG$22,2,0)*O3,VLOOKUP($E3,$AF$4:$AG$22,2,0))),(IF(O3&gt;4,IF($N3=$AH$23,VLOOKUP($E3,$AF$4:$AG$22,2,0)*4,VLOOKUP($E3,$AF$4:$AG$22,2,0)),IF($N3=$AH$23,VLOOKUP($E3,$AF$4:$AG$22,2,0)*O3,VLOOKUP($E3,$AF$4:$AG$22,2,0))))/360*$W3),0)</f>
        <v>2250</v>
      </c>
      <c r="AA3" s="49">
        <f>Table1[[#This Row],[نهاية الخدمة2]]-Table1[[#This Row],[نهاية الخدمة]]</f>
        <v>562.04722222222335</v>
      </c>
      <c r="AB3" s="49">
        <f>Table1[[#This Row],[رصيد اجازات2]]-Table1[[#This Row],[رصيد اجازات]]</f>
        <v>554.34794520547894</v>
      </c>
      <c r="AC3" s="49">
        <f>Table1[[#This Row],[تذاكر سفر2]]-Table1[[#This Row],[تذاكر سفر]]</f>
        <v>0</v>
      </c>
      <c r="AF3" s="1" t="s">
        <v>4</v>
      </c>
      <c r="AG3" s="1" t="s">
        <v>25</v>
      </c>
    </row>
    <row r="4" spans="1:33" ht="20.25" customHeight="1" x14ac:dyDescent="0.35">
      <c r="A4" s="32">
        <f>SUBTOTAL(3,C$3:$C4)</f>
        <v>2</v>
      </c>
      <c r="B4" s="30" t="s">
        <v>78</v>
      </c>
      <c r="C4" s="33" t="s">
        <v>73</v>
      </c>
      <c r="D4" s="50">
        <v>2201101102</v>
      </c>
      <c r="E4" s="51" t="s">
        <v>27</v>
      </c>
      <c r="F4" s="52">
        <v>40179</v>
      </c>
      <c r="G4" s="51">
        <v>35201</v>
      </c>
      <c r="H4" s="51">
        <v>5032</v>
      </c>
      <c r="I4" s="51">
        <v>252</v>
      </c>
      <c r="J4" s="51">
        <v>1250</v>
      </c>
      <c r="K4" s="51">
        <f t="shared" si="0"/>
        <v>41735</v>
      </c>
      <c r="L4" s="52">
        <v>43282</v>
      </c>
      <c r="M4" s="52">
        <v>43801</v>
      </c>
      <c r="N4" s="51" t="s">
        <v>24</v>
      </c>
      <c r="O4" s="51">
        <v>0</v>
      </c>
      <c r="P4" s="60">
        <v>21</v>
      </c>
      <c r="Q4" s="63">
        <f>IF(F4&gt;0,DATEDIF($F4,Employee!$U$1,"Y")*12*30+DATEDIF($F4,Employee!$U$1,"YM")*30+DATEDIF($F4,Employee!$U$1,"MD")+1,0)</f>
        <v>4440</v>
      </c>
      <c r="R4" s="51">
        <f>IF(F4&gt;0,IF(M4=$AG$23,0,IF($M4=$AF$23,DATEDIF($F4,Employee!$U$1,"D")-(DATEDIF($F4,Employee!$U$1,"D")*5/365)+1,DATEDIF($M4,Employee!$U$1,"D")-(DATEDIF($M4,Employee!$U$1,"D")*5/365)+1)),0)</f>
        <v>868.94520547945206</v>
      </c>
      <c r="S4" s="51">
        <f>IF($Q4&lt;=1800,($Q4/360*$K4)*0.5,($Q4-1800)/360*$K4+1800/360*$K4*0.5)</f>
        <v>410394.16666666663</v>
      </c>
      <c r="T4" s="51">
        <f>IF($P4=21,0.0583333333333333*$R4*$K4/30,0.0833333333333333*$R4*$K4/30)</f>
        <v>70516.110292998434</v>
      </c>
      <c r="U4" s="63">
        <f>IFERROR(IF($R4&gt;=360,IF(O4&gt;4,IF($N4=$AH$23,VLOOKUP($E4,$AF$4:$AG$22,2,0)*4,VLOOKUP($E4,$AF$4:$AG$22,2,0)),IF($N4=$AH$23,VLOOKUP($E4,$AF$4:$AG$22,2,0)*O4,VLOOKUP($E4,$AF$4:$AG$22,2,0))),(IF(O4&gt;4,IF($N4=$AH$23,VLOOKUP($E4,$AF$4:$AG$22,2,0)*4,VLOOKUP($E4,$AF$4:$AG$22,2,0)),IF($N4=$AH$23,VLOOKUP($E4,$AF$4:$AG$22,2,0)*O4,VLOOKUP($E4,$AF$4:$AG$22,2,0))))/360*$R4),0)</f>
        <v>2000</v>
      </c>
      <c r="V4" s="51">
        <f>IF(F4&gt;0,DATEDIF($F4,Employee!$Z$1,"Y")*12*30+DATEDIF($F4,Employee!$Z$1,"YM")*30+DATEDIF($F4,Employee!$Z$1,"MD")+1,0)</f>
        <v>4471</v>
      </c>
      <c r="W4" s="51">
        <f>IF(F4&gt;0,IF(M4=$AG$23,0,IF($M4=$AF$23,DATEDIF($F4,Employee!$Z$1,"D")-(DATEDIF($F4,Employee!$Z$1,"D")*5/365)+1,DATEDIF($M4,Employee!$Z$1,"D")-(DATEDIF($M4,Employee!$Z$1,"D")*5/365)+1)),0)</f>
        <v>899.52054794520552</v>
      </c>
      <c r="X4" s="51">
        <f>IF($V4&lt;=1800,($V4/360*$K4)*0.5,($V4-1800)/360*$K4+1800/360*$K4*0.5)</f>
        <v>413988.01388888888</v>
      </c>
      <c r="Y4" s="51">
        <f>IF($P4=21,0.0583333333333333*$W4*$K4/30,0.0833333333333333*$W4*$K4/30)</f>
        <v>72997.341799847753</v>
      </c>
      <c r="Z4" s="51">
        <f>IFERROR(IF($W4&gt;=360,IF(O4&gt;4,IF($N4=$AH$23,VLOOKUP($E4,$AF$4:$AG$22,2,0)*4,VLOOKUP($E4,$AF$4:$AG$22,2,0)),IF($N4=$AH$23,VLOOKUP($E4,$AF$4:$AG$22,2,0)*O4,VLOOKUP($E4,$AF$4:$AG$22,2,0))),(IF(O4&gt;4,IF($N4=$AH$23,VLOOKUP($E4,$AF$4:$AG$22,2,0)*4,VLOOKUP($E4,$AF$4:$AG$22,2,0)),IF($N4=$AH$23,VLOOKUP($E4,$AF$4:$AG$22,2,0)*O4,VLOOKUP($E4,$AF$4:$AG$22,2,0))))/360*$W4),0)</f>
        <v>2000</v>
      </c>
      <c r="AA4" s="57">
        <f>Table1[[#This Row],[نهاية الخدمة2]]-Table1[[#This Row],[نهاية الخدمة]]</f>
        <v>3593.8472222222481</v>
      </c>
      <c r="AB4" s="57">
        <f>Table1[[#This Row],[رصيد اجازات2]]-Table1[[#This Row],[رصيد اجازات]]</f>
        <v>2481.231506849319</v>
      </c>
      <c r="AC4" s="58">
        <f>Table1[[#This Row],[تذاكر سفر2]]-Table1[[#This Row],[تذاكر سفر]]</f>
        <v>0</v>
      </c>
      <c r="AE4" s="66"/>
      <c r="AF4" s="67" t="s">
        <v>23</v>
      </c>
      <c r="AG4" s="67">
        <v>2250</v>
      </c>
    </row>
    <row r="5" spans="1:33" ht="21" customHeight="1" x14ac:dyDescent="0.35">
      <c r="A5" s="32">
        <f>SUBTOTAL(3,C$3:$C5)</f>
        <v>3</v>
      </c>
      <c r="B5" s="30" t="s">
        <v>79</v>
      </c>
      <c r="C5" s="33" t="s">
        <v>74</v>
      </c>
      <c r="D5" s="45">
        <v>3301101102</v>
      </c>
      <c r="E5" s="46" t="s">
        <v>30</v>
      </c>
      <c r="F5" s="47">
        <v>40179</v>
      </c>
      <c r="G5" s="46">
        <v>5026</v>
      </c>
      <c r="H5" s="46">
        <v>1001</v>
      </c>
      <c r="I5" s="46">
        <v>500</v>
      </c>
      <c r="J5" s="46">
        <v>0</v>
      </c>
      <c r="K5" s="46">
        <f t="shared" si="0"/>
        <v>6527</v>
      </c>
      <c r="L5" s="47">
        <v>44035</v>
      </c>
      <c r="M5" s="47">
        <v>43669</v>
      </c>
      <c r="N5" s="46" t="s">
        <v>24</v>
      </c>
      <c r="O5" s="46">
        <v>0</v>
      </c>
      <c r="P5" s="48">
        <v>30</v>
      </c>
      <c r="Q5" s="46">
        <f>IF(F5&gt;0,DATEDIF($F5,Employee!$U$1,"Y")*12*30+DATEDIF($F5,Employee!$U$1,"YM")*30+DATEDIF($F5,Employee!$U$1,"MD")+1,0)</f>
        <v>4440</v>
      </c>
      <c r="R5" s="46">
        <f>IF(F5&gt;0,IF(M5=$AG$23,0,IF($M5=$AF$23,DATEDIF($F5,Employee!$U$1,"D")-(DATEDIF($F5,Employee!$U$1,"D")*5/365)+1,DATEDIF($M5,Employee!$U$1,"D")-(DATEDIF($M5,Employee!$U$1,"D")*5/365)+1)),0)</f>
        <v>999.13698630136992</v>
      </c>
      <c r="S5" s="46">
        <f>IF($Q5&lt;=1800,($Q5/360*$K5)*0.5,($Q5-1800)/360*$K5+1800/360*$K5*0.5)</f>
        <v>64182.166666666664</v>
      </c>
      <c r="T5" s="46">
        <f>IF($P5=21,0.0583333333333333*$R5*$K5/30,0.0833333333333333*$R5*$K5/30)</f>
        <v>18114.908637747332</v>
      </c>
      <c r="U5" s="46">
        <f>IFERROR(IF($R5&gt;=360,IF(O5&gt;4,IF($N5=$AH$23,VLOOKUP($E5,$AF$4:$AG$22,2,0)*4,VLOOKUP($E5,$AF$4:$AG$22,2,0)),IF($N5=$AH$23,VLOOKUP($E5,$AF$4:$AG$22,2,0)*O5,VLOOKUP($E5,$AF$4:$AG$22,2,0))),(IF(O5&gt;4,IF($N5=$AH$23,VLOOKUP($E5,$AF$4:$AG$22,2,0)*4,VLOOKUP($E5,$AF$4:$AG$22,2,0)),IF($N5=$AH$23,VLOOKUP($E5,$AF$4:$AG$22,2,0)*O5,VLOOKUP($E5,$AF$4:$AG$22,2,0))))/360*$R5),0)</f>
        <v>0</v>
      </c>
      <c r="V5" s="46">
        <f>IF(F5&gt;0,DATEDIF($F5,Employee!$Z$1,"Y")*12*30+DATEDIF($F5,Employee!$Z$1,"YM")*30+DATEDIF($F5,Employee!$Z$1,"MD")+1,0)</f>
        <v>4471</v>
      </c>
      <c r="W5" s="46">
        <f>IF(F5&gt;0,IF(M5=$AG$23,0,IF($M5=$AF$23,DATEDIF($F5,Employee!$Z$1,"D")-(DATEDIF($F5,Employee!$Z$1,"D")*5/365)+1,DATEDIF($M5,Employee!$Z$1,"D")-(DATEDIF($M5,Employee!$Z$1,"D")*5/365)+1)),0)</f>
        <v>1029.7123287671234</v>
      </c>
      <c r="X5" s="46">
        <f>IF($V5&lt;=1800,($V5/360*$K5)*0.5,($V5-1800)/360*$K5+1800/360*$K5*0.5)</f>
        <v>64744.213888888888</v>
      </c>
      <c r="Y5" s="46">
        <f>IF($P5=21,0.0583333333333333*$W5*$K5/30,0.0833333333333333*$W5*$K5/30)</f>
        <v>18669.25658295281</v>
      </c>
      <c r="Z5" s="46">
        <f>IFERROR(IF($W5&gt;=360,IF(O5&gt;4,IF($N5=$AH$23,VLOOKUP($E5,$AF$4:$AG$22,2,0)*4,VLOOKUP($E5,$AF$4:$AG$22,2,0)),IF($N5=$AH$23,VLOOKUP($E5,$AF$4:$AG$22,2,0)*O5,VLOOKUP($E5,$AF$4:$AG$22,2,0))),(IF(O5&gt;4,IF($N5=$AH$23,VLOOKUP($E5,$AF$4:$AG$22,2,0)*4,VLOOKUP($E5,$AF$4:$AG$22,2,0)),IF($N5=$AH$23,VLOOKUP($E5,$AF$4:$AG$22,2,0)*O5,VLOOKUP($E5,$AF$4:$AG$22,2,0))))/360*$W5),0)</f>
        <v>0</v>
      </c>
      <c r="AA5" s="49">
        <f>Table1[[#This Row],[نهاية الخدمة2]]-Table1[[#This Row],[نهاية الخدمة]]</f>
        <v>562.04722222222335</v>
      </c>
      <c r="AB5" s="49">
        <f>Table1[[#This Row],[رصيد اجازات2]]-Table1[[#This Row],[رصيد اجازات]]</f>
        <v>554.34794520547803</v>
      </c>
      <c r="AC5" s="49">
        <f>Table1[[#This Row],[تذاكر سفر2]]-Table1[[#This Row],[تذاكر سفر]]</f>
        <v>0</v>
      </c>
      <c r="AE5" s="64"/>
      <c r="AF5" s="67" t="s">
        <v>29</v>
      </c>
      <c r="AG5" s="67">
        <v>2000</v>
      </c>
    </row>
    <row r="6" spans="1:33" ht="20.25" customHeight="1" x14ac:dyDescent="0.35">
      <c r="A6" s="32">
        <f>SUBTOTAL(3,C$3:$C6)</f>
        <v>4</v>
      </c>
      <c r="B6" s="30" t="s">
        <v>80</v>
      </c>
      <c r="C6" s="34" t="s">
        <v>75</v>
      </c>
      <c r="D6" s="50">
        <v>4401101102</v>
      </c>
      <c r="E6" s="51" t="s">
        <v>33</v>
      </c>
      <c r="F6" s="52">
        <v>40179</v>
      </c>
      <c r="G6" s="51">
        <v>35201</v>
      </c>
      <c r="H6" s="51">
        <v>5032</v>
      </c>
      <c r="I6" s="51">
        <v>252</v>
      </c>
      <c r="J6" s="51">
        <v>0</v>
      </c>
      <c r="K6" s="51">
        <f t="shared" si="0"/>
        <v>40485</v>
      </c>
      <c r="L6" s="52">
        <v>43586</v>
      </c>
      <c r="M6" s="52">
        <v>43647</v>
      </c>
      <c r="N6" s="51" t="s">
        <v>24</v>
      </c>
      <c r="O6" s="51">
        <v>0</v>
      </c>
      <c r="P6" s="53">
        <v>21</v>
      </c>
      <c r="Q6" s="54">
        <f>IF(F6&gt;0,DATEDIF($F6,Employee!$U$1,"Y")*12*30+DATEDIF($F6,Employee!$U$1,"YM")*30+DATEDIF($F6,Employee!$U$1,"MD")+1,0)</f>
        <v>4440</v>
      </c>
      <c r="R6" s="51">
        <f>IF(F6&gt;0,IF(M6=$AG$23,0,IF($M6=$AF$23,DATEDIF($F6,Employee!$U$1,"D")-(DATEDIF($F6,Employee!$U$1,"D")*5/365)+1,DATEDIF($M6,Employee!$U$1,"D")-(DATEDIF($M6,Employee!$U$1,"D")*5/365)+1)),0)</f>
        <v>1020.8356164383562</v>
      </c>
      <c r="S6" s="51">
        <f>IF($Q6&lt;=1800,($Q6/360*$K6)*0.5,($Q6-1800)/360*$K6+1800/360*$K6*0.5)</f>
        <v>398102.5</v>
      </c>
      <c r="T6" s="51">
        <f>IF($P6=21,0.0583333333333333*$R6*$K6/30,0.0833333333333333*$R6*$K6/30)</f>
        <v>80361.030422374388</v>
      </c>
      <c r="U6" s="55">
        <f>IFERROR(IF($R6&gt;=360,IF(O6&gt;4,IF($N6=$AH$23,VLOOKUP($E6,$AF$4:$AG$22,2,0)*4,VLOOKUP($E6,$AF$4:$AG$22,2,0)),IF($N6=$AH$23,VLOOKUP($E6,$AF$4:$AG$22,2,0)*O6,VLOOKUP($E6,$AF$4:$AG$22,2,0))),(IF(O6&gt;4,IF($N6=$AH$23,VLOOKUP($E6,$AF$4:$AG$22,2,0)*4,VLOOKUP($E6,$AF$4:$AG$22,2,0)),IF($N6=$AH$23,VLOOKUP($E6,$AF$4:$AG$22,2,0)*O6,VLOOKUP($E6,$AF$4:$AG$22,2,0))))/360*$R6),0)</f>
        <v>2000</v>
      </c>
      <c r="V6" s="56">
        <f>IF(F6&gt;0,DATEDIF($F6,Employee!$Z$1,"Y")*12*30+DATEDIF($F6,Employee!$Z$1,"YM")*30+DATEDIF($F6,Employee!$Z$1,"MD")+1,0)</f>
        <v>4471</v>
      </c>
      <c r="W6" s="51">
        <f>IF(F6&gt;0,IF(M6=$AG$23,0,IF($M6=$AF$23,DATEDIF($F6,Employee!$Z$1,"D")-(DATEDIF($F6,Employee!$Z$1,"D")*5/365)+1,DATEDIF($M6,Employee!$Z$1,"D")-(DATEDIF($M6,Employee!$Z$1,"D")*5/365)+1)),0)</f>
        <v>1051.4109589041095</v>
      </c>
      <c r="X6" s="51">
        <f>IF($V6&lt;=1800,($V6/360*$K6)*0.5,($V6-1800)/360*$K6+1800/360*$K6*0.5)</f>
        <v>401588.70833333331</v>
      </c>
      <c r="Y6" s="51">
        <f>IF($P6=21,0.0583333333333333*$W6*$K6/30,0.0833333333333333*$W6*$K6/30)</f>
        <v>82767.946860730546</v>
      </c>
      <c r="Z6" s="51">
        <f>IFERROR(IF($W6&gt;=360,IF(O6&gt;4,IF($N6=$AH$23,VLOOKUP($E6,$AF$4:$AG$22,2,0)*4,VLOOKUP($E6,$AF$4:$AG$22,2,0)),IF($N6=$AH$23,VLOOKUP($E6,$AF$4:$AG$22,2,0)*O6,VLOOKUP($E6,$AF$4:$AG$22,2,0))),(IF(O6&gt;4,IF($N6=$AH$23,VLOOKUP($E6,$AF$4:$AG$22,2,0)*4,VLOOKUP($E6,$AF$4:$AG$22,2,0)),IF($N6=$AH$23,VLOOKUP($E6,$AF$4:$AG$22,2,0)*O6,VLOOKUP($E6,$AF$4:$AG$22,2,0))))/360*$W6),0)</f>
        <v>2000</v>
      </c>
      <c r="AA6" s="57">
        <f>Table1[[#This Row],[نهاية الخدمة2]]-Table1[[#This Row],[نهاية الخدمة]]</f>
        <v>3486.2083333333139</v>
      </c>
      <c r="AB6" s="57">
        <f>Table1[[#This Row],[رصيد اجازات2]]-Table1[[#This Row],[رصيد اجازات]]</f>
        <v>2406.9164383561583</v>
      </c>
      <c r="AC6" s="58">
        <f>Table1[[#This Row],[تذاكر سفر2]]-Table1[[#This Row],[تذاكر سفر]]</f>
        <v>0</v>
      </c>
      <c r="AF6" s="67" t="s">
        <v>30</v>
      </c>
      <c r="AG6" s="67">
        <v>0</v>
      </c>
    </row>
    <row r="7" spans="1:33" ht="20.25" customHeight="1" x14ac:dyDescent="0.35">
      <c r="A7" s="32">
        <f>SUBTOTAL(3,C$3:$C7)</f>
        <v>5</v>
      </c>
      <c r="B7" s="30" t="s">
        <v>81</v>
      </c>
      <c r="C7" s="33" t="s">
        <v>76</v>
      </c>
      <c r="D7" s="45">
        <v>5501101102</v>
      </c>
      <c r="E7" s="46" t="s">
        <v>30</v>
      </c>
      <c r="F7" s="47">
        <v>40179</v>
      </c>
      <c r="G7" s="46">
        <v>5026</v>
      </c>
      <c r="H7" s="46">
        <v>1001</v>
      </c>
      <c r="I7" s="46">
        <v>500</v>
      </c>
      <c r="J7" s="46">
        <v>0</v>
      </c>
      <c r="K7" s="46">
        <f t="shared" si="0"/>
        <v>6527</v>
      </c>
      <c r="L7" s="47" t="s">
        <v>21</v>
      </c>
      <c r="M7" s="47" t="s">
        <v>21</v>
      </c>
      <c r="N7" s="46" t="s">
        <v>24</v>
      </c>
      <c r="O7" s="46">
        <v>0</v>
      </c>
      <c r="P7" s="48">
        <v>21</v>
      </c>
      <c r="Q7" s="46">
        <f>IF(F7&gt;0,DATEDIF($F7,Employee!$U$1,"Y")*12*30+DATEDIF($F7,Employee!$U$1,"YM")*30+DATEDIF($F7,Employee!$U$1,"MD")+1,0)</f>
        <v>4440</v>
      </c>
      <c r="R7" s="46">
        <f>IF(F7&gt;0,IF(M7=$AG$23,0,IF($M7=$AF$23,DATEDIF($F7,Employee!$U$1,"D")-(DATEDIF($F7,Employee!$U$1,"D")*5/365)+1,DATEDIF($M7,Employee!$U$1,"D")-(DATEDIF($M7,Employee!$U$1,"D")*5/365)+1)),0)</f>
        <v>4441.3287671232874</v>
      </c>
      <c r="S7" s="46">
        <f>IF($Q7&lt;=1800,($Q7/360*$K7)*0.5,($Q7-1800)/360*$K7+1800/360*$K7*0.5)</f>
        <v>64182.166666666664</v>
      </c>
      <c r="T7" s="46">
        <f>IF($P7=21,0.0583333333333333*$R7*$K7/30,0.0833333333333333*$R7*$K7/30)</f>
        <v>56366.630566971042</v>
      </c>
      <c r="U7" s="46">
        <f>IFERROR(IF($R7&gt;=360,IF(O7&gt;4,IF($N7=$AH$23,VLOOKUP($E7,$AF$4:$AG$22,2,0)*4,VLOOKUP($E7,$AF$4:$AG$22,2,0)),IF($N7=$AH$23,VLOOKUP($E7,$AF$4:$AG$22,2,0)*O7,VLOOKUP($E7,$AF$4:$AG$22,2,0))),(IF(O7&gt;4,IF($N7=$AH$23,VLOOKUP($E7,$AF$4:$AG$22,2,0)*4,VLOOKUP($E7,$AF$4:$AG$22,2,0)),IF($N7=$AH$23,VLOOKUP($E7,$AF$4:$AG$22,2,0)*O7,VLOOKUP($E7,$AF$4:$AG$22,2,0))))/360*$R7),0)</f>
        <v>0</v>
      </c>
      <c r="V7" s="46">
        <f>IF(F7&gt;0,DATEDIF($F7,Employee!$Z$1,"Y")*12*30+DATEDIF($F7,Employee!$Z$1,"YM")*30+DATEDIF($F7,Employee!$Z$1,"MD")+1,0)</f>
        <v>4471</v>
      </c>
      <c r="W7" s="46">
        <f>IF(F7&gt;0,IF(M7=$AG$23,0,IF($M7=$AF$23,DATEDIF($F7,Employee!$Z$1,"D")-(DATEDIF($F7,Employee!$Z$1,"D")*5/365)+1,DATEDIF($M7,Employee!$Z$1,"D")-(DATEDIF($M7,Employee!$Z$1,"D")*5/365)+1)),0)</f>
        <v>4471.9041095890407</v>
      </c>
      <c r="X7" s="46">
        <f>IF($V7&lt;=1800,($V7/360*$K7)*0.5,($V7-1800)/360*$K7+1800/360*$K7*0.5)</f>
        <v>64744.213888888888</v>
      </c>
      <c r="Y7" s="46">
        <f>IF($P7=21,0.0583333333333333*$W7*$K7/30,0.0833333333333333*$W7*$K7/30)</f>
        <v>56754.674128614868</v>
      </c>
      <c r="Z7" s="46">
        <f>IFERROR(IF($W7&gt;=360,IF(O7&gt;4,IF($N7=$AH$23,VLOOKUP($E7,$AF$4:$AG$22,2,0)*4,VLOOKUP($E7,$AF$4:$AG$22,2,0)),IF($N7=$AH$23,VLOOKUP($E7,$AF$4:$AG$22,2,0)*O7,VLOOKUP($E7,$AF$4:$AG$22,2,0))),(IF(O7&gt;4,IF($N7=$AH$23,VLOOKUP($E7,$AF$4:$AG$22,2,0)*4,VLOOKUP($E7,$AF$4:$AG$22,2,0)),IF($N7=$AH$23,VLOOKUP($E7,$AF$4:$AG$22,2,0)*O7,VLOOKUP($E7,$AF$4:$AG$22,2,0))))/360*$W7),0)</f>
        <v>0</v>
      </c>
      <c r="AA7" s="49">
        <f>Table1[[#This Row],[نهاية الخدمة2]]-Table1[[#This Row],[نهاية الخدمة]]</f>
        <v>562.04722222222335</v>
      </c>
      <c r="AB7" s="49">
        <f>Table1[[#This Row],[رصيد اجازات2]]-Table1[[#This Row],[رصيد اجازات]]</f>
        <v>388.04356164382625</v>
      </c>
      <c r="AC7" s="49">
        <f>Table1[[#This Row],[تذاكر سفر2]]-Table1[[#This Row],[تذاكر سفر]]</f>
        <v>0</v>
      </c>
      <c r="AE7" s="65"/>
      <c r="AF7" s="67" t="s">
        <v>31</v>
      </c>
      <c r="AG7" s="67">
        <v>2000</v>
      </c>
    </row>
    <row r="8" spans="1:33" ht="20.25" customHeight="1" x14ac:dyDescent="0.35">
      <c r="A8" s="32">
        <f>SUBTOTAL(3,C$3:$C8)</f>
        <v>6</v>
      </c>
      <c r="B8" s="30" t="s">
        <v>82</v>
      </c>
      <c r="C8" s="31" t="s">
        <v>72</v>
      </c>
      <c r="D8" s="50">
        <v>6601101102</v>
      </c>
      <c r="E8" s="51" t="s">
        <v>30</v>
      </c>
      <c r="F8" s="52">
        <v>40179</v>
      </c>
      <c r="G8" s="51">
        <v>35201</v>
      </c>
      <c r="H8" s="51">
        <v>5032</v>
      </c>
      <c r="I8" s="51">
        <v>252</v>
      </c>
      <c r="J8" s="51">
        <v>0</v>
      </c>
      <c r="K8" s="51">
        <f t="shared" si="0"/>
        <v>40485</v>
      </c>
      <c r="L8" s="52" t="s">
        <v>21</v>
      </c>
      <c r="M8" s="52" t="s">
        <v>21</v>
      </c>
      <c r="N8" s="51" t="s">
        <v>24</v>
      </c>
      <c r="O8" s="51">
        <v>0</v>
      </c>
      <c r="P8" s="53">
        <v>30</v>
      </c>
      <c r="Q8" s="54">
        <f>IF(F8&gt;0,DATEDIF($F8,Employee!$U$1,"Y")*12*30+DATEDIF($F8,Employee!$U$1,"YM")*30+DATEDIF($F8,Employee!$U$1,"MD")+1,0)</f>
        <v>4440</v>
      </c>
      <c r="R8" s="51">
        <f>IF(F8&gt;0,IF(M8=$AG$23,0,IF($M8=$AF$23,DATEDIF($F8,Employee!$U$1,"D")-(DATEDIF($F8,Employee!$U$1,"D")*5/365)+1,DATEDIF($M8,Employee!$U$1,"D")-(DATEDIF($M8,Employee!$U$1,"D")*5/365)+1)),0)</f>
        <v>4441.3287671232874</v>
      </c>
      <c r="S8" s="51">
        <f>IF($Q8&lt;=1800,($Q8/360*$K8)*0.5,($Q8-1800)/360*$K8+1800/360*$K8*0.5)</f>
        <v>398102.5</v>
      </c>
      <c r="T8" s="51">
        <f>IF($P8=21,0.0583333333333333*$R8*$K8/30,0.0833333333333333*$R8*$K8/30)</f>
        <v>499464.43093607284</v>
      </c>
      <c r="U8" s="55">
        <f>IFERROR(IF($R8&gt;=360,IF(O8&gt;4,IF($N8=$AH$23,VLOOKUP($E8,$AF$4:$AG$22,2,0)*4,VLOOKUP($E8,$AF$4:$AG$22,2,0)),IF($N8=$AH$23,VLOOKUP($E8,$AF$4:$AG$22,2,0)*O8,VLOOKUP($E8,$AF$4:$AG$22,2,0))),(IF(O8&gt;4,IF($N8=$AH$23,VLOOKUP($E8,$AF$4:$AG$22,2,0)*4,VLOOKUP($E8,$AF$4:$AG$22,2,0)),IF($N8=$AH$23,VLOOKUP($E8,$AF$4:$AG$22,2,0)*O8,VLOOKUP($E8,$AF$4:$AG$22,2,0))))/360*$R8),0)</f>
        <v>0</v>
      </c>
      <c r="V8" s="56">
        <f>IF(F8&gt;0,DATEDIF($F8,Employee!$Z$1,"Y")*12*30+DATEDIF($F8,Employee!$Z$1,"YM")*30+DATEDIF($F8,Employee!$Z$1,"MD")+1,0)</f>
        <v>4471</v>
      </c>
      <c r="W8" s="51">
        <f>IF(F8&gt;0,IF(M8=$AG$23,0,IF($M8=$AF$23,DATEDIF($F8,Employee!$Z$1,"D")-(DATEDIF($F8,Employee!$Z$1,"D")*5/365)+1,DATEDIF($M8,Employee!$Z$1,"D")-(DATEDIF($M8,Employee!$Z$1,"D")*5/365)+1)),0)</f>
        <v>4471.9041095890407</v>
      </c>
      <c r="X8" s="51">
        <f>IF($V8&lt;=1800,($V8/360*$K8)*0.5,($V8-1800)/360*$K8+1800/360*$K8*0.5)</f>
        <v>401588.70833333331</v>
      </c>
      <c r="Y8" s="51">
        <f>IF($P8=21,0.0583333333333333*$W8*$K8/30,0.0833333333333333*$W8*$K8/30)</f>
        <v>502902.88299086725</v>
      </c>
      <c r="Z8" s="51">
        <f>IFERROR(IF($W8&gt;=360,IF(O8&gt;4,IF($N8=$AH$23,VLOOKUP($E8,$AF$4:$AG$22,2,0)*4,VLOOKUP($E8,$AF$4:$AG$22,2,0)),IF($N8=$AH$23,VLOOKUP($E8,$AF$4:$AG$22,2,0)*O8,VLOOKUP($E8,$AF$4:$AG$22,2,0))),(IF(O8&gt;4,IF($N8=$AH$23,VLOOKUP($E8,$AF$4:$AG$22,2,0)*4,VLOOKUP($E8,$AF$4:$AG$22,2,0)),IF($N8=$AH$23,VLOOKUP($E8,$AF$4:$AG$22,2,0)*O8,VLOOKUP($E8,$AF$4:$AG$22,2,0))))/360*$W8),0)</f>
        <v>0</v>
      </c>
      <c r="AA8" s="57">
        <f>Table1[[#This Row],[نهاية الخدمة2]]-Table1[[#This Row],[نهاية الخدمة]]</f>
        <v>3486.2083333333139</v>
      </c>
      <c r="AB8" s="57">
        <f>Table1[[#This Row],[رصيد اجازات2]]-Table1[[#This Row],[رصيد اجازات]]</f>
        <v>3438.4520547944121</v>
      </c>
      <c r="AC8" s="58">
        <f>Table1[[#This Row],[تذاكر سفر2]]-Table1[[#This Row],[تذاكر سفر]]</f>
        <v>0</v>
      </c>
      <c r="AF8" s="67" t="s">
        <v>27</v>
      </c>
      <c r="AG8" s="67">
        <v>2000</v>
      </c>
    </row>
    <row r="9" spans="1:33" ht="21" customHeight="1" x14ac:dyDescent="0.35">
      <c r="A9" s="32">
        <f>SUBTOTAL(3,C$3:$C9)</f>
        <v>7</v>
      </c>
      <c r="B9" s="30" t="s">
        <v>83</v>
      </c>
      <c r="C9" s="33" t="s">
        <v>73</v>
      </c>
      <c r="D9" s="45">
        <v>7701101102</v>
      </c>
      <c r="E9" s="46" t="s">
        <v>27</v>
      </c>
      <c r="F9" s="47">
        <v>40179</v>
      </c>
      <c r="G9" s="46">
        <v>5026</v>
      </c>
      <c r="H9" s="46">
        <v>1001</v>
      </c>
      <c r="I9" s="46">
        <v>500</v>
      </c>
      <c r="J9" s="46"/>
      <c r="K9" s="46">
        <f t="shared" si="0"/>
        <v>6527</v>
      </c>
      <c r="L9" s="47">
        <v>44592</v>
      </c>
      <c r="M9" s="47" t="s">
        <v>63</v>
      </c>
      <c r="N9" s="46" t="s">
        <v>24</v>
      </c>
      <c r="O9" s="46">
        <v>0</v>
      </c>
      <c r="P9" s="48">
        <v>21</v>
      </c>
      <c r="Q9" s="46">
        <f>IF(F9&gt;0,DATEDIF($F9,Employee!$U$1,"Y")*12*30+DATEDIF($F9,Employee!$U$1,"YM")*30+DATEDIF($F9,Employee!$U$1,"MD")+1,0)</f>
        <v>4440</v>
      </c>
      <c r="R9" s="46">
        <f>IF(F9&gt;0,IF(M9=$AG$23,0,IF($M9=$AF$23,DATEDIF($F9,Employee!$U$1,"D")-(DATEDIF($F9,Employee!$U$1,"D")*5/365)+1,DATEDIF($M9,Employee!$U$1,"D")-(DATEDIF($M9,Employee!$U$1,"D")*5/365)+1)),0)</f>
        <v>0</v>
      </c>
      <c r="S9" s="46">
        <f>IF($Q9&lt;=1800,($Q9/360*$K9)*0.5,($Q9-1800)/360*$K9+1800/360*$K9*0.5)</f>
        <v>64182.166666666664</v>
      </c>
      <c r="T9" s="46">
        <f>IF($P9=21,0.0583333333333333*$R9*$K9/30,0.0833333333333333*$R9*$K9/30)</f>
        <v>0</v>
      </c>
      <c r="U9" s="46">
        <f>IFERROR(IF($R9&gt;=360,IF(O9&gt;4,IF($N9=$AH$23,VLOOKUP($E9,$AF$4:$AG$22,2,0)*4,VLOOKUP($E9,$AF$4:$AG$22,2,0)),IF($N9=$AH$23,VLOOKUP($E9,$AF$4:$AG$22,2,0)*O9,VLOOKUP($E9,$AF$4:$AG$22,2,0))),(IF(O9&gt;4,IF($N9=$AH$23,VLOOKUP($E9,$AF$4:$AG$22,2,0)*4,VLOOKUP($E9,$AF$4:$AG$22,2,0)),IF($N9=$AH$23,VLOOKUP($E9,$AF$4:$AG$22,2,0)*O9,VLOOKUP($E9,$AF$4:$AG$22,2,0))))/360*$R9),0)</f>
        <v>0</v>
      </c>
      <c r="V9" s="46">
        <f>IF(F9&gt;0,DATEDIF($F9,Employee!$Z$1,"Y")*12*30+DATEDIF($F9,Employee!$Z$1,"YM")*30+DATEDIF($F9,Employee!$Z$1,"MD")+1,0)</f>
        <v>4471</v>
      </c>
      <c r="W9" s="46">
        <f>IF(F9&gt;0,IF(M9=$AG$23,0,IF($M9=$AF$23,DATEDIF($F9,Employee!$Z$1,"D")-(DATEDIF($F9,Employee!$Z$1,"D")*5/365)+1,DATEDIF($M9,Employee!$Z$1,"D")-(DATEDIF($M9,Employee!$Z$1,"D")*5/365)+1)),0)</f>
        <v>0</v>
      </c>
      <c r="X9" s="46">
        <f>IF($V9&lt;=1800,($V9/360*$K9)*0.5,($V9-1800)/360*$K9+1800/360*$K9*0.5)</f>
        <v>64744.213888888888</v>
      </c>
      <c r="Y9" s="46">
        <f>IF($P9=21,0.0583333333333333*$W9*$K9/30,0.0833333333333333*$W9*$K9/30)</f>
        <v>0</v>
      </c>
      <c r="Z9" s="46">
        <f>IFERROR(IF($W9&gt;=360,IF(O9&gt;4,IF($N9=$AH$23,VLOOKUP($E9,$AF$4:$AG$22,2,0)*4,VLOOKUP($E9,$AF$4:$AG$22,2,0)),IF($N9=$AH$23,VLOOKUP($E9,$AF$4:$AG$22,2,0)*O9,VLOOKUP($E9,$AF$4:$AG$22,2,0))),(IF(O9&gt;4,IF($N9=$AH$23,VLOOKUP($E9,$AF$4:$AG$22,2,0)*4,VLOOKUP($E9,$AF$4:$AG$22,2,0)),IF($N9=$AH$23,VLOOKUP($E9,$AF$4:$AG$22,2,0)*O9,VLOOKUP($E9,$AF$4:$AG$22,2,0))))/360*$W9),0)</f>
        <v>0</v>
      </c>
      <c r="AA9" s="49">
        <f>Table1[[#This Row],[نهاية الخدمة2]]-Table1[[#This Row],[نهاية الخدمة]]</f>
        <v>562.04722222222335</v>
      </c>
      <c r="AB9" s="49">
        <f>Table1[[#This Row],[رصيد اجازات2]]-Table1[[#This Row],[رصيد اجازات]]</f>
        <v>0</v>
      </c>
      <c r="AC9" s="49">
        <f>Table1[[#This Row],[تذاكر سفر2]]-Table1[[#This Row],[تذاكر سفر]]</f>
        <v>0</v>
      </c>
      <c r="AF9" s="67" t="s">
        <v>26</v>
      </c>
      <c r="AG9" s="67">
        <v>1500</v>
      </c>
    </row>
    <row r="10" spans="1:33" ht="22.5" customHeight="1" x14ac:dyDescent="0.35">
      <c r="A10" s="32">
        <f>SUBTOTAL(3,C$3:$C10)</f>
        <v>8</v>
      </c>
      <c r="B10" s="30" t="s">
        <v>84</v>
      </c>
      <c r="C10" s="33" t="s">
        <v>74</v>
      </c>
      <c r="D10" s="50">
        <v>8801101102</v>
      </c>
      <c r="E10" s="51" t="s">
        <v>27</v>
      </c>
      <c r="F10" s="52">
        <v>40179</v>
      </c>
      <c r="G10" s="51">
        <v>35201</v>
      </c>
      <c r="H10" s="51">
        <v>5032</v>
      </c>
      <c r="I10" s="51">
        <v>252</v>
      </c>
      <c r="J10" s="51">
        <v>0</v>
      </c>
      <c r="K10" s="51">
        <f t="shared" si="0"/>
        <v>40485</v>
      </c>
      <c r="L10" s="52">
        <v>44451</v>
      </c>
      <c r="M10" s="52">
        <v>44517</v>
      </c>
      <c r="N10" s="51" t="s">
        <v>22</v>
      </c>
      <c r="O10" s="51">
        <v>3</v>
      </c>
      <c r="P10" s="53">
        <v>30</v>
      </c>
      <c r="Q10" s="54">
        <f>IF(F10&gt;0,DATEDIF($F10,Employee!$U$1,"Y")*12*30+DATEDIF($F10,Employee!$U$1,"YM")*30+DATEDIF($F10,Employee!$U$1,"MD")+1,0)</f>
        <v>4440</v>
      </c>
      <c r="R10" s="51">
        <f>IF(F10&gt;0,IF(M10=$AG$23,0,IF($M10=$AF$23,DATEDIF($F10,Employee!$U$1,"D")-(DATEDIF($F10,Employee!$U$1,"D")*5/365)+1,DATEDIF($M10,Employee!$U$1,"D")-(DATEDIF($M10,Employee!$U$1,"D")*5/365)+1)),0)</f>
        <v>162.75342465753425</v>
      </c>
      <c r="S10" s="51">
        <f>IF($Q10&lt;=1800,($Q10/360*$K10)*0.5,($Q10-1800)/360*$K10+1800/360*$K10*0.5)</f>
        <v>398102.5</v>
      </c>
      <c r="T10" s="51">
        <f>IF($P10=21,0.0583333333333333*$R10*$K10/30,0.0833333333333333*$R10*$K10/30)</f>
        <v>18302.978881278534</v>
      </c>
      <c r="U10" s="55">
        <f>IFERROR(IF($R10&gt;=360,IF(O10&gt;4,IF($N10=$AH$23,VLOOKUP($E10,$AF$4:$AG$22,2,0)*4,VLOOKUP($E10,$AF$4:$AG$22,2,0)),IF($N10=$AH$23,VLOOKUP($E10,$AF$4:$AG$22,2,0)*O10,VLOOKUP($E10,$AF$4:$AG$22,2,0))),(IF(O10&gt;4,IF($N10=$AH$23,VLOOKUP($E10,$AF$4:$AG$22,2,0)*4,VLOOKUP($E10,$AF$4:$AG$22,2,0)),IF($N10=$AH$23,VLOOKUP($E10,$AF$4:$AG$22,2,0)*O10,VLOOKUP($E10,$AF$4:$AG$22,2,0))))/360*$R10),0)</f>
        <v>2712.5570776255713</v>
      </c>
      <c r="V10" s="56">
        <f>IF(F10&gt;0,DATEDIF($F10,Employee!$Z$1,"Y")*12*30+DATEDIF($F10,Employee!$Z$1,"YM")*30+DATEDIF($F10,Employee!$Z$1,"MD")+1,0)</f>
        <v>4471</v>
      </c>
      <c r="W10" s="51">
        <f>IF(F10&gt;0,IF(M10=$AG$23,0,IF($M10=$AF$23,DATEDIF($F10,Employee!$Z$1,"D")-(DATEDIF($F10,Employee!$Z$1,"D")*5/365)+1,DATEDIF($M10,Employee!$Z$1,"D")-(DATEDIF($M10,Employee!$Z$1,"D")*5/365)+1)),0)</f>
        <v>193.32876712328766</v>
      </c>
      <c r="X10" s="51">
        <f>IF($V10&lt;=1800,($V10/360*$K10)*0.5,($V10-1800)/360*$K10+1800/360*$K10*0.5)</f>
        <v>401588.70833333331</v>
      </c>
      <c r="Y10" s="51">
        <f>IF($P10=21,0.0583333333333333*$W10*$K10/30,0.0833333333333333*$W10*$K10/30)</f>
        <v>21741.430936073051</v>
      </c>
      <c r="Z10" s="51">
        <f>IFERROR(IF($W10&gt;=360,IF(O10&gt;4,IF($N10=$AH$23,VLOOKUP($E10,$AF$4:$AG$22,2,0)*4,VLOOKUP($E10,$AF$4:$AG$22,2,0)),IF($N10=$AH$23,VLOOKUP($E10,$AF$4:$AG$22,2,0)*O10,VLOOKUP($E10,$AF$4:$AG$22,2,0))),(IF(O10&gt;4,IF($N10=$AH$23,VLOOKUP($E10,$AF$4:$AG$22,2,0)*4,VLOOKUP($E10,$AF$4:$AG$22,2,0)),IF($N10=$AH$23,VLOOKUP($E10,$AF$4:$AG$22,2,0)*O10,VLOOKUP($E10,$AF$4:$AG$22,2,0))))/360*$W10),0)</f>
        <v>3222.1461187214613</v>
      </c>
      <c r="AA10" s="57">
        <f>Table1[[#This Row],[نهاية الخدمة2]]-Table1[[#This Row],[نهاية الخدمة]]</f>
        <v>3486.2083333333139</v>
      </c>
      <c r="AB10" s="57">
        <f>Table1[[#This Row],[رصيد اجازات2]]-Table1[[#This Row],[رصيد اجازات]]</f>
        <v>3438.4520547945176</v>
      </c>
      <c r="AC10" s="58">
        <f>Table1[[#This Row],[تذاكر سفر2]]-Table1[[#This Row],[تذاكر سفر]]</f>
        <v>509.58904109589002</v>
      </c>
      <c r="AF10" s="67" t="s">
        <v>32</v>
      </c>
      <c r="AG10" s="67">
        <v>2500</v>
      </c>
    </row>
    <row r="11" spans="1:33" ht="21.95" customHeight="1" x14ac:dyDescent="0.35">
      <c r="A11" s="32">
        <f>SUBTOTAL(3,C$3:$C11)</f>
        <v>9</v>
      </c>
      <c r="B11" s="30" t="s">
        <v>85</v>
      </c>
      <c r="C11" s="34" t="s">
        <v>75</v>
      </c>
      <c r="D11" s="45">
        <v>9901101102</v>
      </c>
      <c r="E11" s="46" t="s">
        <v>27</v>
      </c>
      <c r="F11" s="47">
        <v>40179</v>
      </c>
      <c r="G11" s="46">
        <v>5026</v>
      </c>
      <c r="H11" s="46">
        <v>1001</v>
      </c>
      <c r="I11" s="46">
        <v>500</v>
      </c>
      <c r="J11" s="46">
        <v>0</v>
      </c>
      <c r="K11" s="46">
        <f t="shared" si="0"/>
        <v>6527</v>
      </c>
      <c r="L11" s="47">
        <v>44515</v>
      </c>
      <c r="M11" s="47">
        <v>44576</v>
      </c>
      <c r="N11" s="46" t="s">
        <v>24</v>
      </c>
      <c r="O11" s="46">
        <v>0</v>
      </c>
      <c r="P11" s="48">
        <v>21</v>
      </c>
      <c r="Q11" s="46">
        <f>IF(F11&gt;0,DATEDIF($F11,Employee!$U$1,"Y")*12*30+DATEDIF($F11,Employee!$U$1,"YM")*30+DATEDIF($F11,Employee!$U$1,"MD")+1,0)</f>
        <v>4440</v>
      </c>
      <c r="R11" s="46">
        <f>IF(F11&gt;0,IF(M11=$AG$23,0,IF($M11=$AF$23,DATEDIF($F11,Employee!$U$1,"D")-(DATEDIF($F11,Employee!$U$1,"D")*5/365)+1,DATEDIF($M11,Employee!$U$1,"D")-(DATEDIF($M11,Employee!$U$1,"D")*5/365)+1)),0)</f>
        <v>104.56164383561644</v>
      </c>
      <c r="S11" s="46">
        <f>IF($Q11&lt;=1800,($Q11/360*$K11)*0.5,($Q11-1800)/360*$K11+1800/360*$K11*0.5)</f>
        <v>64182.166666666664</v>
      </c>
      <c r="T11" s="46">
        <f>IF($P11=21,0.0583333333333333*$R11*$K11/30,0.0833333333333333*$R11*$K11/30)</f>
        <v>1327.032484779299</v>
      </c>
      <c r="U11" s="46">
        <f>IFERROR(IF($R11&gt;=360,IF(O11&gt;4,IF($N11=$AH$23,VLOOKUP($E11,$AF$4:$AG$22,2,0)*4,VLOOKUP($E11,$AF$4:$AG$22,2,0)),IF($N11=$AH$23,VLOOKUP($E11,$AF$4:$AG$22,2,0)*O11,VLOOKUP($E11,$AF$4:$AG$22,2,0))),(IF(O11&gt;4,IF($N11=$AH$23,VLOOKUP($E11,$AF$4:$AG$22,2,0)*4,VLOOKUP($E11,$AF$4:$AG$22,2,0)),IF($N11=$AH$23,VLOOKUP($E11,$AF$4:$AG$22,2,0)*O11,VLOOKUP($E11,$AF$4:$AG$22,2,0))))/360*$R11),0)</f>
        <v>580.89802130898022</v>
      </c>
      <c r="V11" s="46">
        <f>IF(F11&gt;0,DATEDIF($F11,Employee!$Z$1,"Y")*12*30+DATEDIF($F11,Employee!$Z$1,"YM")*30+DATEDIF($F11,Employee!$Z$1,"MD")+1,0)</f>
        <v>4471</v>
      </c>
      <c r="W11" s="46">
        <f>IF(F11&gt;0,IF(M11=$AG$23,0,IF($M11=$AF$23,DATEDIF($F11,Employee!$Z$1,"D")-(DATEDIF($F11,Employee!$Z$1,"D")*5/365)+1,DATEDIF($M11,Employee!$Z$1,"D")-(DATEDIF($M11,Employee!$Z$1,"D")*5/365)+1)),0)</f>
        <v>135.13698630136986</v>
      </c>
      <c r="X11" s="46">
        <f>IF($V11&lt;=1800,($V11/360*$K11)*0.5,($V11-1800)/360*$K11+1800/360*$K11*0.5)</f>
        <v>64744.213888888888</v>
      </c>
      <c r="Y11" s="46">
        <f>IF($P11=21,0.0583333333333333*$W11*$K11/30,0.0833333333333333*$W11*$K11/30)</f>
        <v>1715.0760464231346</v>
      </c>
      <c r="Z11" s="46">
        <f>IFERROR(IF($W11&gt;=360,IF(O11&gt;4,IF($N11=$AH$23,VLOOKUP($E11,$AF$4:$AG$22,2,0)*4,VLOOKUP($E11,$AF$4:$AG$22,2,0)),IF($N11=$AH$23,VLOOKUP($E11,$AF$4:$AG$22,2,0)*O11,VLOOKUP($E11,$AF$4:$AG$22,2,0))),(IF(O11&gt;4,IF($N11=$AH$23,VLOOKUP($E11,$AF$4:$AG$22,2,0)*4,VLOOKUP($E11,$AF$4:$AG$22,2,0)),IF($N11=$AH$23,VLOOKUP($E11,$AF$4:$AG$22,2,0)*O11,VLOOKUP($E11,$AF$4:$AG$22,2,0))))/360*$W11),0)</f>
        <v>750.7610350076103</v>
      </c>
      <c r="AA11" s="49">
        <f>Table1[[#This Row],[نهاية الخدمة2]]-Table1[[#This Row],[نهاية الخدمة]]</f>
        <v>562.04722222222335</v>
      </c>
      <c r="AB11" s="49">
        <f>Table1[[#This Row],[رصيد اجازات2]]-Table1[[#This Row],[رصيد اجازات]]</f>
        <v>388.04356164383557</v>
      </c>
      <c r="AC11" s="49">
        <f>Table1[[#This Row],[تذاكر سفر2]]-Table1[[#This Row],[تذاكر سفر]]</f>
        <v>169.86301369863008</v>
      </c>
      <c r="AF11" s="67" t="s">
        <v>33</v>
      </c>
      <c r="AG11" s="67">
        <v>2000</v>
      </c>
    </row>
    <row r="12" spans="1:33" ht="21.95" customHeight="1" x14ac:dyDescent="0.35">
      <c r="A12" s="32">
        <f>SUBTOTAL(3,C$3:$C12)</f>
        <v>10</v>
      </c>
      <c r="B12" s="30" t="s">
        <v>86</v>
      </c>
      <c r="C12" s="33" t="s">
        <v>76</v>
      </c>
      <c r="D12" s="50">
        <v>11001101102</v>
      </c>
      <c r="E12" s="51" t="s">
        <v>28</v>
      </c>
      <c r="F12" s="52">
        <v>40179</v>
      </c>
      <c r="G12" s="51">
        <v>35201</v>
      </c>
      <c r="H12" s="51">
        <v>5032</v>
      </c>
      <c r="I12" s="51">
        <v>252</v>
      </c>
      <c r="J12" s="51">
        <v>0</v>
      </c>
      <c r="K12" s="51">
        <f t="shared" si="0"/>
        <v>40485</v>
      </c>
      <c r="L12" s="52" t="s">
        <v>21</v>
      </c>
      <c r="M12" s="52" t="s">
        <v>21</v>
      </c>
      <c r="N12" s="51" t="s">
        <v>24</v>
      </c>
      <c r="O12" s="51">
        <v>0</v>
      </c>
      <c r="P12" s="53">
        <v>21</v>
      </c>
      <c r="Q12" s="54">
        <f>IF(F12&gt;0,DATEDIF($F12,Employee!$U$1,"Y")*12*30+DATEDIF($F12,Employee!$U$1,"YM")*30+DATEDIF($F12,Employee!$U$1,"MD")+1,0)</f>
        <v>4440</v>
      </c>
      <c r="R12" s="51">
        <f>IF(F12&gt;0,IF(M12=$AG$23,0,IF($M12=$AF$23,DATEDIF($F12,Employee!$U$1,"D")-(DATEDIF($F12,Employee!$U$1,"D")*5/365)+1,DATEDIF($M12,Employee!$U$1,"D")-(DATEDIF($M12,Employee!$U$1,"D")*5/365)+1)),0)</f>
        <v>4441.3287671232874</v>
      </c>
      <c r="S12" s="51">
        <f>IF($Q12&lt;=1800,($Q12/360*$K12)*0.5,($Q12-1800)/360*$K12+1800/360*$K12*0.5)</f>
        <v>398102.5</v>
      </c>
      <c r="T12" s="51">
        <f>IF($P12=21,0.0583333333333333*$R12*$K12/30,0.0833333333333333*$R12*$K12/30)</f>
        <v>349625.10165525094</v>
      </c>
      <c r="U12" s="55">
        <f>IFERROR(IF($R12&gt;=360,IF(O12&gt;4,IF($N12=$AH$23,VLOOKUP($E12,$AF$4:$AG$22,2,0)*4,VLOOKUP($E12,$AF$4:$AG$22,2,0)),IF($N12=$AH$23,VLOOKUP($E12,$AF$4:$AG$22,2,0)*O12,VLOOKUP($E12,$AF$4:$AG$22,2,0))),(IF(O12&gt;4,IF($N12=$AH$23,VLOOKUP($E12,$AF$4:$AG$22,2,0)*4,VLOOKUP($E12,$AF$4:$AG$22,2,0)),IF($N12=$AH$23,VLOOKUP($E12,$AF$4:$AG$22,2,0)*O12,VLOOKUP($E12,$AF$4:$AG$22,2,0))))/360*$R12),0)</f>
        <v>1800</v>
      </c>
      <c r="V12" s="56">
        <f>IF(F12&gt;0,DATEDIF($F12,Employee!$Z$1,"Y")*12*30+DATEDIF($F12,Employee!$Z$1,"YM")*30+DATEDIF($F12,Employee!$Z$1,"MD")+1,0)</f>
        <v>4471</v>
      </c>
      <c r="W12" s="51">
        <f>IF(F12&gt;0,IF(M12=$AG$23,0,IF($M12=$AF$23,DATEDIF($F12,Employee!$Z$1,"D")-(DATEDIF($F12,Employee!$Z$1,"D")*5/365)+1,DATEDIF($M12,Employee!$Z$1,"D")-(DATEDIF($M12,Employee!$Z$1,"D")*5/365)+1)),0)</f>
        <v>4471.9041095890407</v>
      </c>
      <c r="X12" s="51">
        <f>IF($V12&lt;=1800,($V12/360*$K12)*0.5,($V12-1800)/360*$K12+1800/360*$K12*0.5)</f>
        <v>401588.70833333331</v>
      </c>
      <c r="Y12" s="51">
        <f>IF($P12=21,0.0583333333333333*$W12*$K12/30,0.0833333333333333*$W12*$K12/30)</f>
        <v>352032.01809360704</v>
      </c>
      <c r="Z12" s="51">
        <f>IFERROR(IF($W12&gt;=360,IF(O12&gt;4,IF($N12=$AH$23,VLOOKUP($E12,$AF$4:$AG$22,2,0)*4,VLOOKUP($E12,$AF$4:$AG$22,2,0)),IF($N12=$AH$23,VLOOKUP($E12,$AF$4:$AG$22,2,0)*O12,VLOOKUP($E12,$AF$4:$AG$22,2,0))),(IF(O12&gt;4,IF($N12=$AH$23,VLOOKUP($E12,$AF$4:$AG$22,2,0)*4,VLOOKUP($E12,$AF$4:$AG$22,2,0)),IF($N12=$AH$23,VLOOKUP($E12,$AF$4:$AG$22,2,0)*O12,VLOOKUP($E12,$AF$4:$AG$22,2,0))))/360*$W12),0)</f>
        <v>1800</v>
      </c>
      <c r="AA12" s="57">
        <f>Table1[[#This Row],[نهاية الخدمة2]]-Table1[[#This Row],[نهاية الخدمة]]</f>
        <v>3486.2083333333139</v>
      </c>
      <c r="AB12" s="57">
        <f>Table1[[#This Row],[رصيد اجازات2]]-Table1[[#This Row],[رصيد اجازات]]</f>
        <v>2406.9164383561001</v>
      </c>
      <c r="AC12" s="58">
        <f>Table1[[#This Row],[تذاكر سفر2]]-Table1[[#This Row],[تذاكر سفر]]</f>
        <v>0</v>
      </c>
      <c r="AF12" s="67" t="s">
        <v>34</v>
      </c>
      <c r="AG12" s="67">
        <v>2200</v>
      </c>
    </row>
    <row r="13" spans="1:33" ht="21.95" customHeight="1" x14ac:dyDescent="0.35">
      <c r="A13" s="32">
        <f>SUBTOTAL(3,C$3:$C13)</f>
        <v>11</v>
      </c>
      <c r="B13" s="30" t="s">
        <v>87</v>
      </c>
      <c r="C13" s="31" t="s">
        <v>72</v>
      </c>
      <c r="D13" s="45">
        <v>12101101102</v>
      </c>
      <c r="E13" s="46" t="s">
        <v>27</v>
      </c>
      <c r="F13" s="47">
        <v>40179</v>
      </c>
      <c r="G13" s="46">
        <v>5026</v>
      </c>
      <c r="H13" s="46">
        <v>1001</v>
      </c>
      <c r="I13" s="46">
        <v>500</v>
      </c>
      <c r="J13" s="46">
        <v>0</v>
      </c>
      <c r="K13" s="46">
        <f t="shared" si="0"/>
        <v>6527</v>
      </c>
      <c r="L13" s="47">
        <v>44408</v>
      </c>
      <c r="M13" s="47">
        <v>44469</v>
      </c>
      <c r="N13" s="46" t="s">
        <v>24</v>
      </c>
      <c r="O13" s="46">
        <v>0</v>
      </c>
      <c r="P13" s="48">
        <v>30</v>
      </c>
      <c r="Q13" s="46">
        <f>IF(F13&gt;0,DATEDIF($F13,Employee!$U$1,"Y")*12*30+DATEDIF($F13,Employee!$U$1,"YM")*30+DATEDIF($F13,Employee!$U$1,"MD")+1,0)</f>
        <v>4440</v>
      </c>
      <c r="R13" s="46">
        <f>IF(F13&gt;0,IF(M13=$AG$23,0,IF($M13=$AF$23,DATEDIF($F13,Employee!$U$1,"D")-(DATEDIF($F13,Employee!$U$1,"D")*5/365)+1,DATEDIF($M13,Employee!$U$1,"D")-(DATEDIF($M13,Employee!$U$1,"D")*5/365)+1)),0)</f>
        <v>210.0958904109589</v>
      </c>
      <c r="S13" s="46">
        <f>IF($Q13&lt;=1800,($Q13/360*$K13)*0.5,($Q13-1800)/360*$K13+1800/360*$K13*0.5)</f>
        <v>64182.166666666664</v>
      </c>
      <c r="T13" s="46">
        <f>IF($P13=21,0.0583333333333333*$R13*$K13/30,0.0833333333333333*$R13*$K13/30)</f>
        <v>3809.1552130898008</v>
      </c>
      <c r="U13" s="46">
        <f>IFERROR(IF($R13&gt;=360,IF(O13&gt;4,IF($N13=$AH$23,VLOOKUP($E13,$AF$4:$AG$22,2,0)*4,VLOOKUP($E13,$AF$4:$AG$22,2,0)),IF($N13=$AH$23,VLOOKUP($E13,$AF$4:$AG$22,2,0)*O13,VLOOKUP($E13,$AF$4:$AG$22,2,0))),(IF(O13&gt;4,IF($N13=$AH$23,VLOOKUP($E13,$AF$4:$AG$22,2,0)*4,VLOOKUP($E13,$AF$4:$AG$22,2,0)),IF($N13=$AH$23,VLOOKUP($E13,$AF$4:$AG$22,2,0)*O13,VLOOKUP($E13,$AF$4:$AG$22,2,0))))/360*$R13),0)</f>
        <v>1167.199391171994</v>
      </c>
      <c r="V13" s="46">
        <f>IF(F13&gt;0,DATEDIF($F13,Employee!$Z$1,"Y")*12*30+DATEDIF($F13,Employee!$Z$1,"YM")*30+DATEDIF($F13,Employee!$Z$1,"MD")+1,0)</f>
        <v>4471</v>
      </c>
      <c r="W13" s="46">
        <f>IF(F13&gt;0,IF(M13=$AG$23,0,IF($M13=$AF$23,DATEDIF($F13,Employee!$Z$1,"D")-(DATEDIF($F13,Employee!$Z$1,"D")*5/365)+1,DATEDIF($M13,Employee!$Z$1,"D")-(DATEDIF($M13,Employee!$Z$1,"D")*5/365)+1)),0)</f>
        <v>240.67123287671234</v>
      </c>
      <c r="X13" s="46">
        <f>IF($V13&lt;=1800,($V13/360*$K13)*0.5,($V13-1800)/360*$K13+1800/360*$K13*0.5)</f>
        <v>64744.213888888888</v>
      </c>
      <c r="Y13" s="46">
        <f>IF($P13=21,0.0583333333333333*$W13*$K13/30,0.0833333333333333*$W13*$K13/30)</f>
        <v>4363.5031582952797</v>
      </c>
      <c r="Z13" s="46">
        <f>IFERROR(IF($W13&gt;=360,IF(O13&gt;4,IF($N13=$AH$23,VLOOKUP($E13,$AF$4:$AG$22,2,0)*4,VLOOKUP($E13,$AF$4:$AG$22,2,0)),IF($N13=$AH$23,VLOOKUP($E13,$AF$4:$AG$22,2,0)*O13,VLOOKUP($E13,$AF$4:$AG$22,2,0))),(IF(O13&gt;4,IF($N13=$AH$23,VLOOKUP($E13,$AF$4:$AG$22,2,0)*4,VLOOKUP($E13,$AF$4:$AG$22,2,0)),IF($N13=$AH$23,VLOOKUP($E13,$AF$4:$AG$22,2,0)*O13,VLOOKUP($E13,$AF$4:$AG$22,2,0))))/360*$W13),0)</f>
        <v>1337.0624048706241</v>
      </c>
      <c r="AA13" s="49">
        <f>Table1[[#This Row],[نهاية الخدمة2]]-Table1[[#This Row],[نهاية الخدمة]]</f>
        <v>562.04722222222335</v>
      </c>
      <c r="AB13" s="49">
        <f>Table1[[#This Row],[رصيد اجازات2]]-Table1[[#This Row],[رصيد اجازات]]</f>
        <v>554.34794520547894</v>
      </c>
      <c r="AC13" s="49">
        <f>Table1[[#This Row],[تذاكر سفر2]]-Table1[[#This Row],[تذاكر سفر]]</f>
        <v>169.86301369863008</v>
      </c>
      <c r="AF13" s="67" t="s">
        <v>35</v>
      </c>
      <c r="AG13" s="67">
        <v>3000</v>
      </c>
    </row>
    <row r="14" spans="1:33" ht="21.95" customHeight="1" x14ac:dyDescent="0.35">
      <c r="A14" s="32">
        <f>SUBTOTAL(3,C$3:$C14)</f>
        <v>12</v>
      </c>
      <c r="B14" s="30" t="s">
        <v>88</v>
      </c>
      <c r="C14" s="33" t="s">
        <v>73</v>
      </c>
      <c r="D14" s="50">
        <v>13201101102</v>
      </c>
      <c r="E14" s="51" t="s">
        <v>27</v>
      </c>
      <c r="F14" s="52">
        <v>40179</v>
      </c>
      <c r="G14" s="51">
        <v>35201</v>
      </c>
      <c r="H14" s="51">
        <v>5032</v>
      </c>
      <c r="I14" s="51">
        <v>252</v>
      </c>
      <c r="J14" s="51">
        <v>0</v>
      </c>
      <c r="K14" s="51">
        <f t="shared" si="0"/>
        <v>40485</v>
      </c>
      <c r="L14" s="52">
        <v>44499</v>
      </c>
      <c r="M14" s="52">
        <v>44499</v>
      </c>
      <c r="N14" s="51" t="s">
        <v>24</v>
      </c>
      <c r="O14" s="51">
        <v>0</v>
      </c>
      <c r="P14" s="53">
        <v>30</v>
      </c>
      <c r="Q14" s="54">
        <f>IF(F14&gt;0,DATEDIF($F14,Employee!$U$1,"Y")*12*30+DATEDIF($F14,Employee!$U$1,"YM")*30+DATEDIF($F14,Employee!$U$1,"MD")+1,0)</f>
        <v>4440</v>
      </c>
      <c r="R14" s="61">
        <f>IF(F14&gt;0,IF(M14=$AG$23,0,IF($M14=$AF$23,DATEDIF($F14,Employee!$U$1,"D")-(DATEDIF($F14,Employee!$U$1,"D")*5/365)+1,DATEDIF($M14,Employee!$U$1,"D")-(DATEDIF($M14,Employee!$U$1,"D")*5/365)+1)),0)</f>
        <v>180.50684931506851</v>
      </c>
      <c r="S14" s="51">
        <f>IF($Q14&lt;=1800,($Q14/360*$K14)*0.5,($Q14-1800)/360*$K14+1800/360*$K14*0.5)</f>
        <v>398102.5</v>
      </c>
      <c r="T14" s="51">
        <f>IF($P14=21,0.0583333333333333*$R14*$K14/30,0.0833333333333333*$R14*$K14/30)</f>
        <v>20299.499429223735</v>
      </c>
      <c r="U14" s="55">
        <f>IFERROR(IF($R14&gt;=360,IF(O14&gt;4,IF($N14=$AH$23,VLOOKUP($E14,$AF$4:$AG$22,2,0)*4,VLOOKUP($E14,$AF$4:$AG$22,2,0)),IF($N14=$AH$23,VLOOKUP($E14,$AF$4:$AG$22,2,0)*O14,VLOOKUP($E14,$AF$4:$AG$22,2,0))),(IF(O14&gt;4,IF($N14=$AH$23,VLOOKUP($E14,$AF$4:$AG$22,2,0)*4,VLOOKUP($E14,$AF$4:$AG$22,2,0)),IF($N14=$AH$23,VLOOKUP($E14,$AF$4:$AG$22,2,0)*O14,VLOOKUP($E14,$AF$4:$AG$22,2,0))))/360*$R14),0)</f>
        <v>1002.8158295281584</v>
      </c>
      <c r="V14" s="56">
        <f>IF(F14&gt;0,DATEDIF($F14,Employee!$Z$1,"Y")*12*30+DATEDIF($F14,Employee!$Z$1,"YM")*30+DATEDIF($F14,Employee!$Z$1,"MD")+1,0)</f>
        <v>4471</v>
      </c>
      <c r="W14" s="51">
        <f>IF(F14&gt;0,IF(M14=$AG$23,0,IF($M14=$AF$23,DATEDIF($F14,Employee!$Z$1,"D")-(DATEDIF($F14,Employee!$Z$1,"D")*5/365)+1,DATEDIF($M14,Employee!$Z$1,"D")-(DATEDIF($M14,Employee!$Z$1,"D")*5/365)+1)),0)</f>
        <v>211.08219178082192</v>
      </c>
      <c r="X14" s="51">
        <f>IF($V14&lt;=1800,($V14/360*$K14)*0.5,($V14-1800)/360*$K14+1800/360*$K14*0.5)</f>
        <v>401588.70833333331</v>
      </c>
      <c r="Y14" s="51">
        <f>IF($P14=21,0.0583333333333333*$W14*$K14/30,0.0833333333333333*$W14*$K14/30)</f>
        <v>23737.951484018253</v>
      </c>
      <c r="Z14" s="51">
        <f>IFERROR(IF($W14&gt;=360,IF(O14&gt;4,IF($N14=$AH$23,VLOOKUP($E14,$AF$4:$AG$22,2,0)*4,VLOOKUP($E14,$AF$4:$AG$22,2,0)),IF($N14=$AH$23,VLOOKUP($E14,$AF$4:$AG$22,2,0)*O14,VLOOKUP($E14,$AF$4:$AG$22,2,0))),(IF(O14&gt;4,IF($N14=$AH$23,VLOOKUP($E14,$AF$4:$AG$22,2,0)*4,VLOOKUP($E14,$AF$4:$AG$22,2,0)),IF($N14=$AH$23,VLOOKUP($E14,$AF$4:$AG$22,2,0)*O14,VLOOKUP($E14,$AF$4:$AG$22,2,0))))/360*$W14),0)</f>
        <v>1172.6788432267883</v>
      </c>
      <c r="AA14" s="57">
        <f>Table1[[#This Row],[نهاية الخدمة2]]-Table1[[#This Row],[نهاية الخدمة]]</f>
        <v>3486.2083333333139</v>
      </c>
      <c r="AB14" s="57">
        <f>Table1[[#This Row],[رصيد اجازات2]]-Table1[[#This Row],[رصيد اجازات]]</f>
        <v>3438.4520547945176</v>
      </c>
      <c r="AC14" s="58">
        <f>Table1[[#This Row],[تذاكر سفر2]]-Table1[[#This Row],[تذاكر سفر]]</f>
        <v>169.86301369862997</v>
      </c>
      <c r="AF14" s="67" t="s">
        <v>36</v>
      </c>
      <c r="AG14" s="67">
        <v>3000</v>
      </c>
    </row>
    <row r="15" spans="1:33" ht="21.95" customHeight="1" x14ac:dyDescent="0.35">
      <c r="A15" s="32">
        <f>SUBTOTAL(3,C$3:$C15)</f>
        <v>13</v>
      </c>
      <c r="B15" s="30" t="s">
        <v>89</v>
      </c>
      <c r="C15" s="33" t="s">
        <v>74</v>
      </c>
      <c r="D15" s="45">
        <v>14301101102</v>
      </c>
      <c r="E15" s="46" t="s">
        <v>31</v>
      </c>
      <c r="F15" s="47">
        <v>40179</v>
      </c>
      <c r="G15" s="46">
        <v>5026</v>
      </c>
      <c r="H15" s="46">
        <v>1001</v>
      </c>
      <c r="I15" s="46">
        <v>500</v>
      </c>
      <c r="J15" s="46">
        <v>0</v>
      </c>
      <c r="K15" s="46">
        <f t="shared" si="0"/>
        <v>6527</v>
      </c>
      <c r="L15" s="47" t="s">
        <v>21</v>
      </c>
      <c r="M15" s="47" t="s">
        <v>21</v>
      </c>
      <c r="N15" s="46" t="s">
        <v>24</v>
      </c>
      <c r="O15" s="46">
        <v>0</v>
      </c>
      <c r="P15" s="48">
        <v>21</v>
      </c>
      <c r="Q15" s="46">
        <f>IF(F15&gt;0,DATEDIF($F15,Employee!$U$1,"Y")*12*30+DATEDIF($F15,Employee!$U$1,"YM")*30+DATEDIF($F15,Employee!$U$1,"MD")+1,0)</f>
        <v>4440</v>
      </c>
      <c r="R15" s="62">
        <f>IF(F15&gt;0,IF(M15=$AG$23,0,IF($M15=$AF$23,DATEDIF($F15,Employee!$U$1,"D")-(DATEDIF($F15,Employee!$U$1,"D")*5/365)+1,DATEDIF($M15,Employee!$U$1,"D")-(DATEDIF($M15,Employee!$U$1,"D")*5/365)+1)),0)</f>
        <v>4441.3287671232874</v>
      </c>
      <c r="S15" s="46">
        <f>IF($Q15&lt;=1800,($Q15/360*$K15)*0.5,($Q15-1800)/360*$K15+1800/360*$K15*0.5)</f>
        <v>64182.166666666664</v>
      </c>
      <c r="T15" s="46">
        <f>IF($P15=21,0.0583333333333333*$R15*$K15/30,0.0833333333333333*$R15*$K15/30)</f>
        <v>56366.630566971042</v>
      </c>
      <c r="U15" s="46">
        <f>IFERROR(IF($R15&gt;=360,IF(O15&gt;4,IF($N15=$AH$23,VLOOKUP($E15,$AF$4:$AG$22,2,0)*4,VLOOKUP($E15,$AF$4:$AG$22,2,0)),IF($N15=$AH$23,VLOOKUP($E15,$AF$4:$AG$22,2,0)*O15,VLOOKUP($E15,$AF$4:$AG$22,2,0))),(IF(O15&gt;4,IF($N15=$AH$23,VLOOKUP($E15,$AF$4:$AG$22,2,0)*4,VLOOKUP($E15,$AF$4:$AG$22,2,0)),IF($N15=$AH$23,VLOOKUP($E15,$AF$4:$AG$22,2,0)*O15,VLOOKUP($E15,$AF$4:$AG$22,2,0))))/360*$R15),0)</f>
        <v>2000</v>
      </c>
      <c r="V15" s="46">
        <f>IF(F15&gt;0,DATEDIF($F15,Employee!$Z$1,"Y")*12*30+DATEDIF($F15,Employee!$Z$1,"YM")*30+DATEDIF($F15,Employee!$Z$1,"MD")+1,0)</f>
        <v>4471</v>
      </c>
      <c r="W15" s="46">
        <f>IF(F15&gt;0,IF(M15=$AG$23,0,IF($M15=$AF$23,DATEDIF($F15,Employee!$Z$1,"D")-(DATEDIF($F15,Employee!$Z$1,"D")*5/365)+1,DATEDIF($M15,Employee!$Z$1,"D")-(DATEDIF($M15,Employee!$Z$1,"D")*5/365)+1)),0)</f>
        <v>4471.9041095890407</v>
      </c>
      <c r="X15" s="46">
        <f>IF($V15&lt;=1800,($V15/360*$K15)*0.5,($V15-1800)/360*$K15+1800/360*$K15*0.5)</f>
        <v>64744.213888888888</v>
      </c>
      <c r="Y15" s="46">
        <f>IF($P15=21,0.0583333333333333*$W15*$K15/30,0.0833333333333333*$W15*$K15/30)</f>
        <v>56754.674128614868</v>
      </c>
      <c r="Z15" s="46">
        <f>IFERROR(IF($W15&gt;=360,IF(O15&gt;4,IF($N15=$AH$23,VLOOKUP($E15,$AF$4:$AG$22,2,0)*4,VLOOKUP($E15,$AF$4:$AG$22,2,0)),IF($N15=$AH$23,VLOOKUP($E15,$AF$4:$AG$22,2,0)*O15,VLOOKUP($E15,$AF$4:$AG$22,2,0))),(IF(O15&gt;4,IF($N15=$AH$23,VLOOKUP($E15,$AF$4:$AG$22,2,0)*4,VLOOKUP($E15,$AF$4:$AG$22,2,0)),IF($N15=$AH$23,VLOOKUP($E15,$AF$4:$AG$22,2,0)*O15,VLOOKUP($E15,$AF$4:$AG$22,2,0))))/360*$W15),0)</f>
        <v>2000</v>
      </c>
      <c r="AA15" s="49">
        <f>Table1[[#This Row],[نهاية الخدمة2]]-Table1[[#This Row],[نهاية الخدمة]]</f>
        <v>562.04722222222335</v>
      </c>
      <c r="AB15" s="49">
        <f>Table1[[#This Row],[رصيد اجازات2]]-Table1[[#This Row],[رصيد اجازات]]</f>
        <v>388.04356164382625</v>
      </c>
      <c r="AC15" s="49">
        <f>Table1[[#This Row],[تذاكر سفر2]]-Table1[[#This Row],[تذاكر سفر]]</f>
        <v>0</v>
      </c>
      <c r="AF15" s="67" t="s">
        <v>37</v>
      </c>
      <c r="AG15" s="67">
        <v>1000</v>
      </c>
    </row>
    <row r="16" spans="1:33" ht="21.95" customHeight="1" x14ac:dyDescent="0.35">
      <c r="A16" s="32">
        <f>SUBTOTAL(3,C$3:$C16)</f>
        <v>14</v>
      </c>
      <c r="B16" s="30" t="s">
        <v>90</v>
      </c>
      <c r="C16" s="34" t="s">
        <v>75</v>
      </c>
      <c r="D16" s="50">
        <v>15401101102</v>
      </c>
      <c r="E16" s="51" t="s">
        <v>27</v>
      </c>
      <c r="F16" s="52">
        <v>40179</v>
      </c>
      <c r="G16" s="51">
        <v>35201</v>
      </c>
      <c r="H16" s="51">
        <v>5032</v>
      </c>
      <c r="I16" s="51">
        <v>252</v>
      </c>
      <c r="J16" s="51"/>
      <c r="K16" s="51">
        <f t="shared" si="0"/>
        <v>40485</v>
      </c>
      <c r="L16" s="52" t="s">
        <v>21</v>
      </c>
      <c r="M16" s="52" t="s">
        <v>21</v>
      </c>
      <c r="N16" s="51" t="s">
        <v>24</v>
      </c>
      <c r="O16" s="51">
        <v>0</v>
      </c>
      <c r="P16" s="53">
        <v>21</v>
      </c>
      <c r="Q16" s="54">
        <f>IF(F16&gt;0,DATEDIF($F16,Employee!$U$1,"Y")*12*30+DATEDIF($F16,Employee!$U$1,"YM")*30+DATEDIF($F16,Employee!$U$1,"MD")+1,0)</f>
        <v>4440</v>
      </c>
      <c r="R16" s="51">
        <f>IF(F16&gt;0,IF(M16=$AG$23,0,IF($M16=$AF$23,DATEDIF($F16,Employee!$U$1,"D")-(DATEDIF($F16,Employee!$U$1,"D")*5/365)+1,DATEDIF($M16,Employee!$U$1,"D")-(DATEDIF($M16,Employee!$U$1,"D")*5/365)+1)),0)</f>
        <v>4441.3287671232874</v>
      </c>
      <c r="S16" s="51">
        <f>IF($Q16&lt;=1800,($Q16/360*$K16)*0.5,($Q16-1800)/360*$K16+1800/360*$K16*0.5)</f>
        <v>398102.5</v>
      </c>
      <c r="T16" s="51">
        <f>IF($P16=21,0.0583333333333333*$R16*$K16/30,0.0833333333333333*$R16*$K16/30)</f>
        <v>349625.10165525094</v>
      </c>
      <c r="U16" s="55">
        <f>IFERROR(IF($R16&gt;=360,IF(O16&gt;4,IF($N16=$AH$23,VLOOKUP($E16,$AF$4:$AG$22,2,0)*4,VLOOKUP($E16,$AF$4:$AG$22,2,0)),IF($N16=$AH$23,VLOOKUP($E16,$AF$4:$AG$22,2,0)*O16,VLOOKUP($E16,$AF$4:$AG$22,2,0))),(IF(O16&gt;4,IF($N16=$AH$23,VLOOKUP($E16,$AF$4:$AG$22,2,0)*4,VLOOKUP($E16,$AF$4:$AG$22,2,0)),IF($N16=$AH$23,VLOOKUP($E16,$AF$4:$AG$22,2,0)*O16,VLOOKUP($E16,$AF$4:$AG$22,2,0))))/360*$R16),0)</f>
        <v>2000</v>
      </c>
      <c r="V16" s="56">
        <f>IF(F16&gt;0,DATEDIF($F16,Employee!$Z$1,"Y")*12*30+DATEDIF($F16,Employee!$Z$1,"YM")*30+DATEDIF($F16,Employee!$Z$1,"MD")+1,0)</f>
        <v>4471</v>
      </c>
      <c r="W16" s="51">
        <f>IF(F16&gt;0,IF(M16=$AG$23,0,IF($M16=$AF$23,DATEDIF($F16,Employee!$Z$1,"D")-(DATEDIF($F16,Employee!$Z$1,"D")*5/365)+1,DATEDIF($M16,Employee!$Z$1,"D")-(DATEDIF($M16,Employee!$Z$1,"D")*5/365)+1)),0)</f>
        <v>4471.9041095890407</v>
      </c>
      <c r="X16" s="51">
        <f>IF($V16&lt;=1800,($V16/360*$K16)*0.5,($V16-1800)/360*$K16+1800/360*$K16*0.5)</f>
        <v>401588.70833333331</v>
      </c>
      <c r="Y16" s="51">
        <f>IF($P16=21,0.0583333333333333*$W16*$K16/30,0.0833333333333333*$W16*$K16/30)</f>
        <v>352032.01809360704</v>
      </c>
      <c r="Z16" s="51">
        <f>IFERROR(IF($W16&gt;=360,IF(O16&gt;4,IF($N16=$AH$23,VLOOKUP($E16,$AF$4:$AG$22,2,0)*4,VLOOKUP($E16,$AF$4:$AG$22,2,0)),IF($N16=$AH$23,VLOOKUP($E16,$AF$4:$AG$22,2,0)*O16,VLOOKUP($E16,$AF$4:$AG$22,2,0))),(IF(O16&gt;4,IF($N16=$AH$23,VLOOKUP($E16,$AF$4:$AG$22,2,0)*4,VLOOKUP($E16,$AF$4:$AG$22,2,0)),IF($N16=$AH$23,VLOOKUP($E16,$AF$4:$AG$22,2,0)*O16,VLOOKUP($E16,$AF$4:$AG$22,2,0))))/360*$W16),0)</f>
        <v>2000</v>
      </c>
      <c r="AA16" s="57">
        <f>Table1[[#This Row],[نهاية الخدمة2]]-Table1[[#This Row],[نهاية الخدمة]]</f>
        <v>3486.2083333333139</v>
      </c>
      <c r="AB16" s="57">
        <f>Table1[[#This Row],[رصيد اجازات2]]-Table1[[#This Row],[رصيد اجازات]]</f>
        <v>2406.9164383561001</v>
      </c>
      <c r="AC16" s="58">
        <f>Table1[[#This Row],[تذاكر سفر2]]-Table1[[#This Row],[تذاكر سفر]]</f>
        <v>0</v>
      </c>
      <c r="AF16" s="67" t="s">
        <v>45</v>
      </c>
      <c r="AG16" s="67">
        <v>1500</v>
      </c>
    </row>
    <row r="17" spans="1:35" ht="21.95" customHeight="1" x14ac:dyDescent="0.35">
      <c r="A17" s="32">
        <f>SUBTOTAL(3,C$3:$C17)</f>
        <v>15</v>
      </c>
      <c r="B17" s="30" t="s">
        <v>91</v>
      </c>
      <c r="C17" s="33" t="s">
        <v>76</v>
      </c>
      <c r="D17" s="45">
        <v>16501101102</v>
      </c>
      <c r="E17" s="46" t="s">
        <v>31</v>
      </c>
      <c r="F17" s="47">
        <v>40179</v>
      </c>
      <c r="G17" s="46">
        <v>5026</v>
      </c>
      <c r="H17" s="46">
        <v>1001</v>
      </c>
      <c r="I17" s="46">
        <v>500</v>
      </c>
      <c r="J17" s="46">
        <v>0</v>
      </c>
      <c r="K17" s="46">
        <f t="shared" si="0"/>
        <v>6527</v>
      </c>
      <c r="L17" s="47">
        <v>43623</v>
      </c>
      <c r="M17" s="47">
        <v>43321</v>
      </c>
      <c r="N17" s="46" t="s">
        <v>24</v>
      </c>
      <c r="O17" s="46">
        <v>0</v>
      </c>
      <c r="P17" s="48">
        <v>21</v>
      </c>
      <c r="Q17" s="46">
        <f>IF(F17&gt;0,DATEDIF($F17,Employee!$U$1,"Y")*12*30+DATEDIF($F17,Employee!$U$1,"YM")*30+DATEDIF($F17,Employee!$U$1,"MD")+1,0)</f>
        <v>4440</v>
      </c>
      <c r="R17" s="46">
        <f>IF(F17&gt;0,IF(M17=$AG$23,0,IF($M17=$AF$23,DATEDIF($F17,Employee!$U$1,"D")-(DATEDIF($F17,Employee!$U$1,"D")*5/365)+1,DATEDIF($M17,Employee!$U$1,"D")-(DATEDIF($M17,Employee!$U$1,"D")*5/365)+1)),0)</f>
        <v>1342.3698630136987</v>
      </c>
      <c r="S17" s="46">
        <f>IF($Q17&lt;=1800,($Q17/360*$K17)*0.5,($Q17-1800)/360*$K17+1800/360*$K17*0.5)</f>
        <v>64182.166666666664</v>
      </c>
      <c r="T17" s="46">
        <f>IF($P17=21,0.0583333333333333*$R17*$K17/30,0.0833333333333333*$R17*$K17/30)</f>
        <v>17036.537964231346</v>
      </c>
      <c r="U17" s="46">
        <f>IFERROR(IF($R17&gt;=360,IF(O17&gt;4,IF($N17=$AH$23,VLOOKUP($E17,$AF$4:$AG$22,2,0)*4,VLOOKUP($E17,$AF$4:$AG$22,2,0)),IF($N17=$AH$23,VLOOKUP($E17,$AF$4:$AG$22,2,0)*O17,VLOOKUP($E17,$AF$4:$AG$22,2,0))),(IF(O17&gt;4,IF($N17=$AH$23,VLOOKUP($E17,$AF$4:$AG$22,2,0)*4,VLOOKUP($E17,$AF$4:$AG$22,2,0)),IF($N17=$AH$23,VLOOKUP($E17,$AF$4:$AG$22,2,0)*O17,VLOOKUP($E17,$AF$4:$AG$22,2,0))))/360*$R17),0)</f>
        <v>2000</v>
      </c>
      <c r="V17" s="46">
        <f>IF(F17&gt;0,DATEDIF($F17,Employee!$Z$1,"Y")*12*30+DATEDIF($F17,Employee!$Z$1,"YM")*30+DATEDIF($F17,Employee!$Z$1,"MD")+1,0)</f>
        <v>4471</v>
      </c>
      <c r="W17" s="46">
        <f>IF(F17&gt;0,IF(M17=$AG$23,0,IF($M17=$AF$23,DATEDIF($F17,Employee!$Z$1,"D")-(DATEDIF($F17,Employee!$Z$1,"D")*5/365)+1,DATEDIF($M17,Employee!$Z$1,"D")-(DATEDIF($M17,Employee!$Z$1,"D")*5/365)+1)),0)</f>
        <v>1372.9452054794519</v>
      </c>
      <c r="X17" s="46">
        <f>IF($V17&lt;=1800,($V17/360*$K17)*0.5,($V17-1800)/360*$K17+1800/360*$K17*0.5)</f>
        <v>64744.213888888888</v>
      </c>
      <c r="Y17" s="46">
        <f>IF($P17=21,0.0583333333333333*$W17*$K17/30,0.0833333333333333*$W17*$K17/30)</f>
        <v>17424.581525875179</v>
      </c>
      <c r="Z17" s="46">
        <f>IFERROR(IF($W17&gt;=360,IF(O17&gt;4,IF($N17=$AH$23,VLOOKUP($E17,$AF$4:$AG$22,2,0)*4,VLOOKUP($E17,$AF$4:$AG$22,2,0)),IF($N17=$AH$23,VLOOKUP($E17,$AF$4:$AG$22,2,0)*O17,VLOOKUP($E17,$AF$4:$AG$22,2,0))),(IF(O17&gt;4,IF($N17=$AH$23,VLOOKUP($E17,$AF$4:$AG$22,2,0)*4,VLOOKUP($E17,$AF$4:$AG$22,2,0)),IF($N17=$AH$23,VLOOKUP($E17,$AF$4:$AG$22,2,0)*O17,VLOOKUP($E17,$AF$4:$AG$22,2,0))))/360*$W17),0)</f>
        <v>2000</v>
      </c>
      <c r="AA17" s="49">
        <f>Table1[[#This Row],[نهاية الخدمة2]]-Table1[[#This Row],[نهاية الخدمة]]</f>
        <v>562.04722222222335</v>
      </c>
      <c r="AB17" s="49">
        <f>Table1[[#This Row],[رصيد اجازات2]]-Table1[[#This Row],[رصيد اجازات]]</f>
        <v>388.04356164383353</v>
      </c>
      <c r="AC17" s="49">
        <f>Table1[[#This Row],[تذاكر سفر2]]-Table1[[#This Row],[تذاكر سفر]]</f>
        <v>0</v>
      </c>
      <c r="AF17" s="67" t="s">
        <v>38</v>
      </c>
      <c r="AG17" s="67">
        <v>2150</v>
      </c>
    </row>
    <row r="18" spans="1:35" ht="21.95" customHeight="1" x14ac:dyDescent="0.35">
      <c r="A18" s="32">
        <f>SUBTOTAL(3,C$3:$C18)</f>
        <v>16</v>
      </c>
      <c r="B18" s="30" t="s">
        <v>92</v>
      </c>
      <c r="C18" s="31" t="s">
        <v>72</v>
      </c>
      <c r="D18" s="50">
        <v>17601101102</v>
      </c>
      <c r="E18" s="51" t="s">
        <v>31</v>
      </c>
      <c r="F18" s="52">
        <v>40179</v>
      </c>
      <c r="G18" s="51">
        <v>35201</v>
      </c>
      <c r="H18" s="51">
        <v>5032</v>
      </c>
      <c r="I18" s="51">
        <v>252</v>
      </c>
      <c r="J18" s="51">
        <v>0</v>
      </c>
      <c r="K18" s="51">
        <f t="shared" si="0"/>
        <v>40485</v>
      </c>
      <c r="L18" s="52" t="s">
        <v>21</v>
      </c>
      <c r="M18" s="52" t="s">
        <v>21</v>
      </c>
      <c r="N18" s="51" t="s">
        <v>24</v>
      </c>
      <c r="O18" s="51">
        <v>0</v>
      </c>
      <c r="P18" s="53">
        <v>21</v>
      </c>
      <c r="Q18" s="54">
        <f>IF(F18&gt;0,DATEDIF($F18,Employee!$U$1,"Y")*12*30+DATEDIF($F18,Employee!$U$1,"YM")*30+DATEDIF($F18,Employee!$U$1,"MD")+1,0)</f>
        <v>4440</v>
      </c>
      <c r="R18" s="51">
        <f>IF(F18&gt;0,IF(M18=$AG$23,0,IF($M18=$AF$23,DATEDIF($F18,Employee!$U$1,"D")-(DATEDIF($F18,Employee!$U$1,"D")*5/365)+1,DATEDIF($M18,Employee!$U$1,"D")-(DATEDIF($M18,Employee!$U$1,"D")*5/365)+1)),0)</f>
        <v>4441.3287671232874</v>
      </c>
      <c r="S18" s="51">
        <f>IF($Q18&lt;=1800,($Q18/360*$K18)*0.5,($Q18-1800)/360*$K18+1800/360*$K18*0.5)</f>
        <v>398102.5</v>
      </c>
      <c r="T18" s="51">
        <f>IF($P18=21,0.0583333333333333*$R18*$K18/30,0.0833333333333333*$R18*$K18/30)</f>
        <v>349625.10165525094</v>
      </c>
      <c r="U18" s="55">
        <f>IFERROR(IF($R18&gt;=360,IF(O18&gt;4,IF($N18=$AH$23,VLOOKUP($E18,$AF$4:$AG$22,2,0)*4,VLOOKUP($E18,$AF$4:$AG$22,2,0)),IF($N18=$AH$23,VLOOKUP($E18,$AF$4:$AG$22,2,0)*O18,VLOOKUP($E18,$AF$4:$AG$22,2,0))),(IF(O18&gt;4,IF($N18=$AH$23,VLOOKUP($E18,$AF$4:$AG$22,2,0)*4,VLOOKUP($E18,$AF$4:$AG$22,2,0)),IF($N18=$AH$23,VLOOKUP($E18,$AF$4:$AG$22,2,0)*O18,VLOOKUP($E18,$AF$4:$AG$22,2,0))))/360*$R18),0)</f>
        <v>2000</v>
      </c>
      <c r="V18" s="56">
        <f>IF(F18&gt;0,DATEDIF($F18,Employee!$Z$1,"Y")*12*30+DATEDIF($F18,Employee!$Z$1,"YM")*30+DATEDIF($F18,Employee!$Z$1,"MD")+1,0)</f>
        <v>4471</v>
      </c>
      <c r="W18" s="51">
        <f>IF(F18&gt;0,IF(M18=$AG$23,0,IF($M18=$AF$23,DATEDIF($F18,Employee!$Z$1,"D")-(DATEDIF($F18,Employee!$Z$1,"D")*5/365)+1,DATEDIF($M18,Employee!$Z$1,"D")-(DATEDIF($M18,Employee!$Z$1,"D")*5/365)+1)),0)</f>
        <v>4471.9041095890407</v>
      </c>
      <c r="X18" s="51">
        <f>IF($V18&lt;=1800,($V18/360*$K18)*0.5,($V18-1800)/360*$K18+1800/360*$K18*0.5)</f>
        <v>401588.70833333331</v>
      </c>
      <c r="Y18" s="51">
        <f>IF($P18=21,0.0583333333333333*$W18*$K18/30,0.0833333333333333*$W18*$K18/30)</f>
        <v>352032.01809360704</v>
      </c>
      <c r="Z18" s="51">
        <f>IFERROR(IF($W18&gt;=360,IF(O18&gt;4,IF($N18=$AH$23,VLOOKUP($E18,$AF$4:$AG$22,2,0)*4,VLOOKUP($E18,$AF$4:$AG$22,2,0)),IF($N18=$AH$23,VLOOKUP($E18,$AF$4:$AG$22,2,0)*O18,VLOOKUP($E18,$AF$4:$AG$22,2,0))),(IF(O18&gt;4,IF($N18=$AH$23,VLOOKUP($E18,$AF$4:$AG$22,2,0)*4,VLOOKUP($E18,$AF$4:$AG$22,2,0)),IF($N18=$AH$23,VLOOKUP($E18,$AF$4:$AG$22,2,0)*O18,VLOOKUP($E18,$AF$4:$AG$22,2,0))))/360*$W18),0)</f>
        <v>2000</v>
      </c>
      <c r="AA18" s="57">
        <f>Table1[[#This Row],[نهاية الخدمة2]]-Table1[[#This Row],[نهاية الخدمة]]</f>
        <v>3486.2083333333139</v>
      </c>
      <c r="AB18" s="57">
        <f>Table1[[#This Row],[رصيد اجازات2]]-Table1[[#This Row],[رصيد اجازات]]</f>
        <v>2406.9164383561001</v>
      </c>
      <c r="AC18" s="58">
        <f>Table1[[#This Row],[تذاكر سفر2]]-Table1[[#This Row],[تذاكر سفر]]</f>
        <v>0</v>
      </c>
      <c r="AF18" s="67" t="s">
        <v>39</v>
      </c>
      <c r="AG18" s="67">
        <v>3500</v>
      </c>
    </row>
    <row r="19" spans="1:35" ht="21.95" customHeight="1" x14ac:dyDescent="0.35">
      <c r="A19" s="32">
        <f>SUBTOTAL(3,C$3:$C19)</f>
        <v>17</v>
      </c>
      <c r="B19" s="30" t="s">
        <v>93</v>
      </c>
      <c r="C19" s="33" t="s">
        <v>73</v>
      </c>
      <c r="D19" s="45">
        <v>18701101102</v>
      </c>
      <c r="E19" s="46" t="s">
        <v>23</v>
      </c>
      <c r="F19" s="47">
        <v>40179</v>
      </c>
      <c r="G19" s="46">
        <v>5026</v>
      </c>
      <c r="H19" s="46">
        <v>1001</v>
      </c>
      <c r="I19" s="46">
        <v>500</v>
      </c>
      <c r="J19" s="46">
        <v>100</v>
      </c>
      <c r="K19" s="46">
        <f t="shared" si="0"/>
        <v>6627</v>
      </c>
      <c r="L19" s="47">
        <v>43167</v>
      </c>
      <c r="M19" s="47">
        <v>43208</v>
      </c>
      <c r="N19" s="46" t="s">
        <v>24</v>
      </c>
      <c r="O19" s="46">
        <v>0</v>
      </c>
      <c r="P19" s="48">
        <v>21</v>
      </c>
      <c r="Q19" s="46">
        <f>IF(F19&gt;0,DATEDIF($F19,Employee!$U$1,"Y")*12*30+DATEDIF($F19,Employee!$U$1,"YM")*30+DATEDIF($F19,Employee!$U$1,"MD")+1,0)</f>
        <v>4440</v>
      </c>
      <c r="R19" s="46">
        <f>IF(F19&gt;0,IF(M19=$AG$23,0,IF($M19=$AF$23,DATEDIF($F19,Employee!$U$1,"D")-(DATEDIF($F19,Employee!$U$1,"D")*5/365)+1,DATEDIF($M19,Employee!$U$1,"D")-(DATEDIF($M19,Employee!$U$1,"D")*5/365)+1)),0)</f>
        <v>1453.8219178082193</v>
      </c>
      <c r="S19" s="46">
        <f>IF($Q19&lt;=1800,($Q19/360*$K19)*0.5,($Q19-1800)/360*$K19+1800/360*$K19*0.5)</f>
        <v>65165.5</v>
      </c>
      <c r="T19" s="46">
        <f>IF($P19=21,0.0583333333333333*$R19*$K19/30,0.0833333333333333*$R19*$K19/30)</f>
        <v>18733.706929223736</v>
      </c>
      <c r="U19" s="46">
        <f>IFERROR(IF($R19&gt;=360,IF(O19&gt;4,IF($N19=$AH$23,VLOOKUP($E19,$AF$4:$AG$22,2,0)*4,VLOOKUP($E19,$AF$4:$AG$22,2,0)),IF($N19=$AH$23,VLOOKUP($E19,$AF$4:$AG$22,2,0)*O19,VLOOKUP($E19,$AF$4:$AG$22,2,0))),(IF(O19&gt;4,IF($N19=$AH$23,VLOOKUP($E19,$AF$4:$AG$22,2,0)*4,VLOOKUP($E19,$AF$4:$AG$22,2,0)),IF($N19=$AH$23,VLOOKUP($E19,$AF$4:$AG$22,2,0)*O19,VLOOKUP($E19,$AF$4:$AG$22,2,0))))/360*$R19),0)</f>
        <v>2250</v>
      </c>
      <c r="V19" s="46">
        <f>IF(F19&gt;0,DATEDIF($F19,Employee!$Z$1,"Y")*12*30+DATEDIF($F19,Employee!$Z$1,"YM")*30+DATEDIF($F19,Employee!$Z$1,"MD")+1,0)</f>
        <v>4471</v>
      </c>
      <c r="W19" s="46">
        <f>IF(F19&gt;0,IF(M19=$AG$23,0,IF($M19=$AF$23,DATEDIF($F19,Employee!$Z$1,"D")-(DATEDIF($F19,Employee!$Z$1,"D")*5/365)+1,DATEDIF($M19,Employee!$Z$1,"D")-(DATEDIF($M19,Employee!$Z$1,"D")*5/365)+1)),0)</f>
        <v>1484.3972602739725</v>
      </c>
      <c r="X19" s="46">
        <f>IF($V19&lt;=1800,($V19/360*$K19)*0.5,($V19-1800)/360*$K19+1800/360*$K19*0.5)</f>
        <v>65736.158333333326</v>
      </c>
      <c r="Y19" s="46">
        <f>IF($P19=21,0.0583333333333333*$W19*$K19/30,0.0833333333333333*$W19*$K19/30)</f>
        <v>19127.695696347022</v>
      </c>
      <c r="Z19" s="46">
        <f>IFERROR(IF($W19&gt;=360,IF(O19&gt;4,IF($N19=$AH$23,VLOOKUP($E19,$AF$4:$AG$22,2,0)*4,VLOOKUP($E19,$AF$4:$AG$22,2,0)),IF($N19=$AH$23,VLOOKUP($E19,$AF$4:$AG$22,2,0)*O19,VLOOKUP($E19,$AF$4:$AG$22,2,0))),(IF(O19&gt;4,IF($N19=$AH$23,VLOOKUP($E19,$AF$4:$AG$22,2,0)*4,VLOOKUP($E19,$AF$4:$AG$22,2,0)),IF($N19=$AH$23,VLOOKUP($E19,$AF$4:$AG$22,2,0)*O19,VLOOKUP($E19,$AF$4:$AG$22,2,0))))/360*$W19),0)</f>
        <v>2250</v>
      </c>
      <c r="AA19" s="49">
        <f>Table1[[#This Row],[نهاية الخدمة2]]-Table1[[#This Row],[نهاية الخدمة]]</f>
        <v>570.65833333332557</v>
      </c>
      <c r="AB19" s="49">
        <f>Table1[[#This Row],[رصيد اجازات2]]-Table1[[#This Row],[رصيد اجازات]]</f>
        <v>393.98876712328638</v>
      </c>
      <c r="AC19" s="49">
        <f>Table1[[#This Row],[تذاكر سفر2]]-Table1[[#This Row],[تذاكر سفر]]</f>
        <v>0</v>
      </c>
      <c r="AF19" s="67" t="s">
        <v>40</v>
      </c>
      <c r="AG19" s="67">
        <v>1000</v>
      </c>
    </row>
    <row r="20" spans="1:35" ht="21.95" customHeight="1" x14ac:dyDescent="0.35">
      <c r="A20" s="32">
        <f>SUBTOTAL(3,C$3:$C20)</f>
        <v>18</v>
      </c>
      <c r="B20" s="30" t="s">
        <v>94</v>
      </c>
      <c r="C20" s="33" t="s">
        <v>74</v>
      </c>
      <c r="D20" s="50">
        <v>19801101102</v>
      </c>
      <c r="E20" s="51" t="s">
        <v>26</v>
      </c>
      <c r="F20" s="52">
        <v>40179</v>
      </c>
      <c r="G20" s="51">
        <v>35201</v>
      </c>
      <c r="H20" s="51">
        <v>5032</v>
      </c>
      <c r="I20" s="51">
        <v>252</v>
      </c>
      <c r="J20" s="51">
        <v>0</v>
      </c>
      <c r="K20" s="51">
        <f t="shared" si="0"/>
        <v>40485</v>
      </c>
      <c r="L20" s="52" t="s">
        <v>21</v>
      </c>
      <c r="M20" s="52" t="s">
        <v>21</v>
      </c>
      <c r="N20" s="51" t="s">
        <v>24</v>
      </c>
      <c r="O20" s="51">
        <v>0</v>
      </c>
      <c r="P20" s="53">
        <v>21</v>
      </c>
      <c r="Q20" s="54">
        <f>IF(F20&gt;0,DATEDIF($F20,Employee!$U$1,"Y")*12*30+DATEDIF($F20,Employee!$U$1,"YM")*30+DATEDIF($F20,Employee!$U$1,"MD")+1,0)</f>
        <v>4440</v>
      </c>
      <c r="R20" s="51">
        <f>IF(F20&gt;0,IF(M20=$AG$23,0,IF($M20=$AF$23,DATEDIF($F20,Employee!$U$1,"D")-(DATEDIF($F20,Employee!$U$1,"D")*5/365)+1,DATEDIF($M20,Employee!$U$1,"D")-(DATEDIF($M20,Employee!$U$1,"D")*5/365)+1)),0)</f>
        <v>4441.3287671232874</v>
      </c>
      <c r="S20" s="51">
        <f>IF($Q20&lt;=1800,($Q20/360*$K20)*0.5,($Q20-1800)/360*$K20+1800/360*$K20*0.5)</f>
        <v>398102.5</v>
      </c>
      <c r="T20" s="51">
        <f>IF($P20=21,0.0583333333333333*$R20*$K20/30,0.0833333333333333*$R20*$K20/30)</f>
        <v>349625.10165525094</v>
      </c>
      <c r="U20" s="55">
        <f>IFERROR(IF($R20&gt;=360,IF(O20&gt;4,IF($N20=$AH$23,VLOOKUP($E20,$AF$4:$AG$22,2,0)*4,VLOOKUP($E20,$AF$4:$AG$22,2,0)),IF($N20=$AH$23,VLOOKUP($E20,$AF$4:$AG$22,2,0)*O20,VLOOKUP($E20,$AF$4:$AG$22,2,0))),(IF(O20&gt;4,IF($N20=$AH$23,VLOOKUP($E20,$AF$4:$AG$22,2,0)*4,VLOOKUP($E20,$AF$4:$AG$22,2,0)),IF($N20=$AH$23,VLOOKUP($E20,$AF$4:$AG$22,2,0)*O20,VLOOKUP($E20,$AF$4:$AG$22,2,0))))/360*$R20),0)</f>
        <v>1500</v>
      </c>
      <c r="V20" s="56">
        <f>IF(F20&gt;0,DATEDIF($F20,Employee!$Z$1,"Y")*12*30+DATEDIF($F20,Employee!$Z$1,"YM")*30+DATEDIF($F20,Employee!$Z$1,"MD")+1,0)</f>
        <v>4471</v>
      </c>
      <c r="W20" s="51">
        <f>IF(F20&gt;0,IF(M20=$AG$23,0,IF($M20=$AF$23,DATEDIF($F20,Employee!$Z$1,"D")-(DATEDIF($F20,Employee!$Z$1,"D")*5/365)+1,DATEDIF($M20,Employee!$Z$1,"D")-(DATEDIF($M20,Employee!$Z$1,"D")*5/365)+1)),0)</f>
        <v>4471.9041095890407</v>
      </c>
      <c r="X20" s="51">
        <f>IF($V20&lt;=1800,($V20/360*$K20)*0.5,($V20-1800)/360*$K20+1800/360*$K20*0.5)</f>
        <v>401588.70833333331</v>
      </c>
      <c r="Y20" s="51">
        <f>IF($P20=21,0.0583333333333333*$W20*$K20/30,0.0833333333333333*$W20*$K20/30)</f>
        <v>352032.01809360704</v>
      </c>
      <c r="Z20" s="51">
        <f>IFERROR(IF($W20&gt;=360,IF(O20&gt;4,IF($N20=$AH$23,VLOOKUP($E20,$AF$4:$AG$22,2,0)*4,VLOOKUP($E20,$AF$4:$AG$22,2,0)),IF($N20=$AH$23,VLOOKUP($E20,$AF$4:$AG$22,2,0)*O20,VLOOKUP($E20,$AF$4:$AG$22,2,0))),(IF(O20&gt;4,IF($N20=$AH$23,VLOOKUP($E20,$AF$4:$AG$22,2,0)*4,VLOOKUP($E20,$AF$4:$AG$22,2,0)),IF($N20=$AH$23,VLOOKUP($E20,$AF$4:$AG$22,2,0)*O20,VLOOKUP($E20,$AF$4:$AG$22,2,0))))/360*$W20),0)</f>
        <v>1500</v>
      </c>
      <c r="AA20" s="57">
        <f>Table1[[#This Row],[نهاية الخدمة2]]-Table1[[#This Row],[نهاية الخدمة]]</f>
        <v>3486.2083333333139</v>
      </c>
      <c r="AB20" s="57">
        <f>Table1[[#This Row],[رصيد اجازات2]]-Table1[[#This Row],[رصيد اجازات]]</f>
        <v>2406.9164383561001</v>
      </c>
      <c r="AC20" s="58">
        <f>Table1[[#This Row],[تذاكر سفر2]]-Table1[[#This Row],[تذاكر سفر]]</f>
        <v>0</v>
      </c>
      <c r="AF20" s="67" t="s">
        <v>41</v>
      </c>
      <c r="AG20" s="67">
        <v>2200</v>
      </c>
    </row>
    <row r="21" spans="1:35" ht="21.95" customHeight="1" x14ac:dyDescent="0.35">
      <c r="A21" s="32">
        <f>SUBTOTAL(3,C$3:$C21)</f>
        <v>19</v>
      </c>
      <c r="B21" s="30" t="s">
        <v>95</v>
      </c>
      <c r="C21" s="34" t="s">
        <v>75</v>
      </c>
      <c r="D21" s="45">
        <v>20901101102</v>
      </c>
      <c r="E21" s="46" t="s">
        <v>28</v>
      </c>
      <c r="F21" s="47">
        <v>40179</v>
      </c>
      <c r="G21" s="46">
        <v>5026</v>
      </c>
      <c r="H21" s="46">
        <v>1001</v>
      </c>
      <c r="I21" s="46">
        <v>500</v>
      </c>
      <c r="J21" s="46">
        <v>0</v>
      </c>
      <c r="K21" s="46">
        <f t="shared" si="0"/>
        <v>6527</v>
      </c>
      <c r="L21" s="47" t="s">
        <v>21</v>
      </c>
      <c r="M21" s="47" t="s">
        <v>21</v>
      </c>
      <c r="N21" s="46" t="s">
        <v>24</v>
      </c>
      <c r="O21" s="46">
        <v>0</v>
      </c>
      <c r="P21" s="48">
        <v>21</v>
      </c>
      <c r="Q21" s="46">
        <f>IF(F21&gt;0,DATEDIF($F21,Employee!$U$1,"Y")*12*30+DATEDIF($F21,Employee!$U$1,"YM")*30+DATEDIF($F21,Employee!$U$1,"MD")+1,0)</f>
        <v>4440</v>
      </c>
      <c r="R21" s="46">
        <f>IF(F21&gt;0,IF(M21=$AG$23,0,IF($M21=$AF$23,DATEDIF($F21,Employee!$U$1,"D")-(DATEDIF($F21,Employee!$U$1,"D")*5/365)+1,DATEDIF($M21,Employee!$U$1,"D")-(DATEDIF($M21,Employee!$U$1,"D")*5/365)+1)),0)</f>
        <v>4441.3287671232874</v>
      </c>
      <c r="S21" s="46">
        <f>IF($Q21&lt;=1800,($Q21/360*$K21)*0.5,($Q21-1800)/360*$K21+1800/360*$K21*0.5)</f>
        <v>64182.166666666664</v>
      </c>
      <c r="T21" s="46">
        <f>IF($P21=21,0.0583333333333333*$R21*$K21/30,0.0833333333333333*$R21*$K21/30)</f>
        <v>56366.630566971042</v>
      </c>
      <c r="U21" s="46">
        <f>IFERROR(IF($R21&gt;=360,IF(O21&gt;4,IF($N21=$AH$23,VLOOKUP($E21,$AF$4:$AG$22,2,0)*4,VLOOKUP($E21,$AF$4:$AG$22,2,0)),IF($N21=$AH$23,VLOOKUP($E21,$AF$4:$AG$22,2,0)*O21,VLOOKUP($E21,$AF$4:$AG$22,2,0))),(IF(O21&gt;4,IF($N21=$AH$23,VLOOKUP($E21,$AF$4:$AG$22,2,0)*4,VLOOKUP($E21,$AF$4:$AG$22,2,0)),IF($N21=$AH$23,VLOOKUP($E21,$AF$4:$AG$22,2,0)*O21,VLOOKUP($E21,$AF$4:$AG$22,2,0))))/360*$R21),0)</f>
        <v>1800</v>
      </c>
      <c r="V21" s="46">
        <f>IF(F21&gt;0,DATEDIF($F21,Employee!$Z$1,"Y")*12*30+DATEDIF($F21,Employee!$Z$1,"YM")*30+DATEDIF($F21,Employee!$Z$1,"MD")+1,0)</f>
        <v>4471</v>
      </c>
      <c r="W21" s="46">
        <f>IF(F21&gt;0,IF(M21=$AG$23,0,IF($M21=$AF$23,DATEDIF($F21,Employee!$Z$1,"D")-(DATEDIF($F21,Employee!$Z$1,"D")*5/365)+1,DATEDIF($M21,Employee!$Z$1,"D")-(DATEDIF($M21,Employee!$Z$1,"D")*5/365)+1)),0)</f>
        <v>4471.9041095890407</v>
      </c>
      <c r="X21" s="46">
        <f>IF($V21&lt;=1800,($V21/360*$K21)*0.5,($V21-1800)/360*$K21+1800/360*$K21*0.5)</f>
        <v>64744.213888888888</v>
      </c>
      <c r="Y21" s="46">
        <f>IF($P21=21,0.0583333333333333*$W21*$K21/30,0.0833333333333333*$W21*$K21/30)</f>
        <v>56754.674128614868</v>
      </c>
      <c r="Z21" s="46">
        <f>IFERROR(IF($W21&gt;=360,IF(O21&gt;4,IF($N21=$AH$23,VLOOKUP($E21,$AF$4:$AG$22,2,0)*4,VLOOKUP($E21,$AF$4:$AG$22,2,0)),IF($N21=$AH$23,VLOOKUP($E21,$AF$4:$AG$22,2,0)*O21,VLOOKUP($E21,$AF$4:$AG$22,2,0))),(IF(O21&gt;4,IF($N21=$AH$23,VLOOKUP($E21,$AF$4:$AG$22,2,0)*4,VLOOKUP($E21,$AF$4:$AG$22,2,0)),IF($N21=$AH$23,VLOOKUP($E21,$AF$4:$AG$22,2,0)*O21,VLOOKUP($E21,$AF$4:$AG$22,2,0))))/360*$W21),0)</f>
        <v>1800</v>
      </c>
      <c r="AA21" s="49">
        <f>Table1[[#This Row],[نهاية الخدمة2]]-Table1[[#This Row],[نهاية الخدمة]]</f>
        <v>562.04722222222335</v>
      </c>
      <c r="AB21" s="49">
        <f>Table1[[#This Row],[رصيد اجازات2]]-Table1[[#This Row],[رصيد اجازات]]</f>
        <v>388.04356164382625</v>
      </c>
      <c r="AC21" s="49">
        <f>Table1[[#This Row],[تذاكر سفر2]]-Table1[[#This Row],[تذاكر سفر]]</f>
        <v>0</v>
      </c>
      <c r="AF21" s="67" t="s">
        <v>28</v>
      </c>
      <c r="AG21" s="67">
        <v>1800</v>
      </c>
    </row>
    <row r="22" spans="1:35" ht="21.95" customHeight="1" x14ac:dyDescent="0.35">
      <c r="A22" s="32">
        <f>SUBTOTAL(3,C$3:$C22)</f>
        <v>20</v>
      </c>
      <c r="B22" s="30" t="s">
        <v>96</v>
      </c>
      <c r="C22" s="33" t="s">
        <v>76</v>
      </c>
      <c r="D22" s="50">
        <v>22001101102</v>
      </c>
      <c r="E22" s="51" t="s">
        <v>40</v>
      </c>
      <c r="F22" s="52">
        <v>40179</v>
      </c>
      <c r="G22" s="51">
        <v>35201</v>
      </c>
      <c r="H22" s="51">
        <v>5032</v>
      </c>
      <c r="I22" s="51">
        <v>252</v>
      </c>
      <c r="J22" s="51">
        <v>0</v>
      </c>
      <c r="K22" s="51">
        <f t="shared" si="0"/>
        <v>40485</v>
      </c>
      <c r="L22" s="52" t="s">
        <v>21</v>
      </c>
      <c r="M22" s="52" t="s">
        <v>21</v>
      </c>
      <c r="N22" s="51" t="s">
        <v>24</v>
      </c>
      <c r="O22" s="51">
        <v>0</v>
      </c>
      <c r="P22" s="53">
        <v>21</v>
      </c>
      <c r="Q22" s="54">
        <f>IF(F22&gt;0,DATEDIF($F22,Employee!$U$1,"Y")*12*30+DATEDIF($F22,Employee!$U$1,"YM")*30+DATEDIF($F22,Employee!$U$1,"MD")+1,0)</f>
        <v>4440</v>
      </c>
      <c r="R22" s="51">
        <f>IF(F22&gt;0,IF(M22=$AG$23,0,IF($M22=$AF$23,DATEDIF($F22,Employee!$U$1,"D")-(DATEDIF($F22,Employee!$U$1,"D")*5/365)+1,DATEDIF($M22,Employee!$U$1,"D")-(DATEDIF($M22,Employee!$U$1,"D")*5/365)+1)),0)</f>
        <v>4441.3287671232874</v>
      </c>
      <c r="S22" s="51">
        <f>IF($Q22&lt;=1800,($Q22/360*$K22)*0.5,($Q22-1800)/360*$K22+1800/360*$K22*0.5)</f>
        <v>398102.5</v>
      </c>
      <c r="T22" s="51">
        <f>IF($P22=21,0.0583333333333333*$R22*$K22/30,0.0833333333333333*$R22*$K22/30)</f>
        <v>349625.10165525094</v>
      </c>
      <c r="U22" s="55">
        <f>IFERROR(IF($R22&gt;=360,IF(O22&gt;4,IF($N22=$AH$23,VLOOKUP($E22,$AF$4:$AG$22,2,0)*4,VLOOKUP($E22,$AF$4:$AG$22,2,0)),IF($N22=$AH$23,VLOOKUP($E22,$AF$4:$AG$22,2,0)*O22,VLOOKUP($E22,$AF$4:$AG$22,2,0))),(IF(O22&gt;4,IF($N22=$AH$23,VLOOKUP($E22,$AF$4:$AG$22,2,0)*4,VLOOKUP($E22,$AF$4:$AG$22,2,0)),IF($N22=$AH$23,VLOOKUP($E22,$AF$4:$AG$22,2,0)*O22,VLOOKUP($E22,$AF$4:$AG$22,2,0))))/360*$R22),0)</f>
        <v>1000</v>
      </c>
      <c r="V22" s="56">
        <f>IF(F22&gt;0,DATEDIF($F22,Employee!$Z$1,"Y")*12*30+DATEDIF($F22,Employee!$Z$1,"YM")*30+DATEDIF($F22,Employee!$Z$1,"MD")+1,0)</f>
        <v>4471</v>
      </c>
      <c r="W22" s="51">
        <f>IF(F22&gt;0,IF(M22=$AG$23,0,IF($M22=$AF$23,DATEDIF($F22,Employee!$Z$1,"D")-(DATEDIF($F22,Employee!$Z$1,"D")*5/365)+1,DATEDIF($M22,Employee!$Z$1,"D")-(DATEDIF($M22,Employee!$Z$1,"D")*5/365)+1)),0)</f>
        <v>4471.9041095890407</v>
      </c>
      <c r="X22" s="51">
        <f>IF($V22&lt;=1800,($V22/360*$K22)*0.5,($V22-1800)/360*$K22+1800/360*$K22*0.5)</f>
        <v>401588.70833333331</v>
      </c>
      <c r="Y22" s="51">
        <f>IF($P22=21,0.0583333333333333*$W22*$K22/30,0.0833333333333333*$W22*$K22/30)</f>
        <v>352032.01809360704</v>
      </c>
      <c r="Z22" s="51">
        <f>IFERROR(IF($W22&gt;=360,IF(O22&gt;4,IF($N22=$AH$23,VLOOKUP($E22,$AF$4:$AG$22,2,0)*4,VLOOKUP($E22,$AF$4:$AG$22,2,0)),IF($N22=$AH$23,VLOOKUP($E22,$AF$4:$AG$22,2,0)*O22,VLOOKUP($E22,$AF$4:$AG$22,2,0))),(IF(O22&gt;4,IF($N22=$AH$23,VLOOKUP($E22,$AF$4:$AG$22,2,0)*4,VLOOKUP($E22,$AF$4:$AG$22,2,0)),IF($N22=$AH$23,VLOOKUP($E22,$AF$4:$AG$22,2,0)*O22,VLOOKUP($E22,$AF$4:$AG$22,2,0))))/360*$W22),0)</f>
        <v>1000</v>
      </c>
      <c r="AA22" s="57">
        <f>Table1[[#This Row],[نهاية الخدمة2]]-Table1[[#This Row],[نهاية الخدمة]]</f>
        <v>3486.2083333333139</v>
      </c>
      <c r="AB22" s="57">
        <f>Table1[[#This Row],[رصيد اجازات2]]-Table1[[#This Row],[رصيد اجازات]]</f>
        <v>2406.9164383561001</v>
      </c>
      <c r="AC22" s="58">
        <f>Table1[[#This Row],[تذاكر سفر2]]-Table1[[#This Row],[تذاكر سفر]]</f>
        <v>0</v>
      </c>
      <c r="AF22" s="67" t="s">
        <v>42</v>
      </c>
      <c r="AG22" s="67">
        <v>3000</v>
      </c>
    </row>
    <row r="23" spans="1:35" ht="21.95" customHeight="1" x14ac:dyDescent="0.35">
      <c r="A23" s="32">
        <f>SUBTOTAL(3,C$3:$C23)</f>
        <v>21</v>
      </c>
      <c r="B23" s="30" t="s">
        <v>97</v>
      </c>
      <c r="C23" s="31" t="s">
        <v>72</v>
      </c>
      <c r="D23" s="45">
        <v>23101101102</v>
      </c>
      <c r="E23" s="46" t="s">
        <v>26</v>
      </c>
      <c r="F23" s="47">
        <v>40179</v>
      </c>
      <c r="G23" s="46">
        <v>5026</v>
      </c>
      <c r="H23" s="46">
        <v>1001</v>
      </c>
      <c r="I23" s="46">
        <v>500</v>
      </c>
      <c r="J23" s="46">
        <v>0</v>
      </c>
      <c r="K23" s="46">
        <f t="shared" si="0"/>
        <v>6527</v>
      </c>
      <c r="L23" s="47" t="s">
        <v>21</v>
      </c>
      <c r="M23" s="47" t="s">
        <v>21</v>
      </c>
      <c r="N23" s="46" t="s">
        <v>24</v>
      </c>
      <c r="O23" s="46">
        <v>0</v>
      </c>
      <c r="P23" s="48">
        <v>21</v>
      </c>
      <c r="Q23" s="46">
        <f>IF(F23&gt;0,DATEDIF($F23,Employee!$U$1,"Y")*12*30+DATEDIF($F23,Employee!$U$1,"YM")*30+DATEDIF($F23,Employee!$U$1,"MD")+1,0)</f>
        <v>4440</v>
      </c>
      <c r="R23" s="46">
        <f>IF(F23&gt;0,IF(M23=$AG$23,0,IF($M23=$AF$23,DATEDIF($F23,Employee!$U$1,"D")-(DATEDIF($F23,Employee!$U$1,"D")*5/365)+1,DATEDIF($M23,Employee!$U$1,"D")-(DATEDIF($M23,Employee!$U$1,"D")*5/365)+1)),0)</f>
        <v>4441.3287671232874</v>
      </c>
      <c r="S23" s="46">
        <f>IF($Q23&lt;=1800,($Q23/360*$K23)*0.5,($Q23-1800)/360*$K23+1800/360*$K23*0.5)</f>
        <v>64182.166666666664</v>
      </c>
      <c r="T23" s="46">
        <f>IF($P23=21,0.0583333333333333*$R23*$K23/30,0.0833333333333333*$R23*$K23/30)</f>
        <v>56366.630566971042</v>
      </c>
      <c r="U23" s="46">
        <f>IFERROR(IF($R23&gt;=360,IF(O23&gt;4,IF($N23=$AH$23,VLOOKUP($E23,$AF$4:$AG$22,2,0)*4,VLOOKUP($E23,$AF$4:$AG$22,2,0)),IF($N23=$AH$23,VLOOKUP($E23,$AF$4:$AG$22,2,0)*O23,VLOOKUP($E23,$AF$4:$AG$22,2,0))),(IF(O23&gt;4,IF($N23=$AH$23,VLOOKUP($E23,$AF$4:$AG$22,2,0)*4,VLOOKUP($E23,$AF$4:$AG$22,2,0)),IF($N23=$AH$23,VLOOKUP($E23,$AF$4:$AG$22,2,0)*O23,VLOOKUP($E23,$AF$4:$AG$22,2,0))))/360*$R23),0)</f>
        <v>1500</v>
      </c>
      <c r="V23" s="46">
        <f>IF(F23&gt;0,DATEDIF($F23,Employee!$Z$1,"Y")*12*30+DATEDIF($F23,Employee!$Z$1,"YM")*30+DATEDIF($F23,Employee!$Z$1,"MD")+1,0)</f>
        <v>4471</v>
      </c>
      <c r="W23" s="46">
        <f>IF(F23&gt;0,IF(M23=$AG$23,0,IF($M23=$AF$23,DATEDIF($F23,Employee!$Z$1,"D")-(DATEDIF($F23,Employee!$Z$1,"D")*5/365)+1,DATEDIF($M23,Employee!$Z$1,"D")-(DATEDIF($M23,Employee!$Z$1,"D")*5/365)+1)),0)</f>
        <v>4471.9041095890407</v>
      </c>
      <c r="X23" s="46">
        <f>IF($V23&lt;=1800,($V23/360*$K23)*0.5,($V23-1800)/360*$K23+1800/360*$K23*0.5)</f>
        <v>64744.213888888888</v>
      </c>
      <c r="Y23" s="46">
        <f>IF($P23=21,0.0583333333333333*$W23*$K23/30,0.0833333333333333*$W23*$K23/30)</f>
        <v>56754.674128614868</v>
      </c>
      <c r="Z23" s="46">
        <f>IFERROR(IF($W23&gt;=360,IF(O23&gt;4,IF($N23=$AH$23,VLOOKUP($E23,$AF$4:$AG$22,2,0)*4,VLOOKUP($E23,$AF$4:$AG$22,2,0)),IF($N23=$AH$23,VLOOKUP($E23,$AF$4:$AG$22,2,0)*O23,VLOOKUP($E23,$AF$4:$AG$22,2,0))),(IF(O23&gt;4,IF($N23=$AH$23,VLOOKUP($E23,$AF$4:$AG$22,2,0)*4,VLOOKUP($E23,$AF$4:$AG$22,2,0)),IF($N23=$AH$23,VLOOKUP($E23,$AF$4:$AG$22,2,0)*O23,VLOOKUP($E23,$AF$4:$AG$22,2,0))))/360*$W23),0)</f>
        <v>1500</v>
      </c>
      <c r="AA23" s="49">
        <f>Table1[[#This Row],[نهاية الخدمة2]]-Table1[[#This Row],[نهاية الخدمة]]</f>
        <v>562.04722222222335</v>
      </c>
      <c r="AB23" s="49">
        <f>Table1[[#This Row],[رصيد اجازات2]]-Table1[[#This Row],[رصيد اجازات]]</f>
        <v>388.04356164382625</v>
      </c>
      <c r="AC23" s="49">
        <f>Table1[[#This Row],[تذاكر سفر2]]-Table1[[#This Row],[تذاكر سفر]]</f>
        <v>0</v>
      </c>
      <c r="AF23" s="3" t="s">
        <v>21</v>
      </c>
      <c r="AG23" s="3" t="s">
        <v>63</v>
      </c>
      <c r="AH23" s="4" t="s">
        <v>22</v>
      </c>
      <c r="AI23" s="3"/>
    </row>
    <row r="24" spans="1:35" ht="21.95" customHeight="1" x14ac:dyDescent="0.35">
      <c r="A24" s="32">
        <f>SUBTOTAL(3,C$3:$C24)</f>
        <v>22</v>
      </c>
      <c r="B24" s="30" t="s">
        <v>98</v>
      </c>
      <c r="C24" s="33" t="s">
        <v>73</v>
      </c>
      <c r="D24" s="50">
        <v>24201101102</v>
      </c>
      <c r="E24" s="51" t="s">
        <v>26</v>
      </c>
      <c r="F24" s="52">
        <v>40179</v>
      </c>
      <c r="G24" s="51">
        <v>35201</v>
      </c>
      <c r="H24" s="51">
        <v>5032</v>
      </c>
      <c r="I24" s="51">
        <v>252</v>
      </c>
      <c r="J24" s="51"/>
      <c r="K24" s="51">
        <f t="shared" si="0"/>
        <v>40485</v>
      </c>
      <c r="L24" s="52">
        <v>44500</v>
      </c>
      <c r="M24" s="52">
        <v>44530</v>
      </c>
      <c r="N24" s="51" t="s">
        <v>24</v>
      </c>
      <c r="O24" s="51">
        <v>0</v>
      </c>
      <c r="P24" s="53">
        <v>30</v>
      </c>
      <c r="Q24" s="54">
        <f>IF(F24&gt;0,DATEDIF($F24,Employee!$U$1,"Y")*12*30+DATEDIF($F24,Employee!$U$1,"YM")*30+DATEDIF($F24,Employee!$U$1,"MD")+1,0)</f>
        <v>4440</v>
      </c>
      <c r="R24" s="51">
        <f>IF(F24&gt;0,IF(M24=$AG$23,0,IF($M24=$AF$23,DATEDIF($F24,Employee!$U$1,"D")-(DATEDIF($F24,Employee!$U$1,"D")*5/365)+1,DATEDIF($M24,Employee!$U$1,"D")-(DATEDIF($M24,Employee!$U$1,"D")*5/365)+1)),0)</f>
        <v>149.93150684931507</v>
      </c>
      <c r="S24" s="51">
        <f>IF($Q24&lt;=1800,($Q24/360*$K24)*0.5,($Q24-1800)/360*$K24+1800/360*$K24*0.5)</f>
        <v>398102.5</v>
      </c>
      <c r="T24" s="51">
        <f>IF($P24=21,0.0583333333333333*$R24*$K24/30,0.0833333333333333*$R24*$K24/30)</f>
        <v>16861.047374429218</v>
      </c>
      <c r="U24" s="55">
        <f>IFERROR(IF($R24&gt;=360,IF(O24&gt;4,IF($N24=$AH$23,VLOOKUP($E24,$AF$4:$AG$22,2,0)*4,VLOOKUP($E24,$AF$4:$AG$22,2,0)),IF($N24=$AH$23,VLOOKUP($E24,$AF$4:$AG$22,2,0)*O24,VLOOKUP($E24,$AF$4:$AG$22,2,0))),(IF(O24&gt;4,IF($N24=$AH$23,VLOOKUP($E24,$AF$4:$AG$22,2,0)*4,VLOOKUP($E24,$AF$4:$AG$22,2,0)),IF($N24=$AH$23,VLOOKUP($E24,$AF$4:$AG$22,2,0)*O24,VLOOKUP($E24,$AF$4:$AG$22,2,0))))/360*$R24),0)</f>
        <v>624.71461187214618</v>
      </c>
      <c r="V24" s="56">
        <f>IF(F24&gt;0,DATEDIF($F24,Employee!$Z$1,"Y")*12*30+DATEDIF($F24,Employee!$Z$1,"YM")*30+DATEDIF($F24,Employee!$Z$1,"MD")+1,0)</f>
        <v>4471</v>
      </c>
      <c r="W24" s="51">
        <f>IF(F24&gt;0,IF(M24=$AG$23,0,IF($M24=$AF$23,DATEDIF($F24,Employee!$Z$1,"D")-(DATEDIF($F24,Employee!$Z$1,"D")*5/365)+1,DATEDIF($M24,Employee!$Z$1,"D")-(DATEDIF($M24,Employee!$Z$1,"D")*5/365)+1)),0)</f>
        <v>180.50684931506851</v>
      </c>
      <c r="X24" s="51">
        <f>IF($V24&lt;=1800,($V24/360*$K24)*0.5,($V24-1800)/360*$K24+1800/360*$K24*0.5)</f>
        <v>401588.70833333331</v>
      </c>
      <c r="Y24" s="51">
        <f>IF($P24=21,0.0583333333333333*$W24*$K24/30,0.0833333333333333*$W24*$K24/30)</f>
        <v>20299.499429223735</v>
      </c>
      <c r="Z24" s="51">
        <f>IFERROR(IF($W24&gt;=360,IF(O24&gt;4,IF($N24=$AH$23,VLOOKUP($E24,$AF$4:$AG$22,2,0)*4,VLOOKUP($E24,$AF$4:$AG$22,2,0)),IF($N24=$AH$23,VLOOKUP($E24,$AF$4:$AG$22,2,0)*O24,VLOOKUP($E24,$AF$4:$AG$22,2,0))),(IF(O24&gt;4,IF($N24=$AH$23,VLOOKUP($E24,$AF$4:$AG$22,2,0)*4,VLOOKUP($E24,$AF$4:$AG$22,2,0)),IF($N24=$AH$23,VLOOKUP($E24,$AF$4:$AG$22,2,0)*O24,VLOOKUP($E24,$AF$4:$AG$22,2,0))))/360*$W24),0)</f>
        <v>752.1118721461188</v>
      </c>
      <c r="AA24" s="57">
        <f>Table1[[#This Row],[نهاية الخدمة2]]-Table1[[#This Row],[نهاية الخدمة]]</f>
        <v>3486.2083333333139</v>
      </c>
      <c r="AB24" s="57">
        <f>Table1[[#This Row],[رصيد اجازات2]]-Table1[[#This Row],[رصيد اجازات]]</f>
        <v>3438.4520547945176</v>
      </c>
      <c r="AC24" s="58">
        <f>Table1[[#This Row],[تذاكر سفر2]]-Table1[[#This Row],[تذاكر سفر]]</f>
        <v>127.39726027397262</v>
      </c>
    </row>
    <row r="25" spans="1:35" ht="21.95" customHeight="1" x14ac:dyDescent="0.35">
      <c r="A25" s="32">
        <f>SUBTOTAL(3,C$3:$C25)</f>
        <v>23</v>
      </c>
      <c r="B25" s="30" t="s">
        <v>99</v>
      </c>
      <c r="C25" s="33" t="s">
        <v>74</v>
      </c>
      <c r="D25" s="45">
        <v>25301101102</v>
      </c>
      <c r="E25" s="46" t="s">
        <v>30</v>
      </c>
      <c r="F25" s="47">
        <v>40179</v>
      </c>
      <c r="G25" s="46">
        <v>5026</v>
      </c>
      <c r="H25" s="46">
        <v>1001</v>
      </c>
      <c r="I25" s="46">
        <v>500</v>
      </c>
      <c r="J25" s="46">
        <v>0</v>
      </c>
      <c r="K25" s="46">
        <f t="shared" si="0"/>
        <v>6527</v>
      </c>
      <c r="L25" s="47" t="s">
        <v>21</v>
      </c>
      <c r="M25" s="47" t="s">
        <v>21</v>
      </c>
      <c r="N25" s="46" t="s">
        <v>24</v>
      </c>
      <c r="O25" s="46">
        <v>0</v>
      </c>
      <c r="P25" s="48">
        <v>21</v>
      </c>
      <c r="Q25" s="46">
        <f>IF(F25&gt;0,DATEDIF($F25,Employee!$U$1,"Y")*12*30+DATEDIF($F25,Employee!$U$1,"YM")*30+DATEDIF($F25,Employee!$U$1,"MD")+1,0)</f>
        <v>4440</v>
      </c>
      <c r="R25" s="46">
        <f>IF(F25&gt;0,IF(M25=$AG$23,0,IF($M25=$AF$23,DATEDIF($F25,Employee!$U$1,"D")-(DATEDIF($F25,Employee!$U$1,"D")*5/365)+1,DATEDIF($M25,Employee!$U$1,"D")-(DATEDIF($M25,Employee!$U$1,"D")*5/365)+1)),0)</f>
        <v>4441.3287671232874</v>
      </c>
      <c r="S25" s="46">
        <f>IF($Q25&lt;=1800,($Q25/360*$K25)*0.5,($Q25-1800)/360*$K25+1800/360*$K25*0.5)</f>
        <v>64182.166666666664</v>
      </c>
      <c r="T25" s="46">
        <f>IF($P25=21,0.0583333333333333*$R25*$K25/30,0.0833333333333333*$R25*$K25/30)</f>
        <v>56366.630566971042</v>
      </c>
      <c r="U25" s="46">
        <f>IFERROR(IF($R25&gt;=360,IF(O25&gt;4,IF($N25=$AH$23,VLOOKUP($E25,$AF$4:$AG$22,2,0)*4,VLOOKUP($E25,$AF$4:$AG$22,2,0)),IF($N25=$AH$23,VLOOKUP($E25,$AF$4:$AG$22,2,0)*O25,VLOOKUP($E25,$AF$4:$AG$22,2,0))),(IF(O25&gt;4,IF($N25=$AH$23,VLOOKUP($E25,$AF$4:$AG$22,2,0)*4,VLOOKUP($E25,$AF$4:$AG$22,2,0)),IF($N25=$AH$23,VLOOKUP($E25,$AF$4:$AG$22,2,0)*O25,VLOOKUP($E25,$AF$4:$AG$22,2,0))))/360*$R25),0)</f>
        <v>0</v>
      </c>
      <c r="V25" s="46">
        <f>IF(F25&gt;0,DATEDIF($F25,Employee!$Z$1,"Y")*12*30+DATEDIF($F25,Employee!$Z$1,"YM")*30+DATEDIF($F25,Employee!$Z$1,"MD")+1,0)</f>
        <v>4471</v>
      </c>
      <c r="W25" s="46">
        <f>IF(F25&gt;0,IF(M25=$AG$23,0,IF($M25=$AF$23,DATEDIF($F25,Employee!$Z$1,"D")-(DATEDIF($F25,Employee!$Z$1,"D")*5/365)+1,DATEDIF($M25,Employee!$Z$1,"D")-(DATEDIF($M25,Employee!$Z$1,"D")*5/365)+1)),0)</f>
        <v>4471.9041095890407</v>
      </c>
      <c r="X25" s="46">
        <f>IF($V25&lt;=1800,($V25/360*$K25)*0.5,($V25-1800)/360*$K25+1800/360*$K25*0.5)</f>
        <v>64744.213888888888</v>
      </c>
      <c r="Y25" s="46">
        <f>IF($P25=21,0.0583333333333333*$W25*$K25/30,0.0833333333333333*$W25*$K25/30)</f>
        <v>56754.674128614868</v>
      </c>
      <c r="Z25" s="46">
        <f>IFERROR(IF($W25&gt;=360,IF(O25&gt;4,IF($N25=$AH$23,VLOOKUP($E25,$AF$4:$AG$22,2,0)*4,VLOOKUP($E25,$AF$4:$AG$22,2,0)),IF($N25=$AH$23,VLOOKUP($E25,$AF$4:$AG$22,2,0)*O25,VLOOKUP($E25,$AF$4:$AG$22,2,0))),(IF(O25&gt;4,IF($N25=$AH$23,VLOOKUP($E25,$AF$4:$AG$22,2,0)*4,VLOOKUP($E25,$AF$4:$AG$22,2,0)),IF($N25=$AH$23,VLOOKUP($E25,$AF$4:$AG$22,2,0)*O25,VLOOKUP($E25,$AF$4:$AG$22,2,0))))/360*$W25),0)</f>
        <v>0</v>
      </c>
      <c r="AA25" s="49">
        <f>Table1[[#This Row],[نهاية الخدمة2]]-Table1[[#This Row],[نهاية الخدمة]]</f>
        <v>562.04722222222335</v>
      </c>
      <c r="AB25" s="49">
        <f>Table1[[#This Row],[رصيد اجازات2]]-Table1[[#This Row],[رصيد اجازات]]</f>
        <v>388.04356164382625</v>
      </c>
      <c r="AC25" s="49">
        <f>Table1[[#This Row],[تذاكر سفر2]]-Table1[[#This Row],[تذاكر سفر]]</f>
        <v>0</v>
      </c>
    </row>
    <row r="26" spans="1:35" ht="21.95" customHeight="1" x14ac:dyDescent="0.35">
      <c r="A26" s="32">
        <f>SUBTOTAL(3,C$3:$C26)</f>
        <v>24</v>
      </c>
      <c r="B26" s="30" t="s">
        <v>100</v>
      </c>
      <c r="C26" s="34" t="s">
        <v>75</v>
      </c>
      <c r="D26" s="50">
        <v>26401101102</v>
      </c>
      <c r="E26" s="51" t="s">
        <v>33</v>
      </c>
      <c r="F26" s="52">
        <v>40179</v>
      </c>
      <c r="G26" s="51">
        <v>35201</v>
      </c>
      <c r="H26" s="51">
        <v>5032</v>
      </c>
      <c r="I26" s="51">
        <v>252</v>
      </c>
      <c r="J26" s="51">
        <v>0</v>
      </c>
      <c r="K26" s="51">
        <f t="shared" si="0"/>
        <v>40485</v>
      </c>
      <c r="L26" s="52">
        <v>43890</v>
      </c>
      <c r="M26" s="52">
        <v>43922</v>
      </c>
      <c r="N26" s="51" t="s">
        <v>24</v>
      </c>
      <c r="O26" s="51">
        <v>0</v>
      </c>
      <c r="P26" s="53">
        <v>21</v>
      </c>
      <c r="Q26" s="54">
        <f>IF(F26&gt;0,DATEDIF($F26,Employee!$U$1,"Y")*12*30+DATEDIF($F26,Employee!$U$1,"YM")*30+DATEDIF($F26,Employee!$U$1,"MD")+1,0)</f>
        <v>4440</v>
      </c>
      <c r="R26" s="51">
        <f>IF(F26&gt;0,IF(M26=$AG$23,0,IF($M26=$AF$23,DATEDIF($F26,Employee!$U$1,"D")-(DATEDIF($F26,Employee!$U$1,"D")*5/365)+1,DATEDIF($M26,Employee!$U$1,"D")-(DATEDIF($M26,Employee!$U$1,"D")*5/365)+1)),0)</f>
        <v>749.60273972602738</v>
      </c>
      <c r="S26" s="51">
        <f>IF($Q26&lt;=1800,($Q26/360*$K26)*0.5,($Q26-1800)/360*$K26+1800/360*$K26*0.5)</f>
        <v>398102.5</v>
      </c>
      <c r="T26" s="51">
        <f>IF($P26=21,0.0583333333333333*$R26*$K26/30,0.0833333333333333*$R26*$K26/30)</f>
        <v>59009.352340182617</v>
      </c>
      <c r="U26" s="55">
        <f>IFERROR(IF($R26&gt;=360,IF(O26&gt;4,IF($N26=$AH$23,VLOOKUP($E26,$AF$4:$AG$22,2,0)*4,VLOOKUP($E26,$AF$4:$AG$22,2,0)),IF($N26=$AH$23,VLOOKUP($E26,$AF$4:$AG$22,2,0)*O26,VLOOKUP($E26,$AF$4:$AG$22,2,0))),(IF(O26&gt;4,IF($N26=$AH$23,VLOOKUP($E26,$AF$4:$AG$22,2,0)*4,VLOOKUP($E26,$AF$4:$AG$22,2,0)),IF($N26=$AH$23,VLOOKUP($E26,$AF$4:$AG$22,2,0)*O26,VLOOKUP($E26,$AF$4:$AG$22,2,0))))/360*$R26),0)</f>
        <v>2000</v>
      </c>
      <c r="V26" s="56">
        <f>IF(F26&gt;0,DATEDIF($F26,Employee!$Z$1,"Y")*12*30+DATEDIF($F26,Employee!$Z$1,"YM")*30+DATEDIF($F26,Employee!$Z$1,"MD")+1,0)</f>
        <v>4471</v>
      </c>
      <c r="W26" s="51">
        <f>IF(F26&gt;0,IF(M26=$AG$23,0,IF($M26=$AF$23,DATEDIF($F26,Employee!$Z$1,"D")-(DATEDIF($F26,Employee!$Z$1,"D")*5/365)+1,DATEDIF($M26,Employee!$Z$1,"D")-(DATEDIF($M26,Employee!$Z$1,"D")*5/365)+1)),0)</f>
        <v>780.17808219178085</v>
      </c>
      <c r="X26" s="51">
        <f>IF($V26&lt;=1800,($V26/360*$K26)*0.5,($V26-1800)/360*$K26+1800/360*$K26*0.5)</f>
        <v>401588.70833333331</v>
      </c>
      <c r="Y26" s="51">
        <f>IF($P26=21,0.0583333333333333*$W26*$K26/30,0.0833333333333333*$W26*$K26/30)</f>
        <v>61416.268778538782</v>
      </c>
      <c r="Z26" s="51">
        <f>IFERROR(IF($W26&gt;=360,IF(O26&gt;4,IF($N26=$AH$23,VLOOKUP($E26,$AF$4:$AG$22,2,0)*4,VLOOKUP($E26,$AF$4:$AG$22,2,0)),IF($N26=$AH$23,VLOOKUP($E26,$AF$4:$AG$22,2,0)*O26,VLOOKUP($E26,$AF$4:$AG$22,2,0))),(IF(O26&gt;4,IF($N26=$AH$23,VLOOKUP($E26,$AF$4:$AG$22,2,0)*4,VLOOKUP($E26,$AF$4:$AG$22,2,0)),IF($N26=$AH$23,VLOOKUP($E26,$AF$4:$AG$22,2,0)*O26,VLOOKUP($E26,$AF$4:$AG$22,2,0))))/360*$W26),0)</f>
        <v>2000</v>
      </c>
      <c r="AA26" s="57">
        <f>Table1[[#This Row],[نهاية الخدمة2]]-Table1[[#This Row],[نهاية الخدمة]]</f>
        <v>3486.2083333333139</v>
      </c>
      <c r="AB26" s="57">
        <f>Table1[[#This Row],[رصيد اجازات2]]-Table1[[#This Row],[رصيد اجازات]]</f>
        <v>2406.9164383561656</v>
      </c>
      <c r="AC26" s="58">
        <f>Table1[[#This Row],[تذاكر سفر2]]-Table1[[#This Row],[تذاكر سفر]]</f>
        <v>0</v>
      </c>
    </row>
    <row r="27" spans="1:35" ht="21.95" customHeight="1" x14ac:dyDescent="0.35">
      <c r="A27" s="32">
        <f>SUBTOTAL(3,C$3:$C27)</f>
        <v>25</v>
      </c>
      <c r="B27" s="30" t="s">
        <v>101</v>
      </c>
      <c r="C27" s="33" t="s">
        <v>76</v>
      </c>
      <c r="D27" s="45">
        <v>27501101102</v>
      </c>
      <c r="E27" s="46" t="s">
        <v>30</v>
      </c>
      <c r="F27" s="47">
        <v>40179</v>
      </c>
      <c r="G27" s="46">
        <v>5026</v>
      </c>
      <c r="H27" s="46">
        <v>1001</v>
      </c>
      <c r="I27" s="46">
        <v>500</v>
      </c>
      <c r="J27" s="46">
        <v>0</v>
      </c>
      <c r="K27" s="46">
        <f t="shared" si="0"/>
        <v>6527</v>
      </c>
      <c r="L27" s="47" t="s">
        <v>21</v>
      </c>
      <c r="M27" s="47" t="s">
        <v>21</v>
      </c>
      <c r="N27" s="46" t="s">
        <v>24</v>
      </c>
      <c r="O27" s="46">
        <v>0</v>
      </c>
      <c r="P27" s="48">
        <v>21</v>
      </c>
      <c r="Q27" s="46">
        <f>IF(F27&gt;0,DATEDIF($F27,Employee!$U$1,"Y")*12*30+DATEDIF($F27,Employee!$U$1,"YM")*30+DATEDIF($F27,Employee!$U$1,"MD")+1,0)</f>
        <v>4440</v>
      </c>
      <c r="R27" s="46">
        <f>IF(F27&gt;0,IF(M27=$AG$23,0,IF($M27=$AF$23,DATEDIF($F27,Employee!$U$1,"D")-(DATEDIF($F27,Employee!$U$1,"D")*5/365)+1,DATEDIF($M27,Employee!$U$1,"D")-(DATEDIF($M27,Employee!$U$1,"D")*5/365)+1)),0)</f>
        <v>4441.3287671232874</v>
      </c>
      <c r="S27" s="46">
        <f>IF($Q27&lt;=1800,($Q27/360*$K27)*0.5,($Q27-1800)/360*$K27+1800/360*$K27*0.5)</f>
        <v>64182.166666666664</v>
      </c>
      <c r="T27" s="46">
        <f>IF($P27=21,0.0583333333333333*$R27*$K27/30,0.0833333333333333*$R27*$K27/30)</f>
        <v>56366.630566971042</v>
      </c>
      <c r="U27" s="46">
        <f>IFERROR(IF($R27&gt;=360,IF(O27&gt;4,IF($N27=$AH$23,VLOOKUP($E27,$AF$4:$AG$22,2,0)*4,VLOOKUP($E27,$AF$4:$AG$22,2,0)),IF($N27=$AH$23,VLOOKUP($E27,$AF$4:$AG$22,2,0)*O27,VLOOKUP($E27,$AF$4:$AG$22,2,0))),(IF(O27&gt;4,IF($N27=$AH$23,VLOOKUP($E27,$AF$4:$AG$22,2,0)*4,VLOOKUP($E27,$AF$4:$AG$22,2,0)),IF($N27=$AH$23,VLOOKUP($E27,$AF$4:$AG$22,2,0)*O27,VLOOKUP($E27,$AF$4:$AG$22,2,0))))/360*$R27),0)</f>
        <v>0</v>
      </c>
      <c r="V27" s="46">
        <f>IF(F27&gt;0,DATEDIF($F27,Employee!$Z$1,"Y")*12*30+DATEDIF($F27,Employee!$Z$1,"YM")*30+DATEDIF($F27,Employee!$Z$1,"MD")+1,0)</f>
        <v>4471</v>
      </c>
      <c r="W27" s="46">
        <f>IF(F27&gt;0,IF(M27=$AG$23,0,IF($M27=$AF$23,DATEDIF($F27,Employee!$Z$1,"D")-(DATEDIF($F27,Employee!$Z$1,"D")*5/365)+1,DATEDIF($M27,Employee!$Z$1,"D")-(DATEDIF($M27,Employee!$Z$1,"D")*5/365)+1)),0)</f>
        <v>4471.9041095890407</v>
      </c>
      <c r="X27" s="46">
        <f>IF($V27&lt;=1800,($V27/360*$K27)*0.5,($V27-1800)/360*$K27+1800/360*$K27*0.5)</f>
        <v>64744.213888888888</v>
      </c>
      <c r="Y27" s="46">
        <f>IF($P27=21,0.0583333333333333*$W27*$K27/30,0.0833333333333333*$W27*$K27/30)</f>
        <v>56754.674128614868</v>
      </c>
      <c r="Z27" s="46">
        <f>IFERROR(IF($W27&gt;=360,IF(O27&gt;4,IF($N27=$AH$23,VLOOKUP($E27,$AF$4:$AG$22,2,0)*4,VLOOKUP($E27,$AF$4:$AG$22,2,0)),IF($N27=$AH$23,VLOOKUP($E27,$AF$4:$AG$22,2,0)*O27,VLOOKUP($E27,$AF$4:$AG$22,2,0))),(IF(O27&gt;4,IF($N27=$AH$23,VLOOKUP($E27,$AF$4:$AG$22,2,0)*4,VLOOKUP($E27,$AF$4:$AG$22,2,0)),IF($N27=$AH$23,VLOOKUP($E27,$AF$4:$AG$22,2,0)*O27,VLOOKUP($E27,$AF$4:$AG$22,2,0))))/360*$W27),0)</f>
        <v>0</v>
      </c>
      <c r="AA27" s="49">
        <f>Table1[[#This Row],[نهاية الخدمة2]]-Table1[[#This Row],[نهاية الخدمة]]</f>
        <v>562.04722222222335</v>
      </c>
      <c r="AB27" s="49">
        <f>Table1[[#This Row],[رصيد اجازات2]]-Table1[[#This Row],[رصيد اجازات]]</f>
        <v>388.04356164382625</v>
      </c>
      <c r="AC27" s="49">
        <f>Table1[[#This Row],[تذاكر سفر2]]-Table1[[#This Row],[تذاكر سفر]]</f>
        <v>0</v>
      </c>
    </row>
    <row r="28" spans="1:35" ht="21.95" customHeight="1" x14ac:dyDescent="0.35">
      <c r="A28" s="32">
        <f>SUBTOTAL(3,C$3:$C28)</f>
        <v>26</v>
      </c>
      <c r="B28" s="30" t="s">
        <v>102</v>
      </c>
      <c r="C28" s="31" t="s">
        <v>72</v>
      </c>
      <c r="D28" s="50">
        <v>28601101102</v>
      </c>
      <c r="E28" s="51" t="s">
        <v>26</v>
      </c>
      <c r="F28" s="52">
        <v>40179</v>
      </c>
      <c r="G28" s="51">
        <v>35201</v>
      </c>
      <c r="H28" s="51">
        <v>5032</v>
      </c>
      <c r="I28" s="51">
        <v>252</v>
      </c>
      <c r="J28" s="51">
        <v>100</v>
      </c>
      <c r="K28" s="51">
        <f t="shared" si="0"/>
        <v>40585</v>
      </c>
      <c r="L28" s="52">
        <v>43831</v>
      </c>
      <c r="M28" s="52">
        <v>43891</v>
      </c>
      <c r="N28" s="51" t="s">
        <v>24</v>
      </c>
      <c r="O28" s="51">
        <v>0</v>
      </c>
      <c r="P28" s="53">
        <v>21</v>
      </c>
      <c r="Q28" s="54">
        <f>IF(F28&gt;0,DATEDIF($F28,Employee!$U$1,"Y")*12*30+DATEDIF($F28,Employee!$U$1,"YM")*30+DATEDIF($F28,Employee!$U$1,"MD")+1,0)</f>
        <v>4440</v>
      </c>
      <c r="R28" s="51">
        <f>IF(F28&gt;0,IF(M28=$AG$23,0,IF($M28=$AF$23,DATEDIF($F28,Employee!$U$1,"D")-(DATEDIF($F28,Employee!$U$1,"D")*5/365)+1,DATEDIF($M28,Employee!$U$1,"D")-(DATEDIF($M28,Employee!$U$1,"D")*5/365)+1)),0)</f>
        <v>780.17808219178085</v>
      </c>
      <c r="S28" s="51">
        <f>IF($Q28&lt;=1800,($Q28/360*$K28)*0.5,($Q28-1800)/360*$K28+1800/360*$K28*0.5)</f>
        <v>399085.83333333331</v>
      </c>
      <c r="T28" s="51">
        <f>IF($P28=21,0.0583333333333333*$R28*$K28/30,0.0833333333333333*$R28*$K28/30)</f>
        <v>61567.970072298296</v>
      </c>
      <c r="U28" s="55">
        <f>IFERROR(IF($R28&gt;=360,IF(O28&gt;4,IF($N28=$AH$23,VLOOKUP($E28,$AF$4:$AG$22,2,0)*4,VLOOKUP($E28,$AF$4:$AG$22,2,0)),IF($N28=$AH$23,VLOOKUP($E28,$AF$4:$AG$22,2,0)*O28,VLOOKUP($E28,$AF$4:$AG$22,2,0))),(IF(O28&gt;4,IF($N28=$AH$23,VLOOKUP($E28,$AF$4:$AG$22,2,0)*4,VLOOKUP($E28,$AF$4:$AG$22,2,0)),IF($N28=$AH$23,VLOOKUP($E28,$AF$4:$AG$22,2,0)*O28,VLOOKUP($E28,$AF$4:$AG$22,2,0))))/360*$R28),0)</f>
        <v>1500</v>
      </c>
      <c r="V28" s="56">
        <f>IF(F28&gt;0,DATEDIF($F28,Employee!$Z$1,"Y")*12*30+DATEDIF($F28,Employee!$Z$1,"YM")*30+DATEDIF($F28,Employee!$Z$1,"MD")+1,0)</f>
        <v>4471</v>
      </c>
      <c r="W28" s="51">
        <f>IF(F28&gt;0,IF(M28=$AG$23,0,IF($M28=$AF$23,DATEDIF($F28,Employee!$Z$1,"D")-(DATEDIF($F28,Employee!$Z$1,"D")*5/365)+1,DATEDIF($M28,Employee!$Z$1,"D")-(DATEDIF($M28,Employee!$Z$1,"D")*5/365)+1)),0)</f>
        <v>810.7534246575342</v>
      </c>
      <c r="X28" s="51">
        <f>IF($V28&lt;=1800,($V28/360*$K28)*0.5,($V28-1800)/360*$K28+1800/360*$K28*0.5)</f>
        <v>402580.65277777775</v>
      </c>
      <c r="Y28" s="51">
        <f>IF($P28=21,0.0583333333333333*$W28*$K28/30,0.0833333333333333*$W28*$K28/30)</f>
        <v>63980.8317161339</v>
      </c>
      <c r="Z28" s="51">
        <f>IFERROR(IF($W28&gt;=360,IF(O28&gt;4,IF($N28=$AH$23,VLOOKUP($E28,$AF$4:$AG$22,2,0)*4,VLOOKUP($E28,$AF$4:$AG$22,2,0)),IF($N28=$AH$23,VLOOKUP($E28,$AF$4:$AG$22,2,0)*O28,VLOOKUP($E28,$AF$4:$AG$22,2,0))),(IF(O28&gt;4,IF($N28=$AH$23,VLOOKUP($E28,$AF$4:$AG$22,2,0)*4,VLOOKUP($E28,$AF$4:$AG$22,2,0)),IF($N28=$AH$23,VLOOKUP($E28,$AF$4:$AG$22,2,0)*O28,VLOOKUP($E28,$AF$4:$AG$22,2,0))))/360*$W28),0)</f>
        <v>1500</v>
      </c>
      <c r="AA28" s="57">
        <f>Table1[[#This Row],[نهاية الخدمة2]]-Table1[[#This Row],[نهاية الخدمة]]</f>
        <v>3494.819444444438</v>
      </c>
      <c r="AB28" s="57">
        <f>Table1[[#This Row],[رصيد اجازات2]]-Table1[[#This Row],[رصيد اجازات]]</f>
        <v>2412.8616438356039</v>
      </c>
      <c r="AC28" s="58">
        <f>Table1[[#This Row],[تذاكر سفر2]]-Table1[[#This Row],[تذاكر سفر]]</f>
        <v>0</v>
      </c>
    </row>
    <row r="29" spans="1:35" ht="21.95" customHeight="1" x14ac:dyDescent="0.35">
      <c r="A29" s="32">
        <f>SUBTOTAL(3,C$3:$C29)</f>
        <v>27</v>
      </c>
      <c r="B29" s="30" t="s">
        <v>103</v>
      </c>
      <c r="C29" s="33" t="s">
        <v>73</v>
      </c>
      <c r="D29" s="45">
        <v>29701101102</v>
      </c>
      <c r="E29" s="46" t="s">
        <v>30</v>
      </c>
      <c r="F29" s="47">
        <v>40179</v>
      </c>
      <c r="G29" s="46">
        <v>5026</v>
      </c>
      <c r="H29" s="46">
        <v>1001</v>
      </c>
      <c r="I29" s="46">
        <v>500</v>
      </c>
      <c r="J29" s="46">
        <v>0</v>
      </c>
      <c r="K29" s="46">
        <f t="shared" si="0"/>
        <v>6527</v>
      </c>
      <c r="L29" s="47" t="s">
        <v>21</v>
      </c>
      <c r="M29" s="47" t="s">
        <v>21</v>
      </c>
      <c r="N29" s="46" t="s">
        <v>24</v>
      </c>
      <c r="O29" s="46">
        <v>0</v>
      </c>
      <c r="P29" s="48">
        <v>21</v>
      </c>
      <c r="Q29" s="46">
        <f>IF(F29&gt;0,DATEDIF($F29,Employee!$U$1,"Y")*12*30+DATEDIF($F29,Employee!$U$1,"YM")*30+DATEDIF($F29,Employee!$U$1,"MD")+1,0)</f>
        <v>4440</v>
      </c>
      <c r="R29" s="46">
        <f>IF(F29&gt;0,IF(M29=$AG$23,0,IF($M29=$AF$23,DATEDIF($F29,Employee!$U$1,"D")-(DATEDIF($F29,Employee!$U$1,"D")*5/365)+1,DATEDIF($M29,Employee!$U$1,"D")-(DATEDIF($M29,Employee!$U$1,"D")*5/365)+1)),0)</f>
        <v>4441.3287671232874</v>
      </c>
      <c r="S29" s="46">
        <f>IF($Q29&lt;=1800,($Q29/360*$K29)*0.5,($Q29-1800)/360*$K29+1800/360*$K29*0.5)</f>
        <v>64182.166666666664</v>
      </c>
      <c r="T29" s="46">
        <f>IF($P29=21,0.0583333333333333*$R29*$K29/30,0.0833333333333333*$R29*$K29/30)</f>
        <v>56366.630566971042</v>
      </c>
      <c r="U29" s="46">
        <f>IFERROR(IF($R29&gt;=360,IF(O29&gt;4,IF($N29=$AH$23,VLOOKUP($E29,$AF$4:$AG$22,2,0)*4,VLOOKUP($E29,$AF$4:$AG$22,2,0)),IF($N29=$AH$23,VLOOKUP($E29,$AF$4:$AG$22,2,0)*O29,VLOOKUP($E29,$AF$4:$AG$22,2,0))),(IF(O29&gt;4,IF($N29=$AH$23,VLOOKUP($E29,$AF$4:$AG$22,2,0)*4,VLOOKUP($E29,$AF$4:$AG$22,2,0)),IF($N29=$AH$23,VLOOKUP($E29,$AF$4:$AG$22,2,0)*O29,VLOOKUP($E29,$AF$4:$AG$22,2,0))))/360*$R29),0)</f>
        <v>0</v>
      </c>
      <c r="V29" s="46">
        <f>IF(F29&gt;0,DATEDIF($F29,Employee!$Z$1,"Y")*12*30+DATEDIF($F29,Employee!$Z$1,"YM")*30+DATEDIF($F29,Employee!$Z$1,"MD")+1,0)</f>
        <v>4471</v>
      </c>
      <c r="W29" s="46">
        <f>IF(F29&gt;0,IF(M29=$AG$23,0,IF($M29=$AF$23,DATEDIF($F29,Employee!$Z$1,"D")-(DATEDIF($F29,Employee!$Z$1,"D")*5/365)+1,DATEDIF($M29,Employee!$Z$1,"D")-(DATEDIF($M29,Employee!$Z$1,"D")*5/365)+1)),0)</f>
        <v>4471.9041095890407</v>
      </c>
      <c r="X29" s="46">
        <f>IF($V29&lt;=1800,($V29/360*$K29)*0.5,($V29-1800)/360*$K29+1800/360*$K29*0.5)</f>
        <v>64744.213888888888</v>
      </c>
      <c r="Y29" s="46">
        <f>IF($P29=21,0.0583333333333333*$W29*$K29/30,0.0833333333333333*$W29*$K29/30)</f>
        <v>56754.674128614868</v>
      </c>
      <c r="Z29" s="46">
        <f>IFERROR(IF($W29&gt;=360,IF(O29&gt;4,IF($N29=$AH$23,VLOOKUP($E29,$AF$4:$AG$22,2,0)*4,VLOOKUP($E29,$AF$4:$AG$22,2,0)),IF($N29=$AH$23,VLOOKUP($E29,$AF$4:$AG$22,2,0)*O29,VLOOKUP($E29,$AF$4:$AG$22,2,0))),(IF(O29&gt;4,IF($N29=$AH$23,VLOOKUP($E29,$AF$4:$AG$22,2,0)*4,VLOOKUP($E29,$AF$4:$AG$22,2,0)),IF($N29=$AH$23,VLOOKUP($E29,$AF$4:$AG$22,2,0)*O29,VLOOKUP($E29,$AF$4:$AG$22,2,0))))/360*$W29),0)</f>
        <v>0</v>
      </c>
      <c r="AA29" s="49">
        <f>Table1[[#This Row],[نهاية الخدمة2]]-Table1[[#This Row],[نهاية الخدمة]]</f>
        <v>562.04722222222335</v>
      </c>
      <c r="AB29" s="49">
        <f>Table1[[#This Row],[رصيد اجازات2]]-Table1[[#This Row],[رصيد اجازات]]</f>
        <v>388.04356164382625</v>
      </c>
      <c r="AC29" s="49">
        <f>Table1[[#This Row],[تذاكر سفر2]]-Table1[[#This Row],[تذاكر سفر]]</f>
        <v>0</v>
      </c>
    </row>
    <row r="30" spans="1:35" ht="21.95" customHeight="1" x14ac:dyDescent="0.35">
      <c r="A30" s="32">
        <f>SUBTOTAL(3,C$3:$C30)</f>
        <v>28</v>
      </c>
      <c r="B30" s="30" t="s">
        <v>104</v>
      </c>
      <c r="C30" s="33" t="s">
        <v>74</v>
      </c>
      <c r="D30" s="50">
        <v>30801101102</v>
      </c>
      <c r="E30" s="51" t="s">
        <v>28</v>
      </c>
      <c r="F30" s="52">
        <v>40179</v>
      </c>
      <c r="G30" s="51">
        <v>35201</v>
      </c>
      <c r="H30" s="51">
        <v>5032</v>
      </c>
      <c r="I30" s="51">
        <v>252</v>
      </c>
      <c r="J30" s="51">
        <v>0</v>
      </c>
      <c r="K30" s="51">
        <f t="shared" si="0"/>
        <v>40485</v>
      </c>
      <c r="L30" s="52" t="s">
        <v>21</v>
      </c>
      <c r="M30" s="52" t="s">
        <v>21</v>
      </c>
      <c r="N30" s="51" t="s">
        <v>24</v>
      </c>
      <c r="O30" s="51">
        <v>0</v>
      </c>
      <c r="P30" s="53">
        <v>21</v>
      </c>
      <c r="Q30" s="54">
        <f>IF(F30&gt;0,DATEDIF($F30,Employee!$U$1,"Y")*12*30+DATEDIF($F30,Employee!$U$1,"YM")*30+DATEDIF($F30,Employee!$U$1,"MD")+1,0)</f>
        <v>4440</v>
      </c>
      <c r="R30" s="51">
        <f>IF(F30&gt;0,IF(M30=$AG$23,0,IF($M30=$AF$23,DATEDIF($F30,Employee!$U$1,"D")-(DATEDIF($F30,Employee!$U$1,"D")*5/365)+1,DATEDIF($M30,Employee!$U$1,"D")-(DATEDIF($M30,Employee!$U$1,"D")*5/365)+1)),0)</f>
        <v>4441.3287671232874</v>
      </c>
      <c r="S30" s="51">
        <f>IF($Q30&lt;=1800,($Q30/360*$K30)*0.5,($Q30-1800)/360*$K30+1800/360*$K30*0.5)</f>
        <v>398102.5</v>
      </c>
      <c r="T30" s="51">
        <f>IF($P30=21,0.0583333333333333*$R30*$K30/30,0.0833333333333333*$R30*$K30/30)</f>
        <v>349625.10165525094</v>
      </c>
      <c r="U30" s="55">
        <f>IFERROR(IF($R30&gt;=360,IF(O30&gt;4,IF($N30=$AH$23,VLOOKUP($E30,$AF$4:$AG$22,2,0)*4,VLOOKUP($E30,$AF$4:$AG$22,2,0)),IF($N30=$AH$23,VLOOKUP($E30,$AF$4:$AG$22,2,0)*O30,VLOOKUP($E30,$AF$4:$AG$22,2,0))),(IF(O30&gt;4,IF($N30=$AH$23,VLOOKUP($E30,$AF$4:$AG$22,2,0)*4,VLOOKUP($E30,$AF$4:$AG$22,2,0)),IF($N30=$AH$23,VLOOKUP($E30,$AF$4:$AG$22,2,0)*O30,VLOOKUP($E30,$AF$4:$AG$22,2,0))))/360*$R30),0)</f>
        <v>1800</v>
      </c>
      <c r="V30" s="56">
        <f>IF(F30&gt;0,DATEDIF($F30,Employee!$Z$1,"Y")*12*30+DATEDIF($F30,Employee!$Z$1,"YM")*30+DATEDIF($F30,Employee!$Z$1,"MD")+1,0)</f>
        <v>4471</v>
      </c>
      <c r="W30" s="51">
        <f>IF(F30&gt;0,IF(M30=$AG$23,0,IF($M30=$AF$23,DATEDIF($F30,Employee!$Z$1,"D")-(DATEDIF($F30,Employee!$Z$1,"D")*5/365)+1,DATEDIF($M30,Employee!$Z$1,"D")-(DATEDIF($M30,Employee!$Z$1,"D")*5/365)+1)),0)</f>
        <v>4471.9041095890407</v>
      </c>
      <c r="X30" s="51">
        <f>IF($V30&lt;=1800,($V30/360*$K30)*0.5,($V30-1800)/360*$K30+1800/360*$K30*0.5)</f>
        <v>401588.70833333331</v>
      </c>
      <c r="Y30" s="51">
        <f>IF($P30=21,0.0583333333333333*$W30*$K30/30,0.0833333333333333*$W30*$K30/30)</f>
        <v>352032.01809360704</v>
      </c>
      <c r="Z30" s="51">
        <f>IFERROR(IF($W30&gt;=360,IF(O30&gt;4,IF($N30=$AH$23,VLOOKUP($E30,$AF$4:$AG$22,2,0)*4,VLOOKUP($E30,$AF$4:$AG$22,2,0)),IF($N30=$AH$23,VLOOKUP($E30,$AF$4:$AG$22,2,0)*O30,VLOOKUP($E30,$AF$4:$AG$22,2,0))),(IF(O30&gt;4,IF($N30=$AH$23,VLOOKUP($E30,$AF$4:$AG$22,2,0)*4,VLOOKUP($E30,$AF$4:$AG$22,2,0)),IF($N30=$AH$23,VLOOKUP($E30,$AF$4:$AG$22,2,0)*O30,VLOOKUP($E30,$AF$4:$AG$22,2,0))))/360*$W30),0)</f>
        <v>1800</v>
      </c>
      <c r="AA30" s="57">
        <f>Table1[[#This Row],[نهاية الخدمة2]]-Table1[[#This Row],[نهاية الخدمة]]</f>
        <v>3486.2083333333139</v>
      </c>
      <c r="AB30" s="57">
        <f>Table1[[#This Row],[رصيد اجازات2]]-Table1[[#This Row],[رصيد اجازات]]</f>
        <v>2406.9164383561001</v>
      </c>
      <c r="AC30" s="58">
        <f>Table1[[#This Row],[تذاكر سفر2]]-Table1[[#This Row],[تذاكر سفر]]</f>
        <v>0</v>
      </c>
    </row>
    <row r="31" spans="1:35" ht="21.95" customHeight="1" x14ac:dyDescent="0.35">
      <c r="A31" s="32">
        <f>SUBTOTAL(3,C$3:$C31)</f>
        <v>29</v>
      </c>
      <c r="B31" s="30" t="s">
        <v>105</v>
      </c>
      <c r="C31" s="34" t="s">
        <v>75</v>
      </c>
      <c r="D31" s="45">
        <v>31901101102</v>
      </c>
      <c r="E31" s="46" t="s">
        <v>30</v>
      </c>
      <c r="F31" s="47">
        <v>40179</v>
      </c>
      <c r="G31" s="46">
        <v>5026</v>
      </c>
      <c r="H31" s="46">
        <v>1001</v>
      </c>
      <c r="I31" s="46">
        <v>500</v>
      </c>
      <c r="J31" s="46">
        <v>0</v>
      </c>
      <c r="K31" s="46">
        <f t="shared" si="0"/>
        <v>6527</v>
      </c>
      <c r="L31" s="47" t="s">
        <v>21</v>
      </c>
      <c r="M31" s="47" t="s">
        <v>21</v>
      </c>
      <c r="N31" s="46" t="s">
        <v>24</v>
      </c>
      <c r="O31" s="46">
        <v>0</v>
      </c>
      <c r="P31" s="48">
        <v>21</v>
      </c>
      <c r="Q31" s="46">
        <f>IF(F31&gt;0,DATEDIF($F31,Employee!$U$1,"Y")*12*30+DATEDIF($F31,Employee!$U$1,"YM")*30+DATEDIF($F31,Employee!$U$1,"MD")+1,0)</f>
        <v>4440</v>
      </c>
      <c r="R31" s="46">
        <f>IF(F31&gt;0,IF(M31=$AG$23,0,IF($M31=$AF$23,DATEDIF($F31,Employee!$U$1,"D")-(DATEDIF($F31,Employee!$U$1,"D")*5/365)+1,DATEDIF($M31,Employee!$U$1,"D")-(DATEDIF($M31,Employee!$U$1,"D")*5/365)+1)),0)</f>
        <v>4441.3287671232874</v>
      </c>
      <c r="S31" s="46">
        <f>IF($Q31&lt;=1800,($Q31/360*$K31)*0.5,($Q31-1800)/360*$K31+1800/360*$K31*0.5)</f>
        <v>64182.166666666664</v>
      </c>
      <c r="T31" s="46">
        <f>IF($P31=21,0.0583333333333333*$R31*$K31/30,0.0833333333333333*$R31*$K31/30)</f>
        <v>56366.630566971042</v>
      </c>
      <c r="U31" s="46">
        <f>IFERROR(IF($R31&gt;=360,IF(O31&gt;4,IF($N31=$AH$23,VLOOKUP($E31,$AF$4:$AG$22,2,0)*4,VLOOKUP($E31,$AF$4:$AG$22,2,0)),IF($N31=$AH$23,VLOOKUP($E31,$AF$4:$AG$22,2,0)*O31,VLOOKUP($E31,$AF$4:$AG$22,2,0))),(IF(O31&gt;4,IF($N31=$AH$23,VLOOKUP($E31,$AF$4:$AG$22,2,0)*4,VLOOKUP($E31,$AF$4:$AG$22,2,0)),IF($N31=$AH$23,VLOOKUP($E31,$AF$4:$AG$22,2,0)*O31,VLOOKUP($E31,$AF$4:$AG$22,2,0))))/360*$R31),0)</f>
        <v>0</v>
      </c>
      <c r="V31" s="46">
        <f>IF(F31&gt;0,DATEDIF($F31,Employee!$Z$1,"Y")*12*30+DATEDIF($F31,Employee!$Z$1,"YM")*30+DATEDIF($F31,Employee!$Z$1,"MD")+1,0)</f>
        <v>4471</v>
      </c>
      <c r="W31" s="46">
        <f>IF(F31&gt;0,IF(M31=$AG$23,0,IF($M31=$AF$23,DATEDIF($F31,Employee!$Z$1,"D")-(DATEDIF($F31,Employee!$Z$1,"D")*5/365)+1,DATEDIF($M31,Employee!$Z$1,"D")-(DATEDIF($M31,Employee!$Z$1,"D")*5/365)+1)),0)</f>
        <v>4471.9041095890407</v>
      </c>
      <c r="X31" s="46">
        <f>IF($V31&lt;=1800,($V31/360*$K31)*0.5,($V31-1800)/360*$K31+1800/360*$K31*0.5)</f>
        <v>64744.213888888888</v>
      </c>
      <c r="Y31" s="46">
        <f>IF($P31=21,0.0583333333333333*$W31*$K31/30,0.0833333333333333*$W31*$K31/30)</f>
        <v>56754.674128614868</v>
      </c>
      <c r="Z31" s="46">
        <f>IFERROR(IF($W31&gt;=360,IF(O31&gt;4,IF($N31=$AH$23,VLOOKUP($E31,$AF$4:$AG$22,2,0)*4,VLOOKUP($E31,$AF$4:$AG$22,2,0)),IF($N31=$AH$23,VLOOKUP($E31,$AF$4:$AG$22,2,0)*O31,VLOOKUP($E31,$AF$4:$AG$22,2,0))),(IF(O31&gt;4,IF($N31=$AH$23,VLOOKUP($E31,$AF$4:$AG$22,2,0)*4,VLOOKUP($E31,$AF$4:$AG$22,2,0)),IF($N31=$AH$23,VLOOKUP($E31,$AF$4:$AG$22,2,0)*O31,VLOOKUP($E31,$AF$4:$AG$22,2,0))))/360*$W31),0)</f>
        <v>0</v>
      </c>
      <c r="AA31" s="49">
        <f>Table1[[#This Row],[نهاية الخدمة2]]-Table1[[#This Row],[نهاية الخدمة]]</f>
        <v>562.04722222222335</v>
      </c>
      <c r="AB31" s="49">
        <f>Table1[[#This Row],[رصيد اجازات2]]-Table1[[#This Row],[رصيد اجازات]]</f>
        <v>388.04356164382625</v>
      </c>
      <c r="AC31" s="49">
        <f>Table1[[#This Row],[تذاكر سفر2]]-Table1[[#This Row],[تذاكر سفر]]</f>
        <v>0</v>
      </c>
      <c r="AE31" s="5"/>
      <c r="AF31" s="5"/>
      <c r="AG31" s="5"/>
    </row>
    <row r="32" spans="1:35" ht="21.95" customHeight="1" x14ac:dyDescent="0.35">
      <c r="A32" s="32">
        <f>SUBTOTAL(3,C$3:$C32)</f>
        <v>30</v>
      </c>
      <c r="B32" s="30" t="s">
        <v>106</v>
      </c>
      <c r="C32" s="33" t="s">
        <v>76</v>
      </c>
      <c r="D32" s="50">
        <v>33001101102</v>
      </c>
      <c r="E32" s="51" t="s">
        <v>31</v>
      </c>
      <c r="F32" s="52">
        <v>40179</v>
      </c>
      <c r="G32" s="51">
        <v>35201</v>
      </c>
      <c r="H32" s="51">
        <v>5032</v>
      </c>
      <c r="I32" s="51">
        <v>252</v>
      </c>
      <c r="J32" s="51">
        <v>0</v>
      </c>
      <c r="K32" s="51">
        <f t="shared" si="0"/>
        <v>40485</v>
      </c>
      <c r="L32" s="52">
        <v>43800</v>
      </c>
      <c r="M32" s="52">
        <v>43800</v>
      </c>
      <c r="N32" s="51" t="s">
        <v>24</v>
      </c>
      <c r="O32" s="51">
        <v>0</v>
      </c>
      <c r="P32" s="53">
        <v>21</v>
      </c>
      <c r="Q32" s="54">
        <f>IF(F32&gt;0,DATEDIF($F32,Employee!$U$1,"Y")*12*30+DATEDIF($F32,Employee!$U$1,"YM")*30+DATEDIF($F32,Employee!$U$1,"MD")+1,0)</f>
        <v>4440</v>
      </c>
      <c r="R32" s="51">
        <f>IF(F32&gt;0,IF(M32=$AG$23,0,IF($M32=$AF$23,DATEDIF($F32,Employee!$U$1,"D")-(DATEDIF($F32,Employee!$U$1,"D")*5/365)+1,DATEDIF($M32,Employee!$U$1,"D")-(DATEDIF($M32,Employee!$U$1,"D")*5/365)+1)),0)</f>
        <v>869.93150684931504</v>
      </c>
      <c r="S32" s="51">
        <f>IF($Q32&lt;=1800,($Q32/360*$K32)*0.5,($Q32-1800)/360*$K32+1800/360*$K32*0.5)</f>
        <v>398102.5</v>
      </c>
      <c r="T32" s="51">
        <f>IF($P32=21,0.0583333333333333*$R32*$K32/30,0.0833333333333333*$R32*$K32/30)</f>
        <v>68481.733162100412</v>
      </c>
      <c r="U32" s="55">
        <f>IFERROR(IF($R32&gt;=360,IF(O32&gt;4,IF($N32=$AH$23,VLOOKUP($E32,$AF$4:$AG$22,2,0)*4,VLOOKUP($E32,$AF$4:$AG$22,2,0)),IF($N32=$AH$23,VLOOKUP($E32,$AF$4:$AG$22,2,0)*O32,VLOOKUP($E32,$AF$4:$AG$22,2,0))),(IF(O32&gt;4,IF($N32=$AH$23,VLOOKUP($E32,$AF$4:$AG$22,2,0)*4,VLOOKUP($E32,$AF$4:$AG$22,2,0)),IF($N32=$AH$23,VLOOKUP($E32,$AF$4:$AG$22,2,0)*O32,VLOOKUP($E32,$AF$4:$AG$22,2,0))))/360*$R32),0)</f>
        <v>2000</v>
      </c>
      <c r="V32" s="56">
        <f>IF(F32&gt;0,DATEDIF($F32,Employee!$Z$1,"Y")*12*30+DATEDIF($F32,Employee!$Z$1,"YM")*30+DATEDIF($F32,Employee!$Z$1,"MD")+1,0)</f>
        <v>4471</v>
      </c>
      <c r="W32" s="51">
        <f>IF(F32&gt;0,IF(M32=$AG$23,0,IF($M32=$AF$23,DATEDIF($F32,Employee!$Z$1,"D")-(DATEDIF($F32,Employee!$Z$1,"D")*5/365)+1,DATEDIF($M32,Employee!$Z$1,"D")-(DATEDIF($M32,Employee!$Z$1,"D")*5/365)+1)),0)</f>
        <v>900.50684931506851</v>
      </c>
      <c r="X32" s="51">
        <f>IF($V32&lt;=1800,($V32/360*$K32)*0.5,($V32-1800)/360*$K32+1800/360*$K32*0.5)</f>
        <v>401588.70833333331</v>
      </c>
      <c r="Y32" s="51">
        <f>IF($P32=21,0.0583333333333333*$W32*$K32/30,0.0833333333333333*$W32*$K32/30)</f>
        <v>70888.649600456571</v>
      </c>
      <c r="Z32" s="51">
        <f>IFERROR(IF($W32&gt;=360,IF(O32&gt;4,IF($N32=$AH$23,VLOOKUP($E32,$AF$4:$AG$22,2,0)*4,VLOOKUP($E32,$AF$4:$AG$22,2,0)),IF($N32=$AH$23,VLOOKUP($E32,$AF$4:$AG$22,2,0)*O32,VLOOKUP($E32,$AF$4:$AG$22,2,0))),(IF(O32&gt;4,IF($N32=$AH$23,VLOOKUP($E32,$AF$4:$AG$22,2,0)*4,VLOOKUP($E32,$AF$4:$AG$22,2,0)),IF($N32=$AH$23,VLOOKUP($E32,$AF$4:$AG$22,2,0)*O32,VLOOKUP($E32,$AF$4:$AG$22,2,0))))/360*$W32),0)</f>
        <v>2000</v>
      </c>
      <c r="AA32" s="57">
        <f>Table1[[#This Row],[نهاية الخدمة2]]-Table1[[#This Row],[نهاية الخدمة]]</f>
        <v>3486.2083333333139</v>
      </c>
      <c r="AB32" s="57">
        <f>Table1[[#This Row],[رصيد اجازات2]]-Table1[[#This Row],[رصيد اجازات]]</f>
        <v>2406.9164383561583</v>
      </c>
      <c r="AC32" s="58">
        <f>Table1[[#This Row],[تذاكر سفر2]]-Table1[[#This Row],[تذاكر سفر]]</f>
        <v>0</v>
      </c>
      <c r="AE32" s="5"/>
      <c r="AF32" s="5"/>
      <c r="AG32" s="5"/>
    </row>
    <row r="33" spans="1:33" ht="21.95" customHeight="1" x14ac:dyDescent="0.35">
      <c r="A33" s="32">
        <f>SUBTOTAL(3,C$3:$C33)</f>
        <v>31</v>
      </c>
      <c r="B33" s="30" t="s">
        <v>107</v>
      </c>
      <c r="C33" s="31" t="s">
        <v>72</v>
      </c>
      <c r="D33" s="45">
        <v>34101101102</v>
      </c>
      <c r="E33" s="46" t="s">
        <v>31</v>
      </c>
      <c r="F33" s="47">
        <v>40179</v>
      </c>
      <c r="G33" s="46">
        <v>5026</v>
      </c>
      <c r="H33" s="46">
        <v>1001</v>
      </c>
      <c r="I33" s="46">
        <v>500</v>
      </c>
      <c r="J33" s="46">
        <v>0</v>
      </c>
      <c r="K33" s="46">
        <f t="shared" si="0"/>
        <v>6527</v>
      </c>
      <c r="L33" s="47" t="s">
        <v>21</v>
      </c>
      <c r="M33" s="47" t="s">
        <v>21</v>
      </c>
      <c r="N33" s="46" t="s">
        <v>24</v>
      </c>
      <c r="O33" s="46">
        <v>0</v>
      </c>
      <c r="P33" s="48">
        <v>30</v>
      </c>
      <c r="Q33" s="46">
        <f>IF(F33&gt;0,DATEDIF($F33,Employee!$U$1,"Y")*12*30+DATEDIF($F33,Employee!$U$1,"YM")*30+DATEDIF($F33,Employee!$U$1,"MD")+1,0)</f>
        <v>4440</v>
      </c>
      <c r="R33" s="46">
        <f>IF(F33&gt;0,IF(M33=$AG$23,0,IF($M33=$AF$23,DATEDIF($F33,Employee!$U$1,"D")-(DATEDIF($F33,Employee!$U$1,"D")*5/365)+1,DATEDIF($M33,Employee!$U$1,"D")-(DATEDIF($M33,Employee!$U$1,"D")*5/365)+1)),0)</f>
        <v>4441.3287671232874</v>
      </c>
      <c r="S33" s="46">
        <f>IF($Q33&lt;=1800,($Q33/360*$K33)*0.5,($Q33-1800)/360*$K33+1800/360*$K33*0.5)</f>
        <v>64182.166666666664</v>
      </c>
      <c r="T33" s="46">
        <f>IF($P33=21,0.0583333333333333*$R33*$K33/30,0.0833333333333333*$R33*$K33/30)</f>
        <v>80523.757952815795</v>
      </c>
      <c r="U33" s="46">
        <f>IFERROR(IF($R33&gt;=360,IF(O33&gt;4,IF($N33=$AH$23,VLOOKUP($E33,$AF$4:$AG$22,2,0)*4,VLOOKUP($E33,$AF$4:$AG$22,2,0)),IF($N33=$AH$23,VLOOKUP($E33,$AF$4:$AG$22,2,0)*O33,VLOOKUP($E33,$AF$4:$AG$22,2,0))),(IF(O33&gt;4,IF($N33=$AH$23,VLOOKUP($E33,$AF$4:$AG$22,2,0)*4,VLOOKUP($E33,$AF$4:$AG$22,2,0)),IF($N33=$AH$23,VLOOKUP($E33,$AF$4:$AG$22,2,0)*O33,VLOOKUP($E33,$AF$4:$AG$22,2,0))))/360*$R33),0)</f>
        <v>2000</v>
      </c>
      <c r="V33" s="46">
        <f>IF(F33&gt;0,DATEDIF($F33,Employee!$Z$1,"Y")*12*30+DATEDIF($F33,Employee!$Z$1,"YM")*30+DATEDIF($F33,Employee!$Z$1,"MD")+1,0)</f>
        <v>4471</v>
      </c>
      <c r="W33" s="46">
        <f>IF(F33&gt;0,IF(M33=$AG$23,0,IF($M33=$AF$23,DATEDIF($F33,Employee!$Z$1,"D")-(DATEDIF($F33,Employee!$Z$1,"D")*5/365)+1,DATEDIF($M33,Employee!$Z$1,"D")-(DATEDIF($M33,Employee!$Z$1,"D")*5/365)+1)),0)</f>
        <v>4471.9041095890407</v>
      </c>
      <c r="X33" s="46">
        <f>IF($V33&lt;=1800,($V33/360*$K33)*0.5,($V33-1800)/360*$K33+1800/360*$K33*0.5)</f>
        <v>64744.213888888888</v>
      </c>
      <c r="Y33" s="46">
        <f>IF($P33=21,0.0583333333333333*$W33*$K33/30,0.0833333333333333*$W33*$K33/30)</f>
        <v>81078.105898021269</v>
      </c>
      <c r="Z33" s="46">
        <f>IFERROR(IF($W33&gt;=360,IF(O33&gt;4,IF($N33=$AH$23,VLOOKUP($E33,$AF$4:$AG$22,2,0)*4,VLOOKUP($E33,$AF$4:$AG$22,2,0)),IF($N33=$AH$23,VLOOKUP($E33,$AF$4:$AG$22,2,0)*O33,VLOOKUP($E33,$AF$4:$AG$22,2,0))),(IF(O33&gt;4,IF($N33=$AH$23,VLOOKUP($E33,$AF$4:$AG$22,2,0)*4,VLOOKUP($E33,$AF$4:$AG$22,2,0)),IF($N33=$AH$23,VLOOKUP($E33,$AF$4:$AG$22,2,0)*O33,VLOOKUP($E33,$AF$4:$AG$22,2,0))))/360*$W33),0)</f>
        <v>2000</v>
      </c>
      <c r="AA33" s="49">
        <f>Table1[[#This Row],[نهاية الخدمة2]]-Table1[[#This Row],[نهاية الخدمة]]</f>
        <v>562.04722222222335</v>
      </c>
      <c r="AB33" s="49">
        <f>Table1[[#This Row],[رصيد اجازات2]]-Table1[[#This Row],[رصيد اجازات]]</f>
        <v>554.34794520547439</v>
      </c>
      <c r="AC33" s="49">
        <f>Table1[[#This Row],[تذاكر سفر2]]-Table1[[#This Row],[تذاكر سفر]]</f>
        <v>0</v>
      </c>
      <c r="AD33" s="5"/>
      <c r="AE33" s="5"/>
      <c r="AF33" s="5"/>
      <c r="AG33" s="5"/>
    </row>
    <row r="34" spans="1:33" ht="21.95" customHeight="1" x14ac:dyDescent="0.35">
      <c r="A34" s="32">
        <f>SUBTOTAL(3,C$3:$C34)</f>
        <v>32</v>
      </c>
      <c r="B34" s="30" t="s">
        <v>108</v>
      </c>
      <c r="C34" s="33" t="s">
        <v>73</v>
      </c>
      <c r="D34" s="50">
        <v>35201101102</v>
      </c>
      <c r="E34" s="51" t="s">
        <v>30</v>
      </c>
      <c r="F34" s="52">
        <v>40179</v>
      </c>
      <c r="G34" s="51">
        <v>35201</v>
      </c>
      <c r="H34" s="51">
        <v>5032</v>
      </c>
      <c r="I34" s="51">
        <v>252</v>
      </c>
      <c r="J34" s="51">
        <v>0</v>
      </c>
      <c r="K34" s="51">
        <f t="shared" si="0"/>
        <v>40485</v>
      </c>
      <c r="L34" s="52">
        <v>44493</v>
      </c>
      <c r="M34" s="52">
        <v>44524</v>
      </c>
      <c r="N34" s="51" t="s">
        <v>24</v>
      </c>
      <c r="O34" s="51">
        <v>0</v>
      </c>
      <c r="P34" s="53">
        <v>21</v>
      </c>
      <c r="Q34" s="54">
        <f>IF(F34&gt;0,DATEDIF($F34,Employee!$U$1,"Y")*12*30+DATEDIF($F34,Employee!$U$1,"YM")*30+DATEDIF($F34,Employee!$U$1,"MD")+1,0)</f>
        <v>4440</v>
      </c>
      <c r="R34" s="51">
        <f>IF(F34&gt;0,IF(M34=$AG$23,0,IF($M34=$AF$23,DATEDIF($F34,Employee!$U$1,"D")-(DATEDIF($F34,Employee!$U$1,"D")*5/365)+1,DATEDIF($M34,Employee!$U$1,"D")-(DATEDIF($M34,Employee!$U$1,"D")*5/365)+1)),0)</f>
        <v>155.84931506849315</v>
      </c>
      <c r="S34" s="51">
        <f>IF($Q34&lt;=1800,($Q34/360*$K34)*0.5,($Q34-1800)/360*$K34+1800/360*$K34*0.5)</f>
        <v>398102.5</v>
      </c>
      <c r="T34" s="51">
        <f>IF($P34=21,0.0583333333333333*$R34*$K34/30,0.0833333333333333*$R34*$K34/30)</f>
        <v>12268.587956620997</v>
      </c>
      <c r="U34" s="55">
        <f>IFERROR(IF($R34&gt;=360,IF(O34&gt;4,IF($N34=$AH$23,VLOOKUP($E34,$AF$4:$AG$22,2,0)*4,VLOOKUP($E34,$AF$4:$AG$22,2,0)),IF($N34=$AH$23,VLOOKUP($E34,$AF$4:$AG$22,2,0)*O34,VLOOKUP($E34,$AF$4:$AG$22,2,0))),(IF(O34&gt;4,IF($N34=$AH$23,VLOOKUP($E34,$AF$4:$AG$22,2,0)*4,VLOOKUP($E34,$AF$4:$AG$22,2,0)),IF($N34=$AH$23,VLOOKUP($E34,$AF$4:$AG$22,2,0)*O34,VLOOKUP($E34,$AF$4:$AG$22,2,0))))/360*$R34),0)</f>
        <v>0</v>
      </c>
      <c r="V34" s="56">
        <f>IF(F34&gt;0,DATEDIF($F34,Employee!$Z$1,"Y")*12*30+DATEDIF($F34,Employee!$Z$1,"YM")*30+DATEDIF($F34,Employee!$Z$1,"MD")+1,0)</f>
        <v>4471</v>
      </c>
      <c r="W34" s="51">
        <f>IF(F34&gt;0,IF(M34=$AG$23,0,IF($M34=$AF$23,DATEDIF($F34,Employee!$Z$1,"D")-(DATEDIF($F34,Employee!$Z$1,"D")*5/365)+1,DATEDIF($M34,Employee!$Z$1,"D")-(DATEDIF($M34,Employee!$Z$1,"D")*5/365)+1)),0)</f>
        <v>186.42465753424656</v>
      </c>
      <c r="X34" s="51">
        <f>IF($V34&lt;=1800,($V34/360*$K34)*0.5,($V34-1800)/360*$K34+1800/360*$K34*0.5)</f>
        <v>401588.70833333331</v>
      </c>
      <c r="Y34" s="51">
        <f>IF($P34=21,0.0583333333333333*$W34*$K34/30,0.0833333333333333*$W34*$K34/30)</f>
        <v>14675.504394977159</v>
      </c>
      <c r="Z34" s="51">
        <f>IFERROR(IF($W34&gt;=360,IF(O34&gt;4,IF($N34=$AH$23,VLOOKUP($E34,$AF$4:$AG$22,2,0)*4,VLOOKUP($E34,$AF$4:$AG$22,2,0)),IF($N34=$AH$23,VLOOKUP($E34,$AF$4:$AG$22,2,0)*O34,VLOOKUP($E34,$AF$4:$AG$22,2,0))),(IF(O34&gt;4,IF($N34=$AH$23,VLOOKUP($E34,$AF$4:$AG$22,2,0)*4,VLOOKUP($E34,$AF$4:$AG$22,2,0)),IF($N34=$AH$23,VLOOKUP($E34,$AF$4:$AG$22,2,0)*O34,VLOOKUP($E34,$AF$4:$AG$22,2,0))))/360*$W34),0)</f>
        <v>0</v>
      </c>
      <c r="AA34" s="57">
        <f>Table1[[#This Row],[نهاية الخدمة2]]-Table1[[#This Row],[نهاية الخدمة]]</f>
        <v>3486.2083333333139</v>
      </c>
      <c r="AB34" s="57">
        <f>Table1[[#This Row],[رصيد اجازات2]]-Table1[[#This Row],[رصيد اجازات]]</f>
        <v>2406.916438356162</v>
      </c>
      <c r="AC34" s="58">
        <f>Table1[[#This Row],[تذاكر سفر2]]-Table1[[#This Row],[تذاكر سفر]]</f>
        <v>0</v>
      </c>
      <c r="AD34" s="5">
        <v>0</v>
      </c>
      <c r="AE34" s="5"/>
      <c r="AF34" s="5"/>
      <c r="AG34" s="1"/>
    </row>
    <row r="35" spans="1:33" ht="21.95" customHeight="1" x14ac:dyDescent="0.35">
      <c r="A35" s="32">
        <f>SUBTOTAL(3,C$3:$C35)</f>
        <v>33</v>
      </c>
      <c r="B35" s="30" t="s">
        <v>109</v>
      </c>
      <c r="C35" s="33" t="s">
        <v>74</v>
      </c>
      <c r="D35" s="45">
        <v>36301101102</v>
      </c>
      <c r="E35" s="46" t="s">
        <v>30</v>
      </c>
      <c r="F35" s="47">
        <v>40179</v>
      </c>
      <c r="G35" s="46">
        <v>5026</v>
      </c>
      <c r="H35" s="46">
        <v>1001</v>
      </c>
      <c r="I35" s="46">
        <v>500</v>
      </c>
      <c r="J35" s="46">
        <v>0</v>
      </c>
      <c r="K35" s="46">
        <f t="shared" ref="K35:K66" si="1">G35+H35+I35+J35</f>
        <v>6527</v>
      </c>
      <c r="L35" s="47" t="s">
        <v>21</v>
      </c>
      <c r="M35" s="47" t="s">
        <v>21</v>
      </c>
      <c r="N35" s="46" t="s">
        <v>24</v>
      </c>
      <c r="O35" s="46">
        <v>0</v>
      </c>
      <c r="P35" s="48">
        <v>21</v>
      </c>
      <c r="Q35" s="46">
        <f>IF(F35&gt;0,DATEDIF($F35,Employee!$U$1,"Y")*12*30+DATEDIF($F35,Employee!$U$1,"YM")*30+DATEDIF($F35,Employee!$U$1,"MD")+1,0)</f>
        <v>4440</v>
      </c>
      <c r="R35" s="46">
        <f>IF(F35&gt;0,IF(M35=$AG$23,0,IF($M35=$AF$23,DATEDIF($F35,Employee!$U$1,"D")-(DATEDIF($F35,Employee!$U$1,"D")*5/365)+1,DATEDIF($M35,Employee!$U$1,"D")-(DATEDIF($M35,Employee!$U$1,"D")*5/365)+1)),0)</f>
        <v>4441.3287671232874</v>
      </c>
      <c r="S35" s="46">
        <f>IF($Q35&lt;=1800,($Q35/360*$K35)*0.5,($Q35-1800)/360*$K35+1800/360*$K35*0.5)</f>
        <v>64182.166666666664</v>
      </c>
      <c r="T35" s="46">
        <f>IF($P35=21,0.0583333333333333*$R35*$K35/30,0.0833333333333333*$R35*$K35/30)</f>
        <v>56366.630566971042</v>
      </c>
      <c r="U35" s="46">
        <f>IFERROR(IF($R35&gt;=360,IF(O35&gt;4,IF($N35=$AH$23,VLOOKUP($E35,$AF$4:$AG$22,2,0)*4,VLOOKUP($E35,$AF$4:$AG$22,2,0)),IF($N35=$AH$23,VLOOKUP($E35,$AF$4:$AG$22,2,0)*O35,VLOOKUP($E35,$AF$4:$AG$22,2,0))),(IF(O35&gt;4,IF($N35=$AH$23,VLOOKUP($E35,$AF$4:$AG$22,2,0)*4,VLOOKUP($E35,$AF$4:$AG$22,2,0)),IF($N35=$AH$23,VLOOKUP($E35,$AF$4:$AG$22,2,0)*O35,VLOOKUP($E35,$AF$4:$AG$22,2,0))))/360*$R35),0)</f>
        <v>0</v>
      </c>
      <c r="V35" s="46">
        <f>IF(F35&gt;0,DATEDIF($F35,Employee!$Z$1,"Y")*12*30+DATEDIF($F35,Employee!$Z$1,"YM")*30+DATEDIF($F35,Employee!$Z$1,"MD")+1,0)</f>
        <v>4471</v>
      </c>
      <c r="W35" s="46">
        <f>IF(F35&gt;0,IF(M35=$AG$23,0,IF($M35=$AF$23,DATEDIF($F35,Employee!$Z$1,"D")-(DATEDIF($F35,Employee!$Z$1,"D")*5/365)+1,DATEDIF($M35,Employee!$Z$1,"D")-(DATEDIF($M35,Employee!$Z$1,"D")*5/365)+1)),0)</f>
        <v>4471.9041095890407</v>
      </c>
      <c r="X35" s="46">
        <f>IF($V35&lt;=1800,($V35/360*$K35)*0.5,($V35-1800)/360*$K35+1800/360*$K35*0.5)</f>
        <v>64744.213888888888</v>
      </c>
      <c r="Y35" s="46">
        <f>IF($P35=21,0.0583333333333333*$W35*$K35/30,0.0833333333333333*$W35*$K35/30)</f>
        <v>56754.674128614868</v>
      </c>
      <c r="Z35" s="46">
        <f>IFERROR(IF($W35&gt;=360,IF(O35&gt;4,IF($N35=$AH$23,VLOOKUP($E35,$AF$4:$AG$22,2,0)*4,VLOOKUP($E35,$AF$4:$AG$22,2,0)),IF($N35=$AH$23,VLOOKUP($E35,$AF$4:$AG$22,2,0)*O35,VLOOKUP($E35,$AF$4:$AG$22,2,0))),(IF(O35&gt;4,IF($N35=$AH$23,VLOOKUP($E35,$AF$4:$AG$22,2,0)*4,VLOOKUP($E35,$AF$4:$AG$22,2,0)),IF($N35=$AH$23,VLOOKUP($E35,$AF$4:$AG$22,2,0)*O35,VLOOKUP($E35,$AF$4:$AG$22,2,0))))/360*$W35),0)</f>
        <v>0</v>
      </c>
      <c r="AA35" s="49">
        <f>Table1[[#This Row],[نهاية الخدمة2]]-Table1[[#This Row],[نهاية الخدمة]]</f>
        <v>562.04722222222335</v>
      </c>
      <c r="AB35" s="49">
        <f>Table1[[#This Row],[رصيد اجازات2]]-Table1[[#This Row],[رصيد اجازات]]</f>
        <v>388.04356164382625</v>
      </c>
      <c r="AC35" s="49">
        <f>Table1[[#This Row],[تذاكر سفر2]]-Table1[[#This Row],[تذاكر سفر]]</f>
        <v>0</v>
      </c>
      <c r="AD35" s="5"/>
      <c r="AE35" s="5"/>
      <c r="AF35" s="5"/>
      <c r="AG35" s="5"/>
    </row>
    <row r="36" spans="1:33" ht="21.95" customHeight="1" x14ac:dyDescent="0.35">
      <c r="A36" s="32">
        <f>SUBTOTAL(3,C$3:$C36)</f>
        <v>34</v>
      </c>
      <c r="B36" s="30" t="s">
        <v>110</v>
      </c>
      <c r="C36" s="34" t="s">
        <v>75</v>
      </c>
      <c r="D36" s="50">
        <v>37401101102</v>
      </c>
      <c r="E36" s="51" t="s">
        <v>31</v>
      </c>
      <c r="F36" s="52">
        <v>40179</v>
      </c>
      <c r="G36" s="51">
        <v>35201</v>
      </c>
      <c r="H36" s="51">
        <v>5032</v>
      </c>
      <c r="I36" s="51">
        <v>252</v>
      </c>
      <c r="J36" s="51">
        <v>0</v>
      </c>
      <c r="K36" s="51">
        <f t="shared" si="1"/>
        <v>40485</v>
      </c>
      <c r="L36" s="52">
        <v>44440</v>
      </c>
      <c r="M36" s="52">
        <v>44470</v>
      </c>
      <c r="N36" s="51" t="s">
        <v>24</v>
      </c>
      <c r="O36" s="51">
        <v>0</v>
      </c>
      <c r="P36" s="53">
        <v>30</v>
      </c>
      <c r="Q36" s="54">
        <f>IF(F36&gt;0,DATEDIF($F36,Employee!$U$1,"Y")*12*30+DATEDIF($F36,Employee!$U$1,"YM")*30+DATEDIF($F36,Employee!$U$1,"MD")+1,0)</f>
        <v>4440</v>
      </c>
      <c r="R36" s="51">
        <f>IF(F36&gt;0,IF(M36=$AG$23,0,IF($M36=$AF$23,DATEDIF($F36,Employee!$U$1,"D")-(DATEDIF($F36,Employee!$U$1,"D")*5/365)+1,DATEDIF($M36,Employee!$U$1,"D")-(DATEDIF($M36,Employee!$U$1,"D")*5/365)+1)),0)</f>
        <v>209.10958904109589</v>
      </c>
      <c r="S36" s="51">
        <f>IF($Q36&lt;=1800,($Q36/360*$K36)*0.5,($Q36-1800)/360*$K36+1800/360*$K36*0.5)</f>
        <v>398102.5</v>
      </c>
      <c r="T36" s="51">
        <f>IF($P36=21,0.0583333333333333*$R36*$K36/30,0.0833333333333333*$R36*$K36/30)</f>
        <v>23516.115867579898</v>
      </c>
      <c r="U36" s="55">
        <f>IFERROR(IF($R36&gt;=360,IF(O36&gt;4,IF($N36=$AH$23,VLOOKUP($E36,$AF$4:$AG$22,2,0)*4,VLOOKUP($E36,$AF$4:$AG$22,2,0)),IF($N36=$AH$23,VLOOKUP($E36,$AF$4:$AG$22,2,0)*O36,VLOOKUP($E36,$AF$4:$AG$22,2,0))),(IF(O36&gt;4,IF($N36=$AH$23,VLOOKUP($E36,$AF$4:$AG$22,2,0)*4,VLOOKUP($E36,$AF$4:$AG$22,2,0)),IF($N36=$AH$23,VLOOKUP($E36,$AF$4:$AG$22,2,0)*O36,VLOOKUP($E36,$AF$4:$AG$22,2,0))))/360*$R36),0)</f>
        <v>1161.7199391171994</v>
      </c>
      <c r="V36" s="56">
        <f>IF(F36&gt;0,DATEDIF($F36,Employee!$Z$1,"Y")*12*30+DATEDIF($F36,Employee!$Z$1,"YM")*30+DATEDIF($F36,Employee!$Z$1,"MD")+1,0)</f>
        <v>4471</v>
      </c>
      <c r="W36" s="51">
        <f>IF(F36&gt;0,IF(M36=$AG$23,0,IF($M36=$AF$23,DATEDIF($F36,Employee!$Z$1,"D")-(DATEDIF($F36,Employee!$Z$1,"D")*5/365)+1,DATEDIF($M36,Employee!$Z$1,"D")-(DATEDIF($M36,Employee!$Z$1,"D")*5/365)+1)),0)</f>
        <v>239.68493150684932</v>
      </c>
      <c r="X36" s="51">
        <f>IF($V36&lt;=1800,($V36/360*$K36)*0.5,($V36-1800)/360*$K36+1800/360*$K36*0.5)</f>
        <v>401588.70833333331</v>
      </c>
      <c r="Y36" s="51">
        <f>IF($P36=21,0.0583333333333333*$W36*$K36/30,0.0833333333333333*$W36*$K36/30)</f>
        <v>26954.567922374416</v>
      </c>
      <c r="Z36" s="51">
        <f>IFERROR(IF($W36&gt;=360,IF(O36&gt;4,IF($N36=$AH$23,VLOOKUP($E36,$AF$4:$AG$22,2,0)*4,VLOOKUP($E36,$AF$4:$AG$22,2,0)),IF($N36=$AH$23,VLOOKUP($E36,$AF$4:$AG$22,2,0)*O36,VLOOKUP($E36,$AF$4:$AG$22,2,0))),(IF(O36&gt;4,IF($N36=$AH$23,VLOOKUP($E36,$AF$4:$AG$22,2,0)*4,VLOOKUP($E36,$AF$4:$AG$22,2,0)),IF($N36=$AH$23,VLOOKUP($E36,$AF$4:$AG$22,2,0)*O36,VLOOKUP($E36,$AF$4:$AG$22,2,0))))/360*$W36),0)</f>
        <v>1331.5829528158295</v>
      </c>
      <c r="AA36" s="57">
        <f>Table1[[#This Row],[نهاية الخدمة2]]-Table1[[#This Row],[نهاية الخدمة]]</f>
        <v>3486.2083333333139</v>
      </c>
      <c r="AB36" s="57">
        <f>Table1[[#This Row],[رصيد اجازات2]]-Table1[[#This Row],[رصيد اجازات]]</f>
        <v>3438.4520547945176</v>
      </c>
      <c r="AC36" s="58">
        <f>Table1[[#This Row],[تذاكر سفر2]]-Table1[[#This Row],[تذاكر سفر]]</f>
        <v>169.86301369863008</v>
      </c>
      <c r="AD36" s="5"/>
      <c r="AE36" s="5"/>
      <c r="AF36" s="5"/>
      <c r="AG36" s="5"/>
    </row>
    <row r="37" spans="1:33" ht="21.95" customHeight="1" x14ac:dyDescent="0.35">
      <c r="A37" s="32">
        <f>SUBTOTAL(3,C$3:$C37)</f>
        <v>35</v>
      </c>
      <c r="B37" s="30" t="s">
        <v>111</v>
      </c>
      <c r="C37" s="33" t="s">
        <v>76</v>
      </c>
      <c r="D37" s="45">
        <v>38501101102</v>
      </c>
      <c r="E37" s="46" t="s">
        <v>31</v>
      </c>
      <c r="F37" s="47">
        <v>40179</v>
      </c>
      <c r="G37" s="46">
        <v>5026</v>
      </c>
      <c r="H37" s="46">
        <v>1001</v>
      </c>
      <c r="I37" s="46">
        <v>500</v>
      </c>
      <c r="J37" s="46">
        <v>0</v>
      </c>
      <c r="K37" s="46">
        <f t="shared" si="1"/>
        <v>6527</v>
      </c>
      <c r="L37" s="47" t="s">
        <v>21</v>
      </c>
      <c r="M37" s="47" t="s">
        <v>21</v>
      </c>
      <c r="N37" s="46" t="s">
        <v>24</v>
      </c>
      <c r="O37" s="46">
        <v>0</v>
      </c>
      <c r="P37" s="48">
        <v>30</v>
      </c>
      <c r="Q37" s="46">
        <f>IF(F37&gt;0,DATEDIF($F37,Employee!$U$1,"Y")*12*30+DATEDIF($F37,Employee!$U$1,"YM")*30+DATEDIF($F37,Employee!$U$1,"MD")+1,0)</f>
        <v>4440</v>
      </c>
      <c r="R37" s="46">
        <f>IF(F37&gt;0,IF(M37=$AG$23,0,IF($M37=$AF$23,DATEDIF($F37,Employee!$U$1,"D")-(DATEDIF($F37,Employee!$U$1,"D")*5/365)+1,DATEDIF($M37,Employee!$U$1,"D")-(DATEDIF($M37,Employee!$U$1,"D")*5/365)+1)),0)</f>
        <v>4441.3287671232874</v>
      </c>
      <c r="S37" s="46">
        <f>IF($Q37&lt;=1800,($Q37/360*$K37)*0.5,($Q37-1800)/360*$K37+1800/360*$K37*0.5)</f>
        <v>64182.166666666664</v>
      </c>
      <c r="T37" s="46">
        <f>IF($P37=21,0.0583333333333333*$R37*$K37/30,0.0833333333333333*$R37*$K37/30)</f>
        <v>80523.757952815795</v>
      </c>
      <c r="U37" s="46">
        <f>IFERROR(IF($R37&gt;=360,IF(O37&gt;4,IF($N37=$AH$23,VLOOKUP($E37,$AF$4:$AG$22,2,0)*4,VLOOKUP($E37,$AF$4:$AG$22,2,0)),IF($N37=$AH$23,VLOOKUP($E37,$AF$4:$AG$22,2,0)*O37,VLOOKUP($E37,$AF$4:$AG$22,2,0))),(IF(O37&gt;4,IF($N37=$AH$23,VLOOKUP($E37,$AF$4:$AG$22,2,0)*4,VLOOKUP($E37,$AF$4:$AG$22,2,0)),IF($N37=$AH$23,VLOOKUP($E37,$AF$4:$AG$22,2,0)*O37,VLOOKUP($E37,$AF$4:$AG$22,2,0))))/360*$R37),0)</f>
        <v>2000</v>
      </c>
      <c r="V37" s="46">
        <f>IF(F37&gt;0,DATEDIF($F37,Employee!$Z$1,"Y")*12*30+DATEDIF($F37,Employee!$Z$1,"YM")*30+DATEDIF($F37,Employee!$Z$1,"MD")+1,0)</f>
        <v>4471</v>
      </c>
      <c r="W37" s="46">
        <f>IF(F37&gt;0,IF(M37=$AG$23,0,IF($M37=$AF$23,DATEDIF($F37,Employee!$Z$1,"D")-(DATEDIF($F37,Employee!$Z$1,"D")*5/365)+1,DATEDIF($M37,Employee!$Z$1,"D")-(DATEDIF($M37,Employee!$Z$1,"D")*5/365)+1)),0)</f>
        <v>4471.9041095890407</v>
      </c>
      <c r="X37" s="46">
        <f>IF($V37&lt;=1800,($V37/360*$K37)*0.5,($V37-1800)/360*$K37+1800/360*$K37*0.5)</f>
        <v>64744.213888888888</v>
      </c>
      <c r="Y37" s="46">
        <f>IF($P37=21,0.0583333333333333*$W37*$K37/30,0.0833333333333333*$W37*$K37/30)</f>
        <v>81078.105898021269</v>
      </c>
      <c r="Z37" s="46">
        <f>IFERROR(IF($W37&gt;=360,IF(O37&gt;4,IF($N37=$AH$23,VLOOKUP($E37,$AF$4:$AG$22,2,0)*4,VLOOKUP($E37,$AF$4:$AG$22,2,0)),IF($N37=$AH$23,VLOOKUP($E37,$AF$4:$AG$22,2,0)*O37,VLOOKUP($E37,$AF$4:$AG$22,2,0))),(IF(O37&gt;4,IF($N37=$AH$23,VLOOKUP($E37,$AF$4:$AG$22,2,0)*4,VLOOKUP($E37,$AF$4:$AG$22,2,0)),IF($N37=$AH$23,VLOOKUP($E37,$AF$4:$AG$22,2,0)*O37,VLOOKUP($E37,$AF$4:$AG$22,2,0))))/360*$W37),0)</f>
        <v>2000</v>
      </c>
      <c r="AA37" s="49">
        <f>Table1[[#This Row],[نهاية الخدمة2]]-Table1[[#This Row],[نهاية الخدمة]]</f>
        <v>562.04722222222335</v>
      </c>
      <c r="AB37" s="49">
        <f>Table1[[#This Row],[رصيد اجازات2]]-Table1[[#This Row],[رصيد اجازات]]</f>
        <v>554.34794520547439</v>
      </c>
      <c r="AC37" s="49">
        <f>Table1[[#This Row],[تذاكر سفر2]]-Table1[[#This Row],[تذاكر سفر]]</f>
        <v>0</v>
      </c>
      <c r="AD37" s="5"/>
      <c r="AE37" s="5"/>
      <c r="AF37" s="5"/>
      <c r="AG37" s="5"/>
    </row>
    <row r="38" spans="1:33" ht="21.95" customHeight="1" x14ac:dyDescent="0.35">
      <c r="A38" s="32">
        <f>SUBTOTAL(3,C$3:$C38)</f>
        <v>36</v>
      </c>
      <c r="B38" s="30" t="s">
        <v>112</v>
      </c>
      <c r="C38" s="31" t="s">
        <v>72</v>
      </c>
      <c r="D38" s="50">
        <v>39601101102</v>
      </c>
      <c r="E38" s="51" t="s">
        <v>31</v>
      </c>
      <c r="F38" s="52">
        <v>40179</v>
      </c>
      <c r="G38" s="51">
        <v>35201</v>
      </c>
      <c r="H38" s="51">
        <v>5032</v>
      </c>
      <c r="I38" s="51">
        <v>252</v>
      </c>
      <c r="J38" s="51">
        <v>0</v>
      </c>
      <c r="K38" s="51">
        <f t="shared" si="1"/>
        <v>40485</v>
      </c>
      <c r="L38" s="52">
        <v>43709</v>
      </c>
      <c r="M38" s="52">
        <v>43771</v>
      </c>
      <c r="N38" s="51" t="s">
        <v>24</v>
      </c>
      <c r="O38" s="51">
        <v>0</v>
      </c>
      <c r="P38" s="53">
        <v>21</v>
      </c>
      <c r="Q38" s="54">
        <f>IF(F38&gt;0,DATEDIF($F38,Employee!$U$1,"Y")*12*30+DATEDIF($F38,Employee!$U$1,"YM")*30+DATEDIF($F38,Employee!$U$1,"MD")+1,0)</f>
        <v>4440</v>
      </c>
      <c r="R38" s="51">
        <f>IF(F38&gt;0,IF(M38=$AG$23,0,IF($M38=$AF$23,DATEDIF($F38,Employee!$U$1,"D")-(DATEDIF($F38,Employee!$U$1,"D")*5/365)+1,DATEDIF($M38,Employee!$U$1,"D")-(DATEDIF($M38,Employee!$U$1,"D")*5/365)+1)),0)</f>
        <v>898.53424657534242</v>
      </c>
      <c r="S38" s="51">
        <f>IF($Q38&lt;=1800,($Q38/360*$K38)*0.5,($Q38-1800)/360*$K38+1800/360*$K38*0.5)</f>
        <v>398102.5</v>
      </c>
      <c r="T38" s="51">
        <f>IF($P38=21,0.0583333333333333*$R38*$K38/30,0.0833333333333333*$R38*$K38/30)</f>
        <v>70733.364668949725</v>
      </c>
      <c r="U38" s="55">
        <f>IFERROR(IF($R38&gt;=360,IF(O38&gt;4,IF($N38=$AH$23,VLOOKUP($E38,$AF$4:$AG$22,2,0)*4,VLOOKUP($E38,$AF$4:$AG$22,2,0)),IF($N38=$AH$23,VLOOKUP($E38,$AF$4:$AG$22,2,0)*O38,VLOOKUP($E38,$AF$4:$AG$22,2,0))),(IF(O38&gt;4,IF($N38=$AH$23,VLOOKUP($E38,$AF$4:$AG$22,2,0)*4,VLOOKUP($E38,$AF$4:$AG$22,2,0)),IF($N38=$AH$23,VLOOKUP($E38,$AF$4:$AG$22,2,0)*O38,VLOOKUP($E38,$AF$4:$AG$22,2,0))))/360*$R38),0)</f>
        <v>2000</v>
      </c>
      <c r="V38" s="56">
        <f>IF(F38&gt;0,DATEDIF($F38,Employee!$Z$1,"Y")*12*30+DATEDIF($F38,Employee!$Z$1,"YM")*30+DATEDIF($F38,Employee!$Z$1,"MD")+1,0)</f>
        <v>4471</v>
      </c>
      <c r="W38" s="51">
        <f>IF(F38&gt;0,IF(M38=$AG$23,0,IF($M38=$AF$23,DATEDIF($F38,Employee!$Z$1,"D")-(DATEDIF($F38,Employee!$Z$1,"D")*5/365)+1,DATEDIF($M38,Employee!$Z$1,"D")-(DATEDIF($M38,Employee!$Z$1,"D")*5/365)+1)),0)</f>
        <v>929.10958904109589</v>
      </c>
      <c r="X38" s="51">
        <f>IF($V38&lt;=1800,($V38/360*$K38)*0.5,($V38-1800)/360*$K38+1800/360*$K38*0.5)</f>
        <v>401588.70833333331</v>
      </c>
      <c r="Y38" s="51">
        <f>IF($P38=21,0.0583333333333333*$W38*$K38/30,0.0833333333333333*$W38*$K38/30)</f>
        <v>73140.281107305884</v>
      </c>
      <c r="Z38" s="51">
        <f>IFERROR(IF($W38&gt;=360,IF(O38&gt;4,IF($N38=$AH$23,VLOOKUP($E38,$AF$4:$AG$22,2,0)*4,VLOOKUP($E38,$AF$4:$AG$22,2,0)),IF($N38=$AH$23,VLOOKUP($E38,$AF$4:$AG$22,2,0)*O38,VLOOKUP($E38,$AF$4:$AG$22,2,0))),(IF(O38&gt;4,IF($N38=$AH$23,VLOOKUP($E38,$AF$4:$AG$22,2,0)*4,VLOOKUP($E38,$AF$4:$AG$22,2,0)),IF($N38=$AH$23,VLOOKUP($E38,$AF$4:$AG$22,2,0)*O38,VLOOKUP($E38,$AF$4:$AG$22,2,0))))/360*$W38),0)</f>
        <v>2000</v>
      </c>
      <c r="AA38" s="57">
        <f>Table1[[#This Row],[نهاية الخدمة2]]-Table1[[#This Row],[نهاية الخدمة]]</f>
        <v>3486.2083333333139</v>
      </c>
      <c r="AB38" s="57">
        <f>Table1[[#This Row],[رصيد اجازات2]]-Table1[[#This Row],[رصيد اجازات]]</f>
        <v>2406.9164383561583</v>
      </c>
      <c r="AC38" s="58">
        <f>Table1[[#This Row],[تذاكر سفر2]]-Table1[[#This Row],[تذاكر سفر]]</f>
        <v>0</v>
      </c>
      <c r="AD38" s="5"/>
      <c r="AE38" s="5"/>
      <c r="AF38" s="5"/>
      <c r="AG38" s="5"/>
    </row>
    <row r="39" spans="1:33" ht="21.95" customHeight="1" x14ac:dyDescent="0.35">
      <c r="A39" s="32">
        <f>SUBTOTAL(3,C$3:$C39)</f>
        <v>37</v>
      </c>
      <c r="B39" s="30" t="s">
        <v>113</v>
      </c>
      <c r="C39" s="33" t="s">
        <v>73</v>
      </c>
      <c r="D39" s="45">
        <v>40701101102</v>
      </c>
      <c r="E39" s="46" t="s">
        <v>26</v>
      </c>
      <c r="F39" s="47">
        <v>40179</v>
      </c>
      <c r="G39" s="46">
        <v>5026</v>
      </c>
      <c r="H39" s="46">
        <v>1001</v>
      </c>
      <c r="I39" s="46">
        <v>500</v>
      </c>
      <c r="J39" s="46">
        <v>0</v>
      </c>
      <c r="K39" s="46">
        <f t="shared" si="1"/>
        <v>6527</v>
      </c>
      <c r="L39" s="47">
        <v>44569</v>
      </c>
      <c r="M39" s="47">
        <v>44600</v>
      </c>
      <c r="N39" s="46" t="s">
        <v>24</v>
      </c>
      <c r="O39" s="46">
        <v>0</v>
      </c>
      <c r="P39" s="48">
        <v>21</v>
      </c>
      <c r="Q39" s="46">
        <f>IF(F39&gt;0,DATEDIF($F39,Employee!$U$1,"Y")*12*30+DATEDIF($F39,Employee!$U$1,"YM")*30+DATEDIF($F39,Employee!$U$1,"MD")+1,0)</f>
        <v>4440</v>
      </c>
      <c r="R39" s="46">
        <f>IF(F39&gt;0,IF(M39=$AG$23,0,IF($M39=$AF$23,DATEDIF($F39,Employee!$U$1,"D")-(DATEDIF($F39,Employee!$U$1,"D")*5/365)+1,DATEDIF($M39,Employee!$U$1,"D")-(DATEDIF($M39,Employee!$U$1,"D")*5/365)+1)),0)</f>
        <v>80.890410958904113</v>
      </c>
      <c r="S39" s="46">
        <f>IF($Q39&lt;=1800,($Q39/360*$K39)*0.5,($Q39-1800)/360*$K39+1800/360*$K39*0.5)</f>
        <v>64182.166666666664</v>
      </c>
      <c r="T39" s="46">
        <f>IF($P39=21,0.0583333333333333*$R39*$K39/30,0.0833333333333333*$R39*$K39/30)</f>
        <v>1026.6116628614911</v>
      </c>
      <c r="U39" s="46">
        <f>IFERROR(IF($R39&gt;=360,IF(O39&gt;4,IF($N39=$AH$23,VLOOKUP($E39,$AF$4:$AG$22,2,0)*4,VLOOKUP($E39,$AF$4:$AG$22,2,0)),IF($N39=$AH$23,VLOOKUP($E39,$AF$4:$AG$22,2,0)*O39,VLOOKUP($E39,$AF$4:$AG$22,2,0))),(IF(O39&gt;4,IF($N39=$AH$23,VLOOKUP($E39,$AF$4:$AG$22,2,0)*4,VLOOKUP($E39,$AF$4:$AG$22,2,0)),IF($N39=$AH$23,VLOOKUP($E39,$AF$4:$AG$22,2,0)*O39,VLOOKUP($E39,$AF$4:$AG$22,2,0))))/360*$R39),0)</f>
        <v>337.04337899543384</v>
      </c>
      <c r="V39" s="46">
        <f>IF(F39&gt;0,DATEDIF($F39,Employee!$Z$1,"Y")*12*30+DATEDIF($F39,Employee!$Z$1,"YM")*30+DATEDIF($F39,Employee!$Z$1,"MD")+1,0)</f>
        <v>4471</v>
      </c>
      <c r="W39" s="46">
        <f>IF(F39&gt;0,IF(M39=$AG$23,0,IF($M39=$AF$23,DATEDIF($F39,Employee!$Z$1,"D")-(DATEDIF($F39,Employee!$Z$1,"D")*5/365)+1,DATEDIF($M39,Employee!$Z$1,"D")-(DATEDIF($M39,Employee!$Z$1,"D")*5/365)+1)),0)</f>
        <v>111.46575342465754</v>
      </c>
      <c r="X39" s="46">
        <f>IF($V39&lt;=1800,($V39/360*$K39)*0.5,($V39-1800)/360*$K39+1800/360*$K39*0.5)</f>
        <v>64744.213888888888</v>
      </c>
      <c r="Y39" s="46">
        <f>IF($P39=21,0.0583333333333333*$W39*$K39/30,0.0833333333333333*$W39*$K39/30)</f>
        <v>1414.6552245053265</v>
      </c>
      <c r="Z39" s="46">
        <f>IFERROR(IF($W39&gt;=360,IF(O39&gt;4,IF($N39=$AH$23,VLOOKUP($E39,$AF$4:$AG$22,2,0)*4,VLOOKUP($E39,$AF$4:$AG$22,2,0)),IF($N39=$AH$23,VLOOKUP($E39,$AF$4:$AG$22,2,0)*O39,VLOOKUP($E39,$AF$4:$AG$22,2,0))),(IF(O39&gt;4,IF($N39=$AH$23,VLOOKUP($E39,$AF$4:$AG$22,2,0)*4,VLOOKUP($E39,$AF$4:$AG$22,2,0)),IF($N39=$AH$23,VLOOKUP($E39,$AF$4:$AG$22,2,0)*O39,VLOOKUP($E39,$AF$4:$AG$22,2,0))))/360*$W39),0)</f>
        <v>464.4406392694064</v>
      </c>
      <c r="AA39" s="49">
        <f>Table1[[#This Row],[نهاية الخدمة2]]-Table1[[#This Row],[نهاية الخدمة]]</f>
        <v>562.04722222222335</v>
      </c>
      <c r="AB39" s="49">
        <f>Table1[[#This Row],[رصيد اجازات2]]-Table1[[#This Row],[رصيد اجازات]]</f>
        <v>388.04356164383535</v>
      </c>
      <c r="AC39" s="49">
        <f>Table1[[#This Row],[تذاكر سفر2]]-Table1[[#This Row],[تذاكر سفر]]</f>
        <v>127.39726027397256</v>
      </c>
      <c r="AD39" s="5"/>
      <c r="AE39" s="5"/>
      <c r="AF39" s="5"/>
      <c r="AG39" s="5"/>
    </row>
    <row r="40" spans="1:33" ht="21.95" customHeight="1" x14ac:dyDescent="0.35">
      <c r="A40" s="32">
        <f>SUBTOTAL(3,C$3:$C40)</f>
        <v>38</v>
      </c>
      <c r="B40" s="30" t="s">
        <v>114</v>
      </c>
      <c r="C40" s="33" t="s">
        <v>74</v>
      </c>
      <c r="D40" s="50">
        <v>41801101102</v>
      </c>
      <c r="E40" s="51" t="s">
        <v>26</v>
      </c>
      <c r="F40" s="52">
        <v>40179</v>
      </c>
      <c r="G40" s="51">
        <v>35201</v>
      </c>
      <c r="H40" s="51">
        <v>5032</v>
      </c>
      <c r="I40" s="51">
        <v>252</v>
      </c>
      <c r="J40" s="51">
        <v>0</v>
      </c>
      <c r="K40" s="51">
        <f t="shared" si="1"/>
        <v>40485</v>
      </c>
      <c r="L40" s="52">
        <v>43647</v>
      </c>
      <c r="M40" s="52">
        <v>43708</v>
      </c>
      <c r="N40" s="51" t="s">
        <v>24</v>
      </c>
      <c r="O40" s="51">
        <v>0</v>
      </c>
      <c r="P40" s="53">
        <v>21</v>
      </c>
      <c r="Q40" s="54">
        <f>IF(F40&gt;0,DATEDIF($F40,Employee!$U$1,"Y")*12*30+DATEDIF($F40,Employee!$U$1,"YM")*30+DATEDIF($F40,Employee!$U$1,"MD")+1,0)</f>
        <v>4440</v>
      </c>
      <c r="R40" s="51">
        <f>IF(F40&gt;0,IF(M40=$AG$23,0,IF($M40=$AF$23,DATEDIF($F40,Employee!$U$1,"D")-(DATEDIF($F40,Employee!$U$1,"D")*5/365)+1,DATEDIF($M40,Employee!$U$1,"D")-(DATEDIF($M40,Employee!$U$1,"D")*5/365)+1)),0)</f>
        <v>960.67123287671234</v>
      </c>
      <c r="S40" s="51">
        <f>IF($Q40&lt;=1800,($Q40/360*$K40)*0.5,($Q40-1800)/360*$K40+1800/360*$K40*0.5)</f>
        <v>398102.5</v>
      </c>
      <c r="T40" s="51">
        <f>IF($P40=21,0.0583333333333333*$R40*$K40/30,0.0833333333333333*$R40*$K40/30)</f>
        <v>75624.840011415494</v>
      </c>
      <c r="U40" s="55">
        <f>IFERROR(IF($R40&gt;=360,IF(O40&gt;4,IF($N40=$AH$23,VLOOKUP($E40,$AF$4:$AG$22,2,0)*4,VLOOKUP($E40,$AF$4:$AG$22,2,0)),IF($N40=$AH$23,VLOOKUP($E40,$AF$4:$AG$22,2,0)*O40,VLOOKUP($E40,$AF$4:$AG$22,2,0))),(IF(O40&gt;4,IF($N40=$AH$23,VLOOKUP($E40,$AF$4:$AG$22,2,0)*4,VLOOKUP($E40,$AF$4:$AG$22,2,0)),IF($N40=$AH$23,VLOOKUP($E40,$AF$4:$AG$22,2,0)*O40,VLOOKUP($E40,$AF$4:$AG$22,2,0))))/360*$R40),0)</f>
        <v>1500</v>
      </c>
      <c r="V40" s="56">
        <f>IF(F40&gt;0,DATEDIF($F40,Employee!$Z$1,"Y")*12*30+DATEDIF($F40,Employee!$Z$1,"YM")*30+DATEDIF($F40,Employee!$Z$1,"MD")+1,0)</f>
        <v>4471</v>
      </c>
      <c r="W40" s="51">
        <f>IF(F40&gt;0,IF(M40=$AG$23,0,IF($M40=$AF$23,DATEDIF($F40,Employee!$Z$1,"D")-(DATEDIF($F40,Employee!$Z$1,"D")*5/365)+1,DATEDIF($M40,Employee!$Z$1,"D")-(DATEDIF($M40,Employee!$Z$1,"D")*5/365)+1)),0)</f>
        <v>991.2465753424658</v>
      </c>
      <c r="X40" s="51">
        <f>IF($V40&lt;=1800,($V40/360*$K40)*0.5,($V40-1800)/360*$K40+1800/360*$K40*0.5)</f>
        <v>401588.70833333331</v>
      </c>
      <c r="Y40" s="51">
        <f>IF($P40=21,0.0583333333333333*$W40*$K40/30,0.0833333333333333*$W40*$K40/30)</f>
        <v>78031.756449771652</v>
      </c>
      <c r="Z40" s="51">
        <f>IFERROR(IF($W40&gt;=360,IF(O40&gt;4,IF($N40=$AH$23,VLOOKUP($E40,$AF$4:$AG$22,2,0)*4,VLOOKUP($E40,$AF$4:$AG$22,2,0)),IF($N40=$AH$23,VLOOKUP($E40,$AF$4:$AG$22,2,0)*O40,VLOOKUP($E40,$AF$4:$AG$22,2,0))),(IF(O40&gt;4,IF($N40=$AH$23,VLOOKUP($E40,$AF$4:$AG$22,2,0)*4,VLOOKUP($E40,$AF$4:$AG$22,2,0)),IF($N40=$AH$23,VLOOKUP($E40,$AF$4:$AG$22,2,0)*O40,VLOOKUP($E40,$AF$4:$AG$22,2,0))))/360*$W40),0)</f>
        <v>1500</v>
      </c>
      <c r="AA40" s="57">
        <f>Table1[[#This Row],[نهاية الخدمة2]]-Table1[[#This Row],[نهاية الخدمة]]</f>
        <v>3486.2083333333139</v>
      </c>
      <c r="AB40" s="57">
        <f>Table1[[#This Row],[رصيد اجازات2]]-Table1[[#This Row],[رصيد اجازات]]</f>
        <v>2406.9164383561583</v>
      </c>
      <c r="AC40" s="58">
        <f>Table1[[#This Row],[تذاكر سفر2]]-Table1[[#This Row],[تذاكر سفر]]</f>
        <v>0</v>
      </c>
      <c r="AD40" s="5"/>
      <c r="AE40" s="5"/>
      <c r="AF40" s="5"/>
      <c r="AG40" s="5"/>
    </row>
    <row r="41" spans="1:33" ht="21.95" customHeight="1" x14ac:dyDescent="0.35">
      <c r="A41" s="32">
        <f>SUBTOTAL(3,C$3:$C41)</f>
        <v>39</v>
      </c>
      <c r="B41" s="30" t="s">
        <v>115</v>
      </c>
      <c r="C41" s="34" t="s">
        <v>75</v>
      </c>
      <c r="D41" s="45">
        <v>42901101102</v>
      </c>
      <c r="E41" s="46" t="s">
        <v>33</v>
      </c>
      <c r="F41" s="47">
        <v>40179</v>
      </c>
      <c r="G41" s="46">
        <v>5026</v>
      </c>
      <c r="H41" s="46">
        <v>1001</v>
      </c>
      <c r="I41" s="46">
        <v>500</v>
      </c>
      <c r="J41" s="46">
        <v>450</v>
      </c>
      <c r="K41" s="46">
        <f t="shared" si="1"/>
        <v>6977</v>
      </c>
      <c r="L41" s="47">
        <v>44402</v>
      </c>
      <c r="M41" s="47">
        <v>44402</v>
      </c>
      <c r="N41" s="46" t="s">
        <v>24</v>
      </c>
      <c r="O41" s="46">
        <v>2</v>
      </c>
      <c r="P41" s="48">
        <v>30</v>
      </c>
      <c r="Q41" s="46">
        <f>IF(F41&gt;0,DATEDIF($F41,Employee!$U$1,"Y")*12*30+DATEDIF($F41,Employee!$U$1,"YM")*30+DATEDIF($F41,Employee!$U$1,"MD")+1,0)</f>
        <v>4440</v>
      </c>
      <c r="R41" s="46">
        <f>IF(F41&gt;0,IF(M41=$AG$23,0,IF($M41=$AF$23,DATEDIF($F41,Employee!$U$1,"D")-(DATEDIF($F41,Employee!$U$1,"D")*5/365)+1,DATEDIF($M41,Employee!$U$1,"D")-(DATEDIF($M41,Employee!$U$1,"D")*5/365)+1)),0)</f>
        <v>276.17808219178085</v>
      </c>
      <c r="S41" s="46">
        <f>IF($Q41&lt;=1800,($Q41/360*$K41)*0.5,($Q41-1800)/360*$K41+1800/360*$K41*0.5)</f>
        <v>68607.166666666657</v>
      </c>
      <c r="T41" s="46">
        <f>IF($P41=21,0.0583333333333333*$R41*$K41/30,0.0833333333333333*$R41*$K41/30)</f>
        <v>5352.4846651445951</v>
      </c>
      <c r="U41" s="46">
        <f>IFERROR(IF($R41&gt;=360,IF(O41&gt;4,IF($N41=$AH$23,VLOOKUP($E41,$AF$4:$AG$22,2,0)*4,VLOOKUP($E41,$AF$4:$AG$22,2,0)),IF($N41=$AH$23,VLOOKUP($E41,$AF$4:$AG$22,2,0)*O41,VLOOKUP($E41,$AF$4:$AG$22,2,0))),(IF(O41&gt;4,IF($N41=$AH$23,VLOOKUP($E41,$AF$4:$AG$22,2,0)*4,VLOOKUP($E41,$AF$4:$AG$22,2,0)),IF($N41=$AH$23,VLOOKUP($E41,$AF$4:$AG$22,2,0)*O41,VLOOKUP($E41,$AF$4:$AG$22,2,0))))/360*$R41),0)</f>
        <v>1534.3226788432269</v>
      </c>
      <c r="V41" s="46">
        <f>IF(F41&gt;0,DATEDIF($F41,Employee!$Z$1,"Y")*12*30+DATEDIF($F41,Employee!$Z$1,"YM")*30+DATEDIF($F41,Employee!$Z$1,"MD")+1,0)</f>
        <v>4471</v>
      </c>
      <c r="W41" s="46">
        <f>IF(F41&gt;0,IF(M41=$AG$23,0,IF($M41=$AF$23,DATEDIF($F41,Employee!$Z$1,"D")-(DATEDIF($F41,Employee!$Z$1,"D")*5/365)+1,DATEDIF($M41,Employee!$Z$1,"D")-(DATEDIF($M41,Employee!$Z$1,"D")*5/365)+1)),0)</f>
        <v>306.75342465753425</v>
      </c>
      <c r="X41" s="46">
        <f>IF($V41&lt;=1800,($V41/360*$K41)*0.5,($V41-1800)/360*$K41+1800/360*$K41*0.5)</f>
        <v>69207.963888888888</v>
      </c>
      <c r="Y41" s="46">
        <f>IF($P41=21,0.0583333333333333*$W41*$K41/30,0.0833333333333333*$W41*$K41/30)</f>
        <v>5945.0517884322662</v>
      </c>
      <c r="Z41" s="46">
        <f>IFERROR(IF($W41&gt;=360,IF(O41&gt;4,IF($N41=$AH$23,VLOOKUP($E41,$AF$4:$AG$22,2,0)*4,VLOOKUP($E41,$AF$4:$AG$22,2,0)),IF($N41=$AH$23,VLOOKUP($E41,$AF$4:$AG$22,2,0)*O41,VLOOKUP($E41,$AF$4:$AG$22,2,0))),(IF(O41&gt;4,IF($N41=$AH$23,VLOOKUP($E41,$AF$4:$AG$22,2,0)*4,VLOOKUP($E41,$AF$4:$AG$22,2,0)),IF($N41=$AH$23,VLOOKUP($E41,$AF$4:$AG$22,2,0)*O41,VLOOKUP($E41,$AF$4:$AG$22,2,0))))/360*$W41),0)</f>
        <v>1704.185692541857</v>
      </c>
      <c r="AA41" s="49">
        <f>Table1[[#This Row],[نهاية الخدمة2]]-Table1[[#This Row],[نهاية الخدمة]]</f>
        <v>600.79722222223063</v>
      </c>
      <c r="AB41" s="49">
        <f>Table1[[#This Row],[رصيد اجازات2]]-Table1[[#This Row],[رصيد اجازات]]</f>
        <v>592.56712328767117</v>
      </c>
      <c r="AC41" s="49">
        <f>Table1[[#This Row],[تذاكر سفر2]]-Table1[[#This Row],[تذاكر سفر]]</f>
        <v>169.86301369863008</v>
      </c>
      <c r="AD41" s="5"/>
      <c r="AE41" s="5"/>
      <c r="AF41" s="5"/>
      <c r="AG41" s="5"/>
    </row>
    <row r="42" spans="1:33" ht="21.95" customHeight="1" x14ac:dyDescent="0.35">
      <c r="A42" s="32">
        <f>SUBTOTAL(3,C$3:$C42)</f>
        <v>40</v>
      </c>
      <c r="B42" s="30" t="s">
        <v>116</v>
      </c>
      <c r="C42" s="33" t="s">
        <v>76</v>
      </c>
      <c r="D42" s="50">
        <v>44001101102</v>
      </c>
      <c r="E42" s="51" t="s">
        <v>30</v>
      </c>
      <c r="F42" s="52">
        <v>40179</v>
      </c>
      <c r="G42" s="51">
        <v>35201</v>
      </c>
      <c r="H42" s="51">
        <v>5032</v>
      </c>
      <c r="I42" s="51">
        <v>252</v>
      </c>
      <c r="J42" s="51"/>
      <c r="K42" s="51">
        <f t="shared" si="1"/>
        <v>40485</v>
      </c>
      <c r="L42" s="52">
        <v>43772</v>
      </c>
      <c r="M42" s="52">
        <v>43786</v>
      </c>
      <c r="N42" s="51" t="s">
        <v>24</v>
      </c>
      <c r="O42" s="51">
        <v>0</v>
      </c>
      <c r="P42" s="53">
        <v>30</v>
      </c>
      <c r="Q42" s="54">
        <f>IF(F42&gt;0,DATEDIF($F42,Employee!$U$1,"Y")*12*30+DATEDIF($F42,Employee!$U$1,"YM")*30+DATEDIF($F42,Employee!$U$1,"MD")+1,0)</f>
        <v>4440</v>
      </c>
      <c r="R42" s="51">
        <f>IF(F42&gt;0,IF(M42=$AG$23,0,IF($M42=$AF$23,DATEDIF($F42,Employee!$U$1,"D")-(DATEDIF($F42,Employee!$U$1,"D")*5/365)+1,DATEDIF($M42,Employee!$U$1,"D")-(DATEDIF($M42,Employee!$U$1,"D")*5/365)+1)),0)</f>
        <v>883.7397260273973</v>
      </c>
      <c r="S42" s="51">
        <f>IF($Q42&lt;=1800,($Q42/360*$K42)*0.5,($Q42-1800)/360*$K42+1800/360*$K42*0.5)</f>
        <v>398102.5</v>
      </c>
      <c r="T42" s="51">
        <f>IF($P42=21,0.0583333333333333*$R42*$K42/30,0.0833333333333333*$R42*$K42/30)</f>
        <v>99383.896689497691</v>
      </c>
      <c r="U42" s="55">
        <f>IFERROR(IF($R42&gt;=360,IF(O42&gt;4,IF($N42=$AH$23,VLOOKUP($E42,$AF$4:$AG$22,2,0)*4,VLOOKUP($E42,$AF$4:$AG$22,2,0)),IF($N42=$AH$23,VLOOKUP($E42,$AF$4:$AG$22,2,0)*O42,VLOOKUP($E42,$AF$4:$AG$22,2,0))),(IF(O42&gt;4,IF($N42=$AH$23,VLOOKUP($E42,$AF$4:$AG$22,2,0)*4,VLOOKUP($E42,$AF$4:$AG$22,2,0)),IF($N42=$AH$23,VLOOKUP($E42,$AF$4:$AG$22,2,0)*O42,VLOOKUP($E42,$AF$4:$AG$22,2,0))))/360*$R42),0)</f>
        <v>0</v>
      </c>
      <c r="V42" s="56">
        <f>IF(F42&gt;0,DATEDIF($F42,Employee!$Z$1,"Y")*12*30+DATEDIF($F42,Employee!$Z$1,"YM")*30+DATEDIF($F42,Employee!$Z$1,"MD")+1,0)</f>
        <v>4471</v>
      </c>
      <c r="W42" s="51">
        <f>IF(F42&gt;0,IF(M42=$AG$23,0,IF($M42=$AF$23,DATEDIF($F42,Employee!$Z$1,"D")-(DATEDIF($F42,Employee!$Z$1,"D")*5/365)+1,DATEDIF($M42,Employee!$Z$1,"D")-(DATEDIF($M42,Employee!$Z$1,"D")*5/365)+1)),0)</f>
        <v>914.31506849315065</v>
      </c>
      <c r="X42" s="51">
        <f>IF($V42&lt;=1800,($V42/360*$K42)*0.5,($V42-1800)/360*$K42+1800/360*$K42*0.5)</f>
        <v>401588.70833333331</v>
      </c>
      <c r="Y42" s="51">
        <f>IF($P42=21,0.0583333333333333*$W42*$K42/30,0.0833333333333333*$W42*$K42/30)</f>
        <v>102822.34874429219</v>
      </c>
      <c r="Z42" s="51">
        <f>IFERROR(IF($W42&gt;=360,IF(O42&gt;4,IF($N42=$AH$23,VLOOKUP($E42,$AF$4:$AG$22,2,0)*4,VLOOKUP($E42,$AF$4:$AG$22,2,0)),IF($N42=$AH$23,VLOOKUP($E42,$AF$4:$AG$22,2,0)*O42,VLOOKUP($E42,$AF$4:$AG$22,2,0))),(IF(O42&gt;4,IF($N42=$AH$23,VLOOKUP($E42,$AF$4:$AG$22,2,0)*4,VLOOKUP($E42,$AF$4:$AG$22,2,0)),IF($N42=$AH$23,VLOOKUP($E42,$AF$4:$AG$22,2,0)*O42,VLOOKUP($E42,$AF$4:$AG$22,2,0))))/360*$W42),0)</f>
        <v>0</v>
      </c>
      <c r="AA42" s="57">
        <f>Table1[[#This Row],[نهاية الخدمة2]]-Table1[[#This Row],[نهاية الخدمة]]</f>
        <v>3486.2083333333139</v>
      </c>
      <c r="AB42" s="57">
        <f>Table1[[#This Row],[رصيد اجازات2]]-Table1[[#This Row],[رصيد اجازات]]</f>
        <v>3438.4520547944994</v>
      </c>
      <c r="AC42" s="58">
        <f>Table1[[#This Row],[تذاكر سفر2]]-Table1[[#This Row],[تذاكر سفر]]</f>
        <v>0</v>
      </c>
      <c r="AD42" s="5"/>
      <c r="AE42" s="5"/>
      <c r="AF42" s="5"/>
      <c r="AG42" s="5"/>
    </row>
    <row r="43" spans="1:33" ht="21.95" customHeight="1" x14ac:dyDescent="0.35">
      <c r="A43" s="32">
        <f>SUBTOTAL(3,C$3:$C43)</f>
        <v>41</v>
      </c>
      <c r="B43" s="30" t="s">
        <v>117</v>
      </c>
      <c r="C43" s="31" t="s">
        <v>72</v>
      </c>
      <c r="D43" s="45">
        <v>45101101102</v>
      </c>
      <c r="E43" s="46" t="s">
        <v>27</v>
      </c>
      <c r="F43" s="47">
        <v>40179</v>
      </c>
      <c r="G43" s="46">
        <v>5026</v>
      </c>
      <c r="H43" s="46">
        <v>1001</v>
      </c>
      <c r="I43" s="46">
        <v>500</v>
      </c>
      <c r="J43" s="46">
        <v>0</v>
      </c>
      <c r="K43" s="46">
        <f t="shared" si="1"/>
        <v>6527</v>
      </c>
      <c r="L43" s="47">
        <v>43881</v>
      </c>
      <c r="M43" s="47">
        <v>44098</v>
      </c>
      <c r="N43" s="46" t="s">
        <v>24</v>
      </c>
      <c r="O43" s="46">
        <v>0</v>
      </c>
      <c r="P43" s="48">
        <v>21</v>
      </c>
      <c r="Q43" s="46">
        <f>IF(F43&gt;0,DATEDIF($F43,Employee!$U$1,"Y")*12*30+DATEDIF($F43,Employee!$U$1,"YM")*30+DATEDIF($F43,Employee!$U$1,"MD")+1,0)</f>
        <v>4440</v>
      </c>
      <c r="R43" s="46">
        <f>IF(F43&gt;0,IF(M43=$AG$23,0,IF($M43=$AF$23,DATEDIF($F43,Employee!$U$1,"D")-(DATEDIF($F43,Employee!$U$1,"D")*5/365)+1,DATEDIF($M43,Employee!$U$1,"D")-(DATEDIF($M43,Employee!$U$1,"D")*5/365)+1)),0)</f>
        <v>576.01369863013701</v>
      </c>
      <c r="S43" s="46">
        <f>IF($Q43&lt;=1800,($Q43/360*$K43)*0.5,($Q43-1800)/360*$K43+1800/360*$K43*0.5)</f>
        <v>64182.166666666664</v>
      </c>
      <c r="T43" s="46">
        <f>IF($P43=21,0.0583333333333333*$R43*$K43/30,0.0833333333333333*$R43*$K43/30)</f>
        <v>7310.4138546423092</v>
      </c>
      <c r="U43" s="46">
        <f>IFERROR(IF($R43&gt;=360,IF(O43&gt;4,IF($N43=$AH$23,VLOOKUP($E43,$AF$4:$AG$22,2,0)*4,VLOOKUP($E43,$AF$4:$AG$22,2,0)),IF($N43=$AH$23,VLOOKUP($E43,$AF$4:$AG$22,2,0)*O43,VLOOKUP($E43,$AF$4:$AG$22,2,0))),(IF(O43&gt;4,IF($N43=$AH$23,VLOOKUP($E43,$AF$4:$AG$22,2,0)*4,VLOOKUP($E43,$AF$4:$AG$22,2,0)),IF($N43=$AH$23,VLOOKUP($E43,$AF$4:$AG$22,2,0)*O43,VLOOKUP($E43,$AF$4:$AG$22,2,0))))/360*$R43),0)</f>
        <v>2000</v>
      </c>
      <c r="V43" s="46">
        <f>IF(F43&gt;0,DATEDIF($F43,Employee!$Z$1,"Y")*12*30+DATEDIF($F43,Employee!$Z$1,"YM")*30+DATEDIF($F43,Employee!$Z$1,"MD")+1,0)</f>
        <v>4471</v>
      </c>
      <c r="W43" s="46">
        <f>IF(F43&gt;0,IF(M43=$AG$23,0,IF($M43=$AF$23,DATEDIF($F43,Employee!$Z$1,"D")-(DATEDIF($F43,Employee!$Z$1,"D")*5/365)+1,DATEDIF($M43,Employee!$Z$1,"D")-(DATEDIF($M43,Employee!$Z$1,"D")*5/365)+1)),0)</f>
        <v>606.58904109589037</v>
      </c>
      <c r="X43" s="46">
        <f>IF($V43&lt;=1800,($V43/360*$K43)*0.5,($V43-1800)/360*$K43+1800/360*$K43*0.5)</f>
        <v>64744.213888888888</v>
      </c>
      <c r="Y43" s="46">
        <f>IF($P43=21,0.0583333333333333*$W43*$K43/30,0.0833333333333333*$W43*$K43/30)</f>
        <v>7698.4574162861436</v>
      </c>
      <c r="Z43" s="46">
        <f>IFERROR(IF($W43&gt;=360,IF(O43&gt;4,IF($N43=$AH$23,VLOOKUP($E43,$AF$4:$AG$22,2,0)*4,VLOOKUP($E43,$AF$4:$AG$22,2,0)),IF($N43=$AH$23,VLOOKUP($E43,$AF$4:$AG$22,2,0)*O43,VLOOKUP($E43,$AF$4:$AG$22,2,0))),(IF(O43&gt;4,IF($N43=$AH$23,VLOOKUP($E43,$AF$4:$AG$22,2,0)*4,VLOOKUP($E43,$AF$4:$AG$22,2,0)),IF($N43=$AH$23,VLOOKUP($E43,$AF$4:$AG$22,2,0)*O43,VLOOKUP($E43,$AF$4:$AG$22,2,0))))/360*$W43),0)</f>
        <v>2000</v>
      </c>
      <c r="AA43" s="49">
        <f>Table1[[#This Row],[نهاية الخدمة2]]-Table1[[#This Row],[نهاية الخدمة]]</f>
        <v>562.04722222222335</v>
      </c>
      <c r="AB43" s="49">
        <f>Table1[[#This Row],[رصيد اجازات2]]-Table1[[#This Row],[رصيد اجازات]]</f>
        <v>388.04356164383444</v>
      </c>
      <c r="AC43" s="49">
        <f>Table1[[#This Row],[تذاكر سفر2]]-Table1[[#This Row],[تذاكر سفر]]</f>
        <v>0</v>
      </c>
      <c r="AD43" s="5"/>
      <c r="AE43" s="5"/>
      <c r="AF43" s="5"/>
      <c r="AG43" s="5"/>
    </row>
    <row r="44" spans="1:33" ht="21.95" customHeight="1" x14ac:dyDescent="0.35">
      <c r="A44" s="32">
        <f>SUBTOTAL(3,C$3:$C44)</f>
        <v>42</v>
      </c>
      <c r="B44" s="30" t="s">
        <v>118</v>
      </c>
      <c r="C44" s="33" t="s">
        <v>73</v>
      </c>
      <c r="D44" s="50">
        <v>46201101102</v>
      </c>
      <c r="E44" s="51" t="s">
        <v>26</v>
      </c>
      <c r="F44" s="52">
        <v>40179</v>
      </c>
      <c r="G44" s="51">
        <v>35201</v>
      </c>
      <c r="H44" s="51">
        <v>5032</v>
      </c>
      <c r="I44" s="51">
        <v>252</v>
      </c>
      <c r="J44" s="51"/>
      <c r="K44" s="51">
        <f t="shared" si="1"/>
        <v>40485</v>
      </c>
      <c r="L44" s="52">
        <v>44601</v>
      </c>
      <c r="M44" s="52" t="s">
        <v>63</v>
      </c>
      <c r="N44" s="51" t="s">
        <v>24</v>
      </c>
      <c r="O44" s="51">
        <v>0</v>
      </c>
      <c r="P44" s="53">
        <v>21</v>
      </c>
      <c r="Q44" s="54">
        <f>IF(F44&gt;0,DATEDIF($F44,Employee!$U$1,"Y")*12*30+DATEDIF($F44,Employee!$U$1,"YM")*30+DATEDIF($F44,Employee!$U$1,"MD")+1,0)</f>
        <v>4440</v>
      </c>
      <c r="R44" s="51">
        <f>IF(F44&gt;0,IF(M44=$AG$23,0,IF($M44=$AF$23,DATEDIF($F44,Employee!$U$1,"D")-(DATEDIF($F44,Employee!$U$1,"D")*5/365)+1,DATEDIF($M44,Employee!$U$1,"D")-(DATEDIF($M44,Employee!$U$1,"D")*5/365)+1)),0)</f>
        <v>0</v>
      </c>
      <c r="S44" s="51">
        <f>IF($Q44&lt;=1800,($Q44/360*$K44)*0.5,($Q44-1800)/360*$K44+1800/360*$K44*0.5)</f>
        <v>398102.5</v>
      </c>
      <c r="T44" s="51">
        <f>IF($P44=21,0.0583333333333333*$R44*$K44/30,0.0833333333333333*$R44*$K44/30)</f>
        <v>0</v>
      </c>
      <c r="U44" s="55">
        <f>IFERROR(IF($R44&gt;=360,IF(O44&gt;4,IF($N44=$AH$23,VLOOKUP($E44,$AF$4:$AG$22,2,0)*4,VLOOKUP($E44,$AF$4:$AG$22,2,0)),IF($N44=$AH$23,VLOOKUP($E44,$AF$4:$AG$22,2,0)*O44,VLOOKUP($E44,$AF$4:$AG$22,2,0))),(IF(O44&gt;4,IF($N44=$AH$23,VLOOKUP($E44,$AF$4:$AG$22,2,0)*4,VLOOKUP($E44,$AF$4:$AG$22,2,0)),IF($N44=$AH$23,VLOOKUP($E44,$AF$4:$AG$22,2,0)*O44,VLOOKUP($E44,$AF$4:$AG$22,2,0))))/360*$R44),0)</f>
        <v>0</v>
      </c>
      <c r="V44" s="56">
        <f>IF(F44&gt;0,DATEDIF($F44,Employee!$Z$1,"Y")*12*30+DATEDIF($F44,Employee!$Z$1,"YM")*30+DATEDIF($F44,Employee!$Z$1,"MD")+1,0)</f>
        <v>4471</v>
      </c>
      <c r="W44" s="51">
        <f>IF(F44&gt;0,IF(M44=$AG$23,0,IF($M44=$AF$23,DATEDIF($F44,Employee!$Z$1,"D")-(DATEDIF($F44,Employee!$Z$1,"D")*5/365)+1,DATEDIF($M44,Employee!$Z$1,"D")-(DATEDIF($M44,Employee!$Z$1,"D")*5/365)+1)),0)</f>
        <v>0</v>
      </c>
      <c r="X44" s="51">
        <f>IF($V44&lt;=1800,($V44/360*$K44)*0.5,($V44-1800)/360*$K44+1800/360*$K44*0.5)</f>
        <v>401588.70833333331</v>
      </c>
      <c r="Y44" s="51">
        <f>IF($P44=21,0.0583333333333333*$W44*$K44/30,0.0833333333333333*$W44*$K44/30)</f>
        <v>0</v>
      </c>
      <c r="Z44" s="51">
        <f>IFERROR(IF($W44&gt;=360,IF(O44&gt;4,IF($N44=$AH$23,VLOOKUP($E44,$AF$4:$AG$22,2,0)*4,VLOOKUP($E44,$AF$4:$AG$22,2,0)),IF($N44=$AH$23,VLOOKUP($E44,$AF$4:$AG$22,2,0)*O44,VLOOKUP($E44,$AF$4:$AG$22,2,0))),(IF(O44&gt;4,IF($N44=$AH$23,VLOOKUP($E44,$AF$4:$AG$22,2,0)*4,VLOOKUP($E44,$AF$4:$AG$22,2,0)),IF($N44=$AH$23,VLOOKUP($E44,$AF$4:$AG$22,2,0)*O44,VLOOKUP($E44,$AF$4:$AG$22,2,0))))/360*$W44),0)</f>
        <v>0</v>
      </c>
      <c r="AA44" s="57">
        <f>Table1[[#This Row],[نهاية الخدمة2]]-Table1[[#This Row],[نهاية الخدمة]]</f>
        <v>3486.2083333333139</v>
      </c>
      <c r="AB44" s="57">
        <f>Table1[[#This Row],[رصيد اجازات2]]-Table1[[#This Row],[رصيد اجازات]]</f>
        <v>0</v>
      </c>
      <c r="AC44" s="58">
        <f>Table1[[#This Row],[تذاكر سفر2]]-Table1[[#This Row],[تذاكر سفر]]</f>
        <v>0</v>
      </c>
      <c r="AD44" s="5"/>
      <c r="AE44" s="5"/>
      <c r="AF44" s="5"/>
      <c r="AG44" s="5"/>
    </row>
    <row r="45" spans="1:33" ht="21.95" customHeight="1" x14ac:dyDescent="0.35">
      <c r="A45" s="32">
        <f>SUBTOTAL(3,C$3:$C45)</f>
        <v>43</v>
      </c>
      <c r="B45" s="30" t="s">
        <v>119</v>
      </c>
      <c r="C45" s="33" t="s">
        <v>74</v>
      </c>
      <c r="D45" s="45">
        <v>47301101102</v>
      </c>
      <c r="E45" s="46" t="s">
        <v>31</v>
      </c>
      <c r="F45" s="47">
        <v>40179</v>
      </c>
      <c r="G45" s="46">
        <v>5026</v>
      </c>
      <c r="H45" s="46">
        <v>1001</v>
      </c>
      <c r="I45" s="46">
        <v>500</v>
      </c>
      <c r="J45" s="46">
        <v>100</v>
      </c>
      <c r="K45" s="46">
        <f t="shared" si="1"/>
        <v>6627</v>
      </c>
      <c r="L45" s="47">
        <v>44156</v>
      </c>
      <c r="M45" s="47">
        <v>44251</v>
      </c>
      <c r="N45" s="46" t="s">
        <v>24</v>
      </c>
      <c r="O45" s="46">
        <v>0</v>
      </c>
      <c r="P45" s="48">
        <v>21</v>
      </c>
      <c r="Q45" s="46">
        <f>IF(F45&gt;0,DATEDIF($F45,Employee!$U$1,"Y")*12*30+DATEDIF($F45,Employee!$U$1,"YM")*30+DATEDIF($F45,Employee!$U$1,"MD")+1,0)</f>
        <v>4440</v>
      </c>
      <c r="R45" s="46">
        <f>IF(F45&gt;0,IF(M45=$AG$23,0,IF($M45=$AF$23,DATEDIF($F45,Employee!$U$1,"D")-(DATEDIF($F45,Employee!$U$1,"D")*5/365)+1,DATEDIF($M45,Employee!$U$1,"D")-(DATEDIF($M45,Employee!$U$1,"D")*5/365)+1)),0)</f>
        <v>425.10958904109589</v>
      </c>
      <c r="S45" s="46">
        <f>IF($Q45&lt;=1800,($Q45/360*$K45)*0.5,($Q45-1800)/360*$K45+1800/360*$K45*0.5)</f>
        <v>65165.5</v>
      </c>
      <c r="T45" s="46">
        <f>IF($P45=21,0.0583333333333333*$R45*$K45/30,0.0833333333333333*$R45*$K45/30)</f>
        <v>5477.8913127853857</v>
      </c>
      <c r="U45" s="46">
        <f>IFERROR(IF($R45&gt;=360,IF(O45&gt;4,IF($N45=$AH$23,VLOOKUP($E45,$AF$4:$AG$22,2,0)*4,VLOOKUP($E45,$AF$4:$AG$22,2,0)),IF($N45=$AH$23,VLOOKUP($E45,$AF$4:$AG$22,2,0)*O45,VLOOKUP($E45,$AF$4:$AG$22,2,0))),(IF(O45&gt;4,IF($N45=$AH$23,VLOOKUP($E45,$AF$4:$AG$22,2,0)*4,VLOOKUP($E45,$AF$4:$AG$22,2,0)),IF($N45=$AH$23,VLOOKUP($E45,$AF$4:$AG$22,2,0)*O45,VLOOKUP($E45,$AF$4:$AG$22,2,0))))/360*$R45),0)</f>
        <v>2000</v>
      </c>
      <c r="V45" s="46">
        <f>IF(F45&gt;0,DATEDIF($F45,Employee!$Z$1,"Y")*12*30+DATEDIF($F45,Employee!$Z$1,"YM")*30+DATEDIF($F45,Employee!$Z$1,"MD")+1,0)</f>
        <v>4471</v>
      </c>
      <c r="W45" s="46">
        <f>IF(F45&gt;0,IF(M45=$AG$23,0,IF($M45=$AF$23,DATEDIF($F45,Employee!$Z$1,"D")-(DATEDIF($F45,Employee!$Z$1,"D")*5/365)+1,DATEDIF($M45,Employee!$Z$1,"D")-(DATEDIF($M45,Employee!$Z$1,"D")*5/365)+1)),0)</f>
        <v>455.6849315068493</v>
      </c>
      <c r="X45" s="46">
        <f>IF($V45&lt;=1800,($V45/360*$K45)*0.5,($V45-1800)/360*$K45+1800/360*$K45*0.5)</f>
        <v>65736.158333333326</v>
      </c>
      <c r="Y45" s="46">
        <f>IF($P45=21,0.0583333333333333*$W45*$K45/30,0.0833333333333333*$W45*$K45/30)</f>
        <v>5871.880079908673</v>
      </c>
      <c r="Z45" s="46">
        <f>IFERROR(IF($W45&gt;=360,IF(O45&gt;4,IF($N45=$AH$23,VLOOKUP($E45,$AF$4:$AG$22,2,0)*4,VLOOKUP($E45,$AF$4:$AG$22,2,0)),IF($N45=$AH$23,VLOOKUP($E45,$AF$4:$AG$22,2,0)*O45,VLOOKUP($E45,$AF$4:$AG$22,2,0))),(IF(O45&gt;4,IF($N45=$AH$23,VLOOKUP($E45,$AF$4:$AG$22,2,0)*4,VLOOKUP($E45,$AF$4:$AG$22,2,0)),IF($N45=$AH$23,VLOOKUP($E45,$AF$4:$AG$22,2,0)*O45,VLOOKUP($E45,$AF$4:$AG$22,2,0))))/360*$W45),0)</f>
        <v>2000</v>
      </c>
      <c r="AA45" s="49">
        <f>Table1[[#This Row],[نهاية الخدمة2]]-Table1[[#This Row],[نهاية الخدمة]]</f>
        <v>570.65833333332557</v>
      </c>
      <c r="AB45" s="49">
        <f>Table1[[#This Row],[رصيد اجازات2]]-Table1[[#This Row],[رصيد اجازات]]</f>
        <v>393.98876712328729</v>
      </c>
      <c r="AC45" s="49">
        <f>Table1[[#This Row],[تذاكر سفر2]]-Table1[[#This Row],[تذاكر سفر]]</f>
        <v>0</v>
      </c>
      <c r="AD45" s="5"/>
      <c r="AE45" s="5"/>
      <c r="AF45" s="5"/>
      <c r="AG45" s="5"/>
    </row>
    <row r="46" spans="1:33" ht="21.95" customHeight="1" x14ac:dyDescent="0.35">
      <c r="A46" s="32">
        <f>SUBTOTAL(3,C$3:$C46)</f>
        <v>44</v>
      </c>
      <c r="B46" s="30" t="s">
        <v>120</v>
      </c>
      <c r="C46" s="34" t="s">
        <v>75</v>
      </c>
      <c r="D46" s="50">
        <v>48401101102</v>
      </c>
      <c r="E46" s="51" t="s">
        <v>40</v>
      </c>
      <c r="F46" s="52">
        <v>40179</v>
      </c>
      <c r="G46" s="51">
        <v>35201</v>
      </c>
      <c r="H46" s="51">
        <v>5032</v>
      </c>
      <c r="I46" s="51">
        <v>252</v>
      </c>
      <c r="J46" s="51">
        <v>0</v>
      </c>
      <c r="K46" s="51">
        <f t="shared" si="1"/>
        <v>40485</v>
      </c>
      <c r="L46" s="52" t="s">
        <v>21</v>
      </c>
      <c r="M46" s="52" t="s">
        <v>21</v>
      </c>
      <c r="N46" s="51" t="s">
        <v>22</v>
      </c>
      <c r="O46" s="51">
        <v>2</v>
      </c>
      <c r="P46" s="53">
        <v>21</v>
      </c>
      <c r="Q46" s="54">
        <f>IF(F46&gt;0,DATEDIF($F46,Employee!$U$1,"Y")*12*30+DATEDIF($F46,Employee!$U$1,"YM")*30+DATEDIF($F46,Employee!$U$1,"MD")+1,0)</f>
        <v>4440</v>
      </c>
      <c r="R46" s="51">
        <f>IF(F46&gt;0,IF(M46=$AG$23,0,IF($M46=$AF$23,DATEDIF($F46,Employee!$U$1,"D")-(DATEDIF($F46,Employee!$U$1,"D")*5/365)+1,DATEDIF($M46,Employee!$U$1,"D")-(DATEDIF($M46,Employee!$U$1,"D")*5/365)+1)),0)</f>
        <v>4441.3287671232874</v>
      </c>
      <c r="S46" s="51">
        <f>IF($Q46&lt;=1800,($Q46/360*$K46)*0.5,($Q46-1800)/360*$K46+1800/360*$K46*0.5)</f>
        <v>398102.5</v>
      </c>
      <c r="T46" s="51">
        <f>IF($P46=21,0.0583333333333333*$R46*$K46/30,0.0833333333333333*$R46*$K46/30)</f>
        <v>349625.10165525094</v>
      </c>
      <c r="U46" s="55">
        <f>IFERROR(IF($R46&gt;=360,IF(O46&gt;4,IF($N46=$AH$23,VLOOKUP($E46,$AF$4:$AG$22,2,0)*4,VLOOKUP($E46,$AF$4:$AG$22,2,0)),IF($N46=$AH$23,VLOOKUP($E46,$AF$4:$AG$22,2,0)*O46,VLOOKUP($E46,$AF$4:$AG$22,2,0))),(IF(O46&gt;4,IF($N46=$AH$23,VLOOKUP($E46,$AF$4:$AG$22,2,0)*4,VLOOKUP($E46,$AF$4:$AG$22,2,0)),IF($N46=$AH$23,VLOOKUP($E46,$AF$4:$AG$22,2,0)*O46,VLOOKUP($E46,$AF$4:$AG$22,2,0))))/360*$R46),0)</f>
        <v>2000</v>
      </c>
      <c r="V46" s="56">
        <f>IF(F46&gt;0,DATEDIF($F46,Employee!$Z$1,"Y")*12*30+DATEDIF($F46,Employee!$Z$1,"YM")*30+DATEDIF($F46,Employee!$Z$1,"MD")+1,0)</f>
        <v>4471</v>
      </c>
      <c r="W46" s="51">
        <f>IF(F46&gt;0,IF(M46=$AG$23,0,IF($M46=$AF$23,DATEDIF($F46,Employee!$Z$1,"D")-(DATEDIF($F46,Employee!$Z$1,"D")*5/365)+1,DATEDIF($M46,Employee!$Z$1,"D")-(DATEDIF($M46,Employee!$Z$1,"D")*5/365)+1)),0)</f>
        <v>4471.9041095890407</v>
      </c>
      <c r="X46" s="51">
        <f>IF($V46&lt;=1800,($V46/360*$K46)*0.5,($V46-1800)/360*$K46+1800/360*$K46*0.5)</f>
        <v>401588.70833333331</v>
      </c>
      <c r="Y46" s="51">
        <f>IF($P46=21,0.0583333333333333*$W46*$K46/30,0.0833333333333333*$W46*$K46/30)</f>
        <v>352032.01809360704</v>
      </c>
      <c r="Z46" s="51">
        <f>IFERROR(IF($W46&gt;=360,IF(O46&gt;4,IF($N46=$AH$23,VLOOKUP($E46,$AF$4:$AG$22,2,0)*4,VLOOKUP($E46,$AF$4:$AG$22,2,0)),IF($N46=$AH$23,VLOOKUP($E46,$AF$4:$AG$22,2,0)*O46,VLOOKUP($E46,$AF$4:$AG$22,2,0))),(IF(O46&gt;4,IF($N46=$AH$23,VLOOKUP($E46,$AF$4:$AG$22,2,0)*4,VLOOKUP($E46,$AF$4:$AG$22,2,0)),IF($N46=$AH$23,VLOOKUP($E46,$AF$4:$AG$22,2,0)*O46,VLOOKUP($E46,$AF$4:$AG$22,2,0))))/360*$W46),0)</f>
        <v>2000</v>
      </c>
      <c r="AA46" s="57">
        <f>Table1[[#This Row],[نهاية الخدمة2]]-Table1[[#This Row],[نهاية الخدمة]]</f>
        <v>3486.2083333333139</v>
      </c>
      <c r="AB46" s="57">
        <f>Table1[[#This Row],[رصيد اجازات2]]-Table1[[#This Row],[رصيد اجازات]]</f>
        <v>2406.9164383561001</v>
      </c>
      <c r="AC46" s="58">
        <f>Table1[[#This Row],[تذاكر سفر2]]-Table1[[#This Row],[تذاكر سفر]]</f>
        <v>0</v>
      </c>
      <c r="AD46" s="5"/>
      <c r="AE46" s="5"/>
      <c r="AF46" s="5"/>
      <c r="AG46" s="5"/>
    </row>
    <row r="47" spans="1:33" ht="21.95" customHeight="1" x14ac:dyDescent="0.35">
      <c r="A47" s="32">
        <f>SUBTOTAL(3,C$3:$C47)</f>
        <v>45</v>
      </c>
      <c r="B47" s="30" t="s">
        <v>121</v>
      </c>
      <c r="C47" s="33" t="s">
        <v>76</v>
      </c>
      <c r="D47" s="45">
        <v>49501101102</v>
      </c>
      <c r="E47" s="46" t="s">
        <v>31</v>
      </c>
      <c r="F47" s="47">
        <v>40179</v>
      </c>
      <c r="G47" s="46">
        <v>5026</v>
      </c>
      <c r="H47" s="46">
        <v>1001</v>
      </c>
      <c r="I47" s="46">
        <v>500</v>
      </c>
      <c r="J47" s="46">
        <v>0</v>
      </c>
      <c r="K47" s="46">
        <f t="shared" si="1"/>
        <v>6527</v>
      </c>
      <c r="L47" s="47">
        <v>43800</v>
      </c>
      <c r="M47" s="47">
        <v>43862</v>
      </c>
      <c r="N47" s="46" t="s">
        <v>24</v>
      </c>
      <c r="O47" s="46">
        <v>0</v>
      </c>
      <c r="P47" s="48">
        <v>21</v>
      </c>
      <c r="Q47" s="46">
        <f>IF(F47&gt;0,DATEDIF($F47,Employee!$U$1,"Y")*12*30+DATEDIF($F47,Employee!$U$1,"YM")*30+DATEDIF($F47,Employee!$U$1,"MD")+1,0)</f>
        <v>4440</v>
      </c>
      <c r="R47" s="46">
        <f>IF(F47&gt;0,IF(M47=$AG$23,0,IF($M47=$AF$23,DATEDIF($F47,Employee!$U$1,"D")-(DATEDIF($F47,Employee!$U$1,"D")*5/365)+1,DATEDIF($M47,Employee!$U$1,"D")-(DATEDIF($M47,Employee!$U$1,"D")*5/365)+1)),0)</f>
        <v>808.78082191780823</v>
      </c>
      <c r="S47" s="46">
        <f>IF($Q47&lt;=1800,($Q47/360*$K47)*0.5,($Q47-1800)/360*$K47+1800/360*$K47*0.5)</f>
        <v>64182.166666666664</v>
      </c>
      <c r="T47" s="46">
        <f>IF($P47=21,0.0583333333333333*$R47*$K47/30,0.0833333333333333*$R47*$K47/30)</f>
        <v>10264.55193683409</v>
      </c>
      <c r="U47" s="46">
        <f>IFERROR(IF($R47&gt;=360,IF(O47&gt;4,IF($N47=$AH$23,VLOOKUP($E47,$AF$4:$AG$22,2,0)*4,VLOOKUP($E47,$AF$4:$AG$22,2,0)),IF($N47=$AH$23,VLOOKUP($E47,$AF$4:$AG$22,2,0)*O47,VLOOKUP($E47,$AF$4:$AG$22,2,0))),(IF(O47&gt;4,IF($N47=$AH$23,VLOOKUP($E47,$AF$4:$AG$22,2,0)*4,VLOOKUP($E47,$AF$4:$AG$22,2,0)),IF($N47=$AH$23,VLOOKUP($E47,$AF$4:$AG$22,2,0)*O47,VLOOKUP($E47,$AF$4:$AG$22,2,0))))/360*$R47),0)</f>
        <v>2000</v>
      </c>
      <c r="V47" s="46">
        <f>IF(F47&gt;0,DATEDIF($F47,Employee!$Z$1,"Y")*12*30+DATEDIF($F47,Employee!$Z$1,"YM")*30+DATEDIF($F47,Employee!$Z$1,"MD")+1,0)</f>
        <v>4471</v>
      </c>
      <c r="W47" s="46">
        <f>IF(F47&gt;0,IF(M47=$AG$23,0,IF($M47=$AF$23,DATEDIF($F47,Employee!$Z$1,"D")-(DATEDIF($F47,Employee!$Z$1,"D")*5/365)+1,DATEDIF($M47,Employee!$Z$1,"D")-(DATEDIF($M47,Employee!$Z$1,"D")*5/365)+1)),0)</f>
        <v>839.35616438356169</v>
      </c>
      <c r="X47" s="46">
        <f>IF($V47&lt;=1800,($V47/360*$K47)*0.5,($V47-1800)/360*$K47+1800/360*$K47*0.5)</f>
        <v>64744.213888888888</v>
      </c>
      <c r="Y47" s="46">
        <f>IF($P47=21,0.0583333333333333*$W47*$K47/30,0.0833333333333333*$W47*$K47/30)</f>
        <v>10652.595498477924</v>
      </c>
      <c r="Z47" s="46">
        <f>IFERROR(IF($W47&gt;=360,IF(O47&gt;4,IF($N47=$AH$23,VLOOKUP($E47,$AF$4:$AG$22,2,0)*4,VLOOKUP($E47,$AF$4:$AG$22,2,0)),IF($N47=$AH$23,VLOOKUP($E47,$AF$4:$AG$22,2,0)*O47,VLOOKUP($E47,$AF$4:$AG$22,2,0))),(IF(O47&gt;4,IF($N47=$AH$23,VLOOKUP($E47,$AF$4:$AG$22,2,0)*4,VLOOKUP($E47,$AF$4:$AG$22,2,0)),IF($N47=$AH$23,VLOOKUP($E47,$AF$4:$AG$22,2,0)*O47,VLOOKUP($E47,$AF$4:$AG$22,2,0))))/360*$W47),0)</f>
        <v>2000</v>
      </c>
      <c r="AA47" s="49">
        <f>Table1[[#This Row],[نهاية الخدمة2]]-Table1[[#This Row],[نهاية الخدمة]]</f>
        <v>562.04722222222335</v>
      </c>
      <c r="AB47" s="49">
        <f>Table1[[#This Row],[رصيد اجازات2]]-Table1[[#This Row],[رصيد اجازات]]</f>
        <v>388.04356164383353</v>
      </c>
      <c r="AC47" s="49">
        <f>Table1[[#This Row],[تذاكر سفر2]]-Table1[[#This Row],[تذاكر سفر]]</f>
        <v>0</v>
      </c>
      <c r="AD47" s="5"/>
      <c r="AE47" s="5"/>
      <c r="AF47" s="5"/>
      <c r="AG47" s="5"/>
    </row>
    <row r="48" spans="1:33" ht="21.95" customHeight="1" x14ac:dyDescent="0.35">
      <c r="A48" s="32">
        <f>SUBTOTAL(3,C$3:$C48)</f>
        <v>46</v>
      </c>
      <c r="B48" s="30" t="s">
        <v>122</v>
      </c>
      <c r="C48" s="31" t="s">
        <v>72</v>
      </c>
      <c r="D48" s="50">
        <v>50601101102</v>
      </c>
      <c r="E48" s="51" t="s">
        <v>30</v>
      </c>
      <c r="F48" s="52">
        <v>40179</v>
      </c>
      <c r="G48" s="51">
        <v>35201</v>
      </c>
      <c r="H48" s="51">
        <v>5032</v>
      </c>
      <c r="I48" s="51">
        <v>252</v>
      </c>
      <c r="J48" s="51">
        <v>0</v>
      </c>
      <c r="K48" s="51">
        <f t="shared" si="1"/>
        <v>40485</v>
      </c>
      <c r="L48" s="52" t="s">
        <v>21</v>
      </c>
      <c r="M48" s="52" t="s">
        <v>21</v>
      </c>
      <c r="N48" s="51" t="s">
        <v>24</v>
      </c>
      <c r="O48" s="51">
        <v>0</v>
      </c>
      <c r="P48" s="53">
        <v>21</v>
      </c>
      <c r="Q48" s="54">
        <f>IF(F48&gt;0,DATEDIF($F48,Employee!$U$1,"Y")*12*30+DATEDIF($F48,Employee!$U$1,"YM")*30+DATEDIF($F48,Employee!$U$1,"MD")+1,0)</f>
        <v>4440</v>
      </c>
      <c r="R48" s="51">
        <f>IF(F48&gt;0,IF(M48=$AG$23,0,IF($M48=$AF$23,DATEDIF($F48,Employee!$U$1,"D")-(DATEDIF($F48,Employee!$U$1,"D")*5/365)+1,DATEDIF($M48,Employee!$U$1,"D")-(DATEDIF($M48,Employee!$U$1,"D")*5/365)+1)),0)</f>
        <v>4441.3287671232874</v>
      </c>
      <c r="S48" s="51">
        <f>IF($Q48&lt;=1800,($Q48/360*$K48)*0.5,($Q48-1800)/360*$K48+1800/360*$K48*0.5)</f>
        <v>398102.5</v>
      </c>
      <c r="T48" s="51">
        <f>IF($P48=21,0.0583333333333333*$R48*$K48/30,0.0833333333333333*$R48*$K48/30)</f>
        <v>349625.10165525094</v>
      </c>
      <c r="U48" s="55">
        <f>IFERROR(IF($R48&gt;=360,IF(O48&gt;4,IF($N48=$AH$23,VLOOKUP($E48,$AF$4:$AG$22,2,0)*4,VLOOKUP($E48,$AF$4:$AG$22,2,0)),IF($N48=$AH$23,VLOOKUP($E48,$AF$4:$AG$22,2,0)*O48,VLOOKUP($E48,$AF$4:$AG$22,2,0))),(IF(O48&gt;4,IF($N48=$AH$23,VLOOKUP($E48,$AF$4:$AG$22,2,0)*4,VLOOKUP($E48,$AF$4:$AG$22,2,0)),IF($N48=$AH$23,VLOOKUP($E48,$AF$4:$AG$22,2,0)*O48,VLOOKUP($E48,$AF$4:$AG$22,2,0))))/360*$R48),0)</f>
        <v>0</v>
      </c>
      <c r="V48" s="56">
        <f>IF(F48&gt;0,DATEDIF($F48,Employee!$Z$1,"Y")*12*30+DATEDIF($F48,Employee!$Z$1,"YM")*30+DATEDIF($F48,Employee!$Z$1,"MD")+1,0)</f>
        <v>4471</v>
      </c>
      <c r="W48" s="51">
        <f>IF(F48&gt;0,IF(M48=$AG$23,0,IF($M48=$AF$23,DATEDIF($F48,Employee!$Z$1,"D")-(DATEDIF($F48,Employee!$Z$1,"D")*5/365)+1,DATEDIF($M48,Employee!$Z$1,"D")-(DATEDIF($M48,Employee!$Z$1,"D")*5/365)+1)),0)</f>
        <v>4471.9041095890407</v>
      </c>
      <c r="X48" s="51">
        <f>IF($V48&lt;=1800,($V48/360*$K48)*0.5,($V48-1800)/360*$K48+1800/360*$K48*0.5)</f>
        <v>401588.70833333331</v>
      </c>
      <c r="Y48" s="51">
        <f>IF($P48=21,0.0583333333333333*$W48*$K48/30,0.0833333333333333*$W48*$K48/30)</f>
        <v>352032.01809360704</v>
      </c>
      <c r="Z48" s="51">
        <f>IFERROR(IF($W48&gt;=360,IF(O48&gt;4,IF($N48=$AH$23,VLOOKUP($E48,$AF$4:$AG$22,2,0)*4,VLOOKUP($E48,$AF$4:$AG$22,2,0)),IF($N48=$AH$23,VLOOKUP($E48,$AF$4:$AG$22,2,0)*O48,VLOOKUP($E48,$AF$4:$AG$22,2,0))),(IF(O48&gt;4,IF($N48=$AH$23,VLOOKUP($E48,$AF$4:$AG$22,2,0)*4,VLOOKUP($E48,$AF$4:$AG$22,2,0)),IF($N48=$AH$23,VLOOKUP($E48,$AF$4:$AG$22,2,0)*O48,VLOOKUP($E48,$AF$4:$AG$22,2,0))))/360*$W48),0)</f>
        <v>0</v>
      </c>
      <c r="AA48" s="57">
        <f>Table1[[#This Row],[نهاية الخدمة2]]-Table1[[#This Row],[نهاية الخدمة]]</f>
        <v>3486.2083333333139</v>
      </c>
      <c r="AB48" s="57">
        <f>Table1[[#This Row],[رصيد اجازات2]]-Table1[[#This Row],[رصيد اجازات]]</f>
        <v>2406.9164383561001</v>
      </c>
      <c r="AC48" s="58">
        <f>Table1[[#This Row],[تذاكر سفر2]]-Table1[[#This Row],[تذاكر سفر]]</f>
        <v>0</v>
      </c>
      <c r="AD48" s="5"/>
      <c r="AE48" s="5"/>
      <c r="AF48" s="5"/>
      <c r="AG48" s="5"/>
    </row>
    <row r="49" spans="1:33" ht="21.95" customHeight="1" x14ac:dyDescent="0.35">
      <c r="A49" s="32">
        <f>SUBTOTAL(3,C$3:$C49)</f>
        <v>47</v>
      </c>
      <c r="B49" s="30" t="s">
        <v>123</v>
      </c>
      <c r="C49" s="33" t="s">
        <v>73</v>
      </c>
      <c r="D49" s="45">
        <v>51701101102</v>
      </c>
      <c r="E49" s="46" t="s">
        <v>30</v>
      </c>
      <c r="F49" s="47">
        <v>40179</v>
      </c>
      <c r="G49" s="46">
        <v>5026</v>
      </c>
      <c r="H49" s="46">
        <v>1001</v>
      </c>
      <c r="I49" s="46">
        <v>500</v>
      </c>
      <c r="J49" s="46">
        <v>0</v>
      </c>
      <c r="K49" s="46">
        <f t="shared" si="1"/>
        <v>6527</v>
      </c>
      <c r="L49" s="47" t="s">
        <v>21</v>
      </c>
      <c r="M49" s="47" t="s">
        <v>21</v>
      </c>
      <c r="N49" s="46" t="s">
        <v>24</v>
      </c>
      <c r="O49" s="46">
        <v>0</v>
      </c>
      <c r="P49" s="48">
        <v>21</v>
      </c>
      <c r="Q49" s="46">
        <f>IF(F49&gt;0,DATEDIF($F49,Employee!$U$1,"Y")*12*30+DATEDIF($F49,Employee!$U$1,"YM")*30+DATEDIF($F49,Employee!$U$1,"MD")+1,0)</f>
        <v>4440</v>
      </c>
      <c r="R49" s="46">
        <f>IF(F49&gt;0,IF(M49=$AG$23,0,IF($M49=$AF$23,DATEDIF($F49,Employee!$U$1,"D")-(DATEDIF($F49,Employee!$U$1,"D")*5/365)+1,DATEDIF($M49,Employee!$U$1,"D")-(DATEDIF($M49,Employee!$U$1,"D")*5/365)+1)),0)</f>
        <v>4441.3287671232874</v>
      </c>
      <c r="S49" s="46">
        <f>IF($Q49&lt;=1800,($Q49/360*$K49)*0.5,($Q49-1800)/360*$K49+1800/360*$K49*0.5)</f>
        <v>64182.166666666664</v>
      </c>
      <c r="T49" s="46">
        <f>IF($P49=21,0.0583333333333333*$R49*$K49/30,0.0833333333333333*$R49*$K49/30)</f>
        <v>56366.630566971042</v>
      </c>
      <c r="U49" s="46">
        <f>IFERROR(IF($R49&gt;=360,IF(O49&gt;4,IF($N49=$AH$23,VLOOKUP($E49,$AF$4:$AG$22,2,0)*4,VLOOKUP($E49,$AF$4:$AG$22,2,0)),IF($N49=$AH$23,VLOOKUP($E49,$AF$4:$AG$22,2,0)*O49,VLOOKUP($E49,$AF$4:$AG$22,2,0))),(IF(O49&gt;4,IF($N49=$AH$23,VLOOKUP($E49,$AF$4:$AG$22,2,0)*4,VLOOKUP($E49,$AF$4:$AG$22,2,0)),IF($N49=$AH$23,VLOOKUP($E49,$AF$4:$AG$22,2,0)*O49,VLOOKUP($E49,$AF$4:$AG$22,2,0))))/360*$R49),0)</f>
        <v>0</v>
      </c>
      <c r="V49" s="46">
        <f>IF(F49&gt;0,DATEDIF($F49,Employee!$Z$1,"Y")*12*30+DATEDIF($F49,Employee!$Z$1,"YM")*30+DATEDIF($F49,Employee!$Z$1,"MD")+1,0)</f>
        <v>4471</v>
      </c>
      <c r="W49" s="46">
        <f>IF(F49&gt;0,IF(M49=$AG$23,0,IF($M49=$AF$23,DATEDIF($F49,Employee!$Z$1,"D")-(DATEDIF($F49,Employee!$Z$1,"D")*5/365)+1,DATEDIF($M49,Employee!$Z$1,"D")-(DATEDIF($M49,Employee!$Z$1,"D")*5/365)+1)),0)</f>
        <v>4471.9041095890407</v>
      </c>
      <c r="X49" s="46">
        <f>IF($V49&lt;=1800,($V49/360*$K49)*0.5,($V49-1800)/360*$K49+1800/360*$K49*0.5)</f>
        <v>64744.213888888888</v>
      </c>
      <c r="Y49" s="46">
        <f>IF($P49=21,0.0583333333333333*$W49*$K49/30,0.0833333333333333*$W49*$K49/30)</f>
        <v>56754.674128614868</v>
      </c>
      <c r="Z49" s="46">
        <f>IFERROR(IF($W49&gt;=360,IF(O49&gt;4,IF($N49=$AH$23,VLOOKUP($E49,$AF$4:$AG$22,2,0)*4,VLOOKUP($E49,$AF$4:$AG$22,2,0)),IF($N49=$AH$23,VLOOKUP($E49,$AF$4:$AG$22,2,0)*O49,VLOOKUP($E49,$AF$4:$AG$22,2,0))),(IF(O49&gt;4,IF($N49=$AH$23,VLOOKUP($E49,$AF$4:$AG$22,2,0)*4,VLOOKUP($E49,$AF$4:$AG$22,2,0)),IF($N49=$AH$23,VLOOKUP($E49,$AF$4:$AG$22,2,0)*O49,VLOOKUP($E49,$AF$4:$AG$22,2,0))))/360*$W49),0)</f>
        <v>0</v>
      </c>
      <c r="AA49" s="49">
        <f>Table1[[#This Row],[نهاية الخدمة2]]-Table1[[#This Row],[نهاية الخدمة]]</f>
        <v>562.04722222222335</v>
      </c>
      <c r="AB49" s="49">
        <f>Table1[[#This Row],[رصيد اجازات2]]-Table1[[#This Row],[رصيد اجازات]]</f>
        <v>388.04356164382625</v>
      </c>
      <c r="AC49" s="49">
        <f>Table1[[#This Row],[تذاكر سفر2]]-Table1[[#This Row],[تذاكر سفر]]</f>
        <v>0</v>
      </c>
      <c r="AD49" s="5"/>
      <c r="AE49" s="5"/>
      <c r="AF49" s="5"/>
      <c r="AG49" s="5"/>
    </row>
    <row r="50" spans="1:33" ht="21.95" customHeight="1" x14ac:dyDescent="0.35">
      <c r="A50" s="32">
        <f>SUBTOTAL(3,C$3:$C50)</f>
        <v>48</v>
      </c>
      <c r="B50" s="30" t="s">
        <v>124</v>
      </c>
      <c r="C50" s="33" t="s">
        <v>74</v>
      </c>
      <c r="D50" s="50">
        <v>52801101102</v>
      </c>
      <c r="E50" s="51" t="s">
        <v>26</v>
      </c>
      <c r="F50" s="52">
        <v>40179</v>
      </c>
      <c r="G50" s="51">
        <v>35201</v>
      </c>
      <c r="H50" s="51">
        <v>5032</v>
      </c>
      <c r="I50" s="51">
        <v>252</v>
      </c>
      <c r="J50" s="51">
        <v>0</v>
      </c>
      <c r="K50" s="51">
        <f t="shared" si="1"/>
        <v>40485</v>
      </c>
      <c r="L50" s="52" t="s">
        <v>21</v>
      </c>
      <c r="M50" s="52" t="s">
        <v>21</v>
      </c>
      <c r="N50" s="51" t="s">
        <v>24</v>
      </c>
      <c r="O50" s="51">
        <v>0</v>
      </c>
      <c r="P50" s="53">
        <v>21</v>
      </c>
      <c r="Q50" s="54">
        <f>IF(F50&gt;0,DATEDIF($F50,Employee!$U$1,"Y")*12*30+DATEDIF($F50,Employee!$U$1,"YM")*30+DATEDIF($F50,Employee!$U$1,"MD")+1,0)</f>
        <v>4440</v>
      </c>
      <c r="R50" s="51">
        <f>IF(F50&gt;0,IF(M50=$AG$23,0,IF($M50=$AF$23,DATEDIF($F50,Employee!$U$1,"D")-(DATEDIF($F50,Employee!$U$1,"D")*5/365)+1,DATEDIF($M50,Employee!$U$1,"D")-(DATEDIF($M50,Employee!$U$1,"D")*5/365)+1)),0)</f>
        <v>4441.3287671232874</v>
      </c>
      <c r="S50" s="51">
        <f>IF($Q50&lt;=1800,($Q50/360*$K50)*0.5,($Q50-1800)/360*$K50+1800/360*$K50*0.5)</f>
        <v>398102.5</v>
      </c>
      <c r="T50" s="51">
        <f>IF($P50=21,0.0583333333333333*$R50*$K50/30,0.0833333333333333*$R50*$K50/30)</f>
        <v>349625.10165525094</v>
      </c>
      <c r="U50" s="55">
        <f>IFERROR(IF($R50&gt;=360,IF(O50&gt;4,IF($N50=$AH$23,VLOOKUP($E50,$AF$4:$AG$22,2,0)*4,VLOOKUP($E50,$AF$4:$AG$22,2,0)),IF($N50=$AH$23,VLOOKUP($E50,$AF$4:$AG$22,2,0)*O50,VLOOKUP($E50,$AF$4:$AG$22,2,0))),(IF(O50&gt;4,IF($N50=$AH$23,VLOOKUP($E50,$AF$4:$AG$22,2,0)*4,VLOOKUP($E50,$AF$4:$AG$22,2,0)),IF($N50=$AH$23,VLOOKUP($E50,$AF$4:$AG$22,2,0)*O50,VLOOKUP($E50,$AF$4:$AG$22,2,0))))/360*$R50),0)</f>
        <v>1500</v>
      </c>
      <c r="V50" s="56">
        <f>IF(F50&gt;0,DATEDIF($F50,Employee!$Z$1,"Y")*12*30+DATEDIF($F50,Employee!$Z$1,"YM")*30+DATEDIF($F50,Employee!$Z$1,"MD")+1,0)</f>
        <v>4471</v>
      </c>
      <c r="W50" s="51">
        <f>IF(F50&gt;0,IF(M50=$AG$23,0,IF($M50=$AF$23,DATEDIF($F50,Employee!$Z$1,"D")-(DATEDIF($F50,Employee!$Z$1,"D")*5/365)+1,DATEDIF($M50,Employee!$Z$1,"D")-(DATEDIF($M50,Employee!$Z$1,"D")*5/365)+1)),0)</f>
        <v>4471.9041095890407</v>
      </c>
      <c r="X50" s="51">
        <f>IF($V50&lt;=1800,($V50/360*$K50)*0.5,($V50-1800)/360*$K50+1800/360*$K50*0.5)</f>
        <v>401588.70833333331</v>
      </c>
      <c r="Y50" s="51">
        <f>IF($P50=21,0.0583333333333333*$W50*$K50/30,0.0833333333333333*$W50*$K50/30)</f>
        <v>352032.01809360704</v>
      </c>
      <c r="Z50" s="51">
        <f>IFERROR(IF($W50&gt;=360,IF(O50&gt;4,IF($N50=$AH$23,VLOOKUP($E50,$AF$4:$AG$22,2,0)*4,VLOOKUP($E50,$AF$4:$AG$22,2,0)),IF($N50=$AH$23,VLOOKUP($E50,$AF$4:$AG$22,2,0)*O50,VLOOKUP($E50,$AF$4:$AG$22,2,0))),(IF(O50&gt;4,IF($N50=$AH$23,VLOOKUP($E50,$AF$4:$AG$22,2,0)*4,VLOOKUP($E50,$AF$4:$AG$22,2,0)),IF($N50=$AH$23,VLOOKUP($E50,$AF$4:$AG$22,2,0)*O50,VLOOKUP($E50,$AF$4:$AG$22,2,0))))/360*$W50),0)</f>
        <v>1500</v>
      </c>
      <c r="AA50" s="57">
        <f>Table1[[#This Row],[نهاية الخدمة2]]-Table1[[#This Row],[نهاية الخدمة]]</f>
        <v>3486.2083333333139</v>
      </c>
      <c r="AB50" s="57">
        <f>Table1[[#This Row],[رصيد اجازات2]]-Table1[[#This Row],[رصيد اجازات]]</f>
        <v>2406.9164383561001</v>
      </c>
      <c r="AC50" s="58">
        <f>Table1[[#This Row],[تذاكر سفر2]]-Table1[[#This Row],[تذاكر سفر]]</f>
        <v>0</v>
      </c>
      <c r="AD50" s="5"/>
      <c r="AE50" s="5"/>
      <c r="AF50" s="5"/>
      <c r="AG50" s="5"/>
    </row>
    <row r="51" spans="1:33" ht="21.95" customHeight="1" x14ac:dyDescent="0.35">
      <c r="A51" s="32">
        <f>SUBTOTAL(3,C$3:$C51)</f>
        <v>49</v>
      </c>
      <c r="B51" s="30" t="s">
        <v>125</v>
      </c>
      <c r="C51" s="34" t="s">
        <v>75</v>
      </c>
      <c r="D51" s="45">
        <v>53901101102</v>
      </c>
      <c r="E51" s="46" t="s">
        <v>27</v>
      </c>
      <c r="F51" s="47">
        <v>40179</v>
      </c>
      <c r="G51" s="46">
        <v>5026</v>
      </c>
      <c r="H51" s="46">
        <v>1001</v>
      </c>
      <c r="I51" s="46">
        <v>500</v>
      </c>
      <c r="J51" s="46">
        <v>0</v>
      </c>
      <c r="K51" s="46">
        <f t="shared" si="1"/>
        <v>6527</v>
      </c>
      <c r="L51" s="47">
        <v>44228</v>
      </c>
      <c r="M51" s="47">
        <v>44476</v>
      </c>
      <c r="N51" s="46" t="s">
        <v>24</v>
      </c>
      <c r="O51" s="46">
        <v>0</v>
      </c>
      <c r="P51" s="48">
        <v>21</v>
      </c>
      <c r="Q51" s="46">
        <f>IF(F51&gt;0,DATEDIF($F51,Employee!$U$1,"Y")*12*30+DATEDIF($F51,Employee!$U$1,"YM")*30+DATEDIF($F51,Employee!$U$1,"MD")+1,0)</f>
        <v>4440</v>
      </c>
      <c r="R51" s="46">
        <f>IF(F51&gt;0,IF(M51=$AG$23,0,IF($M51=$AF$23,DATEDIF($F51,Employee!$U$1,"D")-(DATEDIF($F51,Employee!$U$1,"D")*5/365)+1,DATEDIF($M51,Employee!$U$1,"D")-(DATEDIF($M51,Employee!$U$1,"D")*5/365)+1)),0)</f>
        <v>203.1917808219178</v>
      </c>
      <c r="S51" s="46">
        <f>IF($Q51&lt;=1800,($Q51/360*$K51)*0.5,($Q51-1800)/360*$K51+1800/360*$K51*0.5)</f>
        <v>64182.166666666664</v>
      </c>
      <c r="T51" s="46">
        <f>IF($P51=21,0.0583333333333333*$R51*$K51/30,0.0833333333333333*$R51*$K51/30)</f>
        <v>2578.7859094368328</v>
      </c>
      <c r="U51" s="46">
        <f>IFERROR(IF($R51&gt;=360,IF(O51&gt;4,IF($N51=$AH$23,VLOOKUP($E51,$AF$4:$AG$22,2,0)*4,VLOOKUP($E51,$AF$4:$AG$22,2,0)),IF($N51=$AH$23,VLOOKUP($E51,$AF$4:$AG$22,2,0)*O51,VLOOKUP($E51,$AF$4:$AG$22,2,0))),(IF(O51&gt;4,IF($N51=$AH$23,VLOOKUP($E51,$AF$4:$AG$22,2,0)*4,VLOOKUP($E51,$AF$4:$AG$22,2,0)),IF($N51=$AH$23,VLOOKUP($E51,$AF$4:$AG$22,2,0)*O51,VLOOKUP($E51,$AF$4:$AG$22,2,0))))/360*$R51),0)</f>
        <v>1128.8432267884323</v>
      </c>
      <c r="V51" s="46">
        <f>IF(F51&gt;0,DATEDIF($F51,Employee!$Z$1,"Y")*12*30+DATEDIF($F51,Employee!$Z$1,"YM")*30+DATEDIF($F51,Employee!$Z$1,"MD")+1,0)</f>
        <v>4471</v>
      </c>
      <c r="W51" s="46">
        <f>IF(F51&gt;0,IF(M51=$AG$23,0,IF($M51=$AF$23,DATEDIF($F51,Employee!$Z$1,"D")-(DATEDIF($F51,Employee!$Z$1,"D")*5/365)+1,DATEDIF($M51,Employee!$Z$1,"D")-(DATEDIF($M51,Employee!$Z$1,"D")*5/365)+1)),0)</f>
        <v>233.76712328767124</v>
      </c>
      <c r="X51" s="46">
        <f>IF($V51&lt;=1800,($V51/360*$K51)*0.5,($V51-1800)/360*$K51+1800/360*$K51*0.5)</f>
        <v>64744.213888888888</v>
      </c>
      <c r="Y51" s="46">
        <f>IF($P51=21,0.0583333333333333*$W51*$K51/30,0.0833333333333333*$W51*$K51/30)</f>
        <v>2966.8294710806676</v>
      </c>
      <c r="Z51" s="46">
        <f>IFERROR(IF($W51&gt;=360,IF(O51&gt;4,IF($N51=$AH$23,VLOOKUP($E51,$AF$4:$AG$22,2,0)*4,VLOOKUP($E51,$AF$4:$AG$22,2,0)),IF($N51=$AH$23,VLOOKUP($E51,$AF$4:$AG$22,2,0)*O51,VLOOKUP($E51,$AF$4:$AG$22,2,0))),(IF(O51&gt;4,IF($N51=$AH$23,VLOOKUP($E51,$AF$4:$AG$22,2,0)*4,VLOOKUP($E51,$AF$4:$AG$22,2,0)),IF($N51=$AH$23,VLOOKUP($E51,$AF$4:$AG$22,2,0)*O51,VLOOKUP($E51,$AF$4:$AG$22,2,0))))/360*$W51),0)</f>
        <v>1298.7062404870624</v>
      </c>
      <c r="AA51" s="49">
        <f>Table1[[#This Row],[نهاية الخدمة2]]-Table1[[#This Row],[نهاية الخدمة]]</f>
        <v>562.04722222222335</v>
      </c>
      <c r="AB51" s="49">
        <f>Table1[[#This Row],[رصيد اجازات2]]-Table1[[#This Row],[رصيد اجازات]]</f>
        <v>388.04356164383489</v>
      </c>
      <c r="AC51" s="49">
        <f>Table1[[#This Row],[تذاكر سفر2]]-Table1[[#This Row],[تذاكر سفر]]</f>
        <v>169.86301369863008</v>
      </c>
      <c r="AD51" s="5"/>
      <c r="AE51" s="5"/>
      <c r="AF51" s="5"/>
      <c r="AG51" s="1"/>
    </row>
    <row r="52" spans="1:33" ht="21.95" customHeight="1" x14ac:dyDescent="0.35">
      <c r="A52" s="32">
        <f>SUBTOTAL(3,C$3:$C52)</f>
        <v>50</v>
      </c>
      <c r="B52" s="30" t="s">
        <v>126</v>
      </c>
      <c r="C52" s="33" t="s">
        <v>76</v>
      </c>
      <c r="D52" s="50">
        <v>55001101102</v>
      </c>
      <c r="E52" s="51" t="s">
        <v>26</v>
      </c>
      <c r="F52" s="52">
        <v>40179</v>
      </c>
      <c r="G52" s="51">
        <v>35201</v>
      </c>
      <c r="H52" s="51">
        <v>5032</v>
      </c>
      <c r="I52" s="51">
        <v>252</v>
      </c>
      <c r="J52" s="51">
        <v>0</v>
      </c>
      <c r="K52" s="51">
        <f t="shared" si="1"/>
        <v>40485</v>
      </c>
      <c r="L52" s="52">
        <v>43678</v>
      </c>
      <c r="M52" s="52">
        <v>44127</v>
      </c>
      <c r="N52" s="51" t="s">
        <v>24</v>
      </c>
      <c r="O52" s="51">
        <v>0</v>
      </c>
      <c r="P52" s="53">
        <v>30</v>
      </c>
      <c r="Q52" s="54">
        <f>IF(F52&gt;0,DATEDIF($F52,Employee!$U$1,"Y")*12*30+DATEDIF($F52,Employee!$U$1,"YM")*30+DATEDIF($F52,Employee!$U$1,"MD")+1,0)</f>
        <v>4440</v>
      </c>
      <c r="R52" s="51">
        <f>IF(F52&gt;0,IF(M52=$AG$23,0,IF($M52=$AF$23,DATEDIF($F52,Employee!$U$1,"D")-(DATEDIF($F52,Employee!$U$1,"D")*5/365)+1,DATEDIF($M52,Employee!$U$1,"D")-(DATEDIF($M52,Employee!$U$1,"D")*5/365)+1)),0)</f>
        <v>547.41095890410963</v>
      </c>
      <c r="S52" s="51">
        <f>IF($Q52&lt;=1800,($Q52/360*$K52)*0.5,($Q52-1800)/360*$K52+1800/360*$K52*0.5)</f>
        <v>398102.5</v>
      </c>
      <c r="T52" s="51">
        <f>IF($P52=21,0.0583333333333333*$R52*$K52/30,0.0833333333333333*$R52*$K52/30)</f>
        <v>61560.924086757972</v>
      </c>
      <c r="U52" s="55">
        <f>IFERROR(IF($R52&gt;=360,IF(O52&gt;4,IF($N52=$AH$23,VLOOKUP($E52,$AF$4:$AG$22,2,0)*4,VLOOKUP($E52,$AF$4:$AG$22,2,0)),IF($N52=$AH$23,VLOOKUP($E52,$AF$4:$AG$22,2,0)*O52,VLOOKUP($E52,$AF$4:$AG$22,2,0))),(IF(O52&gt;4,IF($N52=$AH$23,VLOOKUP($E52,$AF$4:$AG$22,2,0)*4,VLOOKUP($E52,$AF$4:$AG$22,2,0)),IF($N52=$AH$23,VLOOKUP($E52,$AF$4:$AG$22,2,0)*O52,VLOOKUP($E52,$AF$4:$AG$22,2,0))))/360*$R52),0)</f>
        <v>1500</v>
      </c>
      <c r="V52" s="56">
        <f>IF(F52&gt;0,DATEDIF($F52,Employee!$Z$1,"Y")*12*30+DATEDIF($F52,Employee!$Z$1,"YM")*30+DATEDIF($F52,Employee!$Z$1,"MD")+1,0)</f>
        <v>4471</v>
      </c>
      <c r="W52" s="51">
        <f>IF(F52&gt;0,IF(M52=$AG$23,0,IF($M52=$AF$23,DATEDIF($F52,Employee!$Z$1,"D")-(DATEDIF($F52,Employee!$Z$1,"D")*5/365)+1,DATEDIF($M52,Employee!$Z$1,"D")-(DATEDIF($M52,Employee!$Z$1,"D")*5/365)+1)),0)</f>
        <v>577.98630136986299</v>
      </c>
      <c r="X52" s="51">
        <f>IF($V52&lt;=1800,($V52/360*$K52)*0.5,($V52-1800)/360*$K52+1800/360*$K52*0.5)</f>
        <v>401588.70833333331</v>
      </c>
      <c r="Y52" s="51">
        <f>IF($P52=21,0.0583333333333333*$W52*$K52/30,0.0833333333333333*$W52*$K52/30)</f>
        <v>64999.376141552479</v>
      </c>
      <c r="Z52" s="51">
        <f>IFERROR(IF($W52&gt;=360,IF(O52&gt;4,IF($N52=$AH$23,VLOOKUP($E52,$AF$4:$AG$22,2,0)*4,VLOOKUP($E52,$AF$4:$AG$22,2,0)),IF($N52=$AH$23,VLOOKUP($E52,$AF$4:$AG$22,2,0)*O52,VLOOKUP($E52,$AF$4:$AG$22,2,0))),(IF(O52&gt;4,IF($N52=$AH$23,VLOOKUP($E52,$AF$4:$AG$22,2,0)*4,VLOOKUP($E52,$AF$4:$AG$22,2,0)),IF($N52=$AH$23,VLOOKUP($E52,$AF$4:$AG$22,2,0)*O52,VLOOKUP($E52,$AF$4:$AG$22,2,0))))/360*$W52),0)</f>
        <v>1500</v>
      </c>
      <c r="AA52" s="57">
        <f>Table1[[#This Row],[نهاية الخدمة2]]-Table1[[#This Row],[نهاية الخدمة]]</f>
        <v>3486.2083333333139</v>
      </c>
      <c r="AB52" s="57">
        <f>Table1[[#This Row],[رصيد اجازات2]]-Table1[[#This Row],[رصيد اجازات]]</f>
        <v>3438.4520547945067</v>
      </c>
      <c r="AC52" s="58">
        <f>Table1[[#This Row],[تذاكر سفر2]]-Table1[[#This Row],[تذاكر سفر]]</f>
        <v>0</v>
      </c>
      <c r="AD52" s="5"/>
      <c r="AE52" s="5"/>
      <c r="AF52" s="5"/>
      <c r="AG52" s="5"/>
    </row>
    <row r="53" spans="1:33" ht="21.95" customHeight="1" x14ac:dyDescent="0.35">
      <c r="A53" s="32">
        <f>SUBTOTAL(3,C$3:$C53)</f>
        <v>51</v>
      </c>
      <c r="B53" s="30" t="s">
        <v>127</v>
      </c>
      <c r="C53" s="31" t="s">
        <v>72</v>
      </c>
      <c r="D53" s="45">
        <v>56101101102</v>
      </c>
      <c r="E53" s="46" t="s">
        <v>30</v>
      </c>
      <c r="F53" s="47">
        <v>40179</v>
      </c>
      <c r="G53" s="46">
        <v>5026</v>
      </c>
      <c r="H53" s="46">
        <v>1001</v>
      </c>
      <c r="I53" s="46">
        <v>500</v>
      </c>
      <c r="J53" s="46">
        <v>0</v>
      </c>
      <c r="K53" s="46">
        <f t="shared" si="1"/>
        <v>6527</v>
      </c>
      <c r="L53" s="47" t="s">
        <v>21</v>
      </c>
      <c r="M53" s="47" t="s">
        <v>21</v>
      </c>
      <c r="N53" s="46" t="s">
        <v>24</v>
      </c>
      <c r="O53" s="46">
        <v>0</v>
      </c>
      <c r="P53" s="48">
        <v>21</v>
      </c>
      <c r="Q53" s="46">
        <f>IF(F53&gt;0,DATEDIF($F53,Employee!$U$1,"Y")*12*30+DATEDIF($F53,Employee!$U$1,"YM")*30+DATEDIF($F53,Employee!$U$1,"MD")+1,0)</f>
        <v>4440</v>
      </c>
      <c r="R53" s="46">
        <f>IF(F53&gt;0,IF(M53=$AG$23,0,IF($M53=$AF$23,DATEDIF($F53,Employee!$U$1,"D")-(DATEDIF($F53,Employee!$U$1,"D")*5/365)+1,DATEDIF($M53,Employee!$U$1,"D")-(DATEDIF($M53,Employee!$U$1,"D")*5/365)+1)),0)</f>
        <v>4441.3287671232874</v>
      </c>
      <c r="S53" s="46">
        <f>IF($Q53&lt;=1800,($Q53/360*$K53)*0.5,($Q53-1800)/360*$K53+1800/360*$K53*0.5)</f>
        <v>64182.166666666664</v>
      </c>
      <c r="T53" s="46">
        <f>IF($P53=21,0.0583333333333333*$R53*$K53/30,0.0833333333333333*$R53*$K53/30)</f>
        <v>56366.630566971042</v>
      </c>
      <c r="U53" s="46">
        <f>IFERROR(IF($R53&gt;=360,IF(O53&gt;4,IF($N53=$AH$23,VLOOKUP($E53,$AF$4:$AG$22,2,0)*4,VLOOKUP($E53,$AF$4:$AG$22,2,0)),IF($N53=$AH$23,VLOOKUP($E53,$AF$4:$AG$22,2,0)*O53,VLOOKUP($E53,$AF$4:$AG$22,2,0))),(IF(O53&gt;4,IF($N53=$AH$23,VLOOKUP($E53,$AF$4:$AG$22,2,0)*4,VLOOKUP($E53,$AF$4:$AG$22,2,0)),IF($N53=$AH$23,VLOOKUP($E53,$AF$4:$AG$22,2,0)*O53,VLOOKUP($E53,$AF$4:$AG$22,2,0))))/360*$R53),0)</f>
        <v>0</v>
      </c>
      <c r="V53" s="46">
        <f>IF(F53&gt;0,DATEDIF($F53,Employee!$Z$1,"Y")*12*30+DATEDIF($F53,Employee!$Z$1,"YM")*30+DATEDIF($F53,Employee!$Z$1,"MD")+1,0)</f>
        <v>4471</v>
      </c>
      <c r="W53" s="46">
        <f>IF(F53&gt;0,IF(M53=$AG$23,0,IF($M53=$AF$23,DATEDIF($F53,Employee!$Z$1,"D")-(DATEDIF($F53,Employee!$Z$1,"D")*5/365)+1,DATEDIF($M53,Employee!$Z$1,"D")-(DATEDIF($M53,Employee!$Z$1,"D")*5/365)+1)),0)</f>
        <v>4471.9041095890407</v>
      </c>
      <c r="X53" s="46">
        <f>IF($V53&lt;=1800,($V53/360*$K53)*0.5,($V53-1800)/360*$K53+1800/360*$K53*0.5)</f>
        <v>64744.213888888888</v>
      </c>
      <c r="Y53" s="46">
        <f>IF($P53=21,0.0583333333333333*$W53*$K53/30,0.0833333333333333*$W53*$K53/30)</f>
        <v>56754.674128614868</v>
      </c>
      <c r="Z53" s="46">
        <f>IFERROR(IF($W53&gt;=360,IF(O53&gt;4,IF($N53=$AH$23,VLOOKUP($E53,$AF$4:$AG$22,2,0)*4,VLOOKUP($E53,$AF$4:$AG$22,2,0)),IF($N53=$AH$23,VLOOKUP($E53,$AF$4:$AG$22,2,0)*O53,VLOOKUP($E53,$AF$4:$AG$22,2,0))),(IF(O53&gt;4,IF($N53=$AH$23,VLOOKUP($E53,$AF$4:$AG$22,2,0)*4,VLOOKUP($E53,$AF$4:$AG$22,2,0)),IF($N53=$AH$23,VLOOKUP($E53,$AF$4:$AG$22,2,0)*O53,VLOOKUP($E53,$AF$4:$AG$22,2,0))))/360*$W53),0)</f>
        <v>0</v>
      </c>
      <c r="AA53" s="49">
        <f>Table1[[#This Row],[نهاية الخدمة2]]-Table1[[#This Row],[نهاية الخدمة]]</f>
        <v>562.04722222222335</v>
      </c>
      <c r="AB53" s="49">
        <f>Table1[[#This Row],[رصيد اجازات2]]-Table1[[#This Row],[رصيد اجازات]]</f>
        <v>388.04356164382625</v>
      </c>
      <c r="AC53" s="49">
        <f>Table1[[#This Row],[تذاكر سفر2]]-Table1[[#This Row],[تذاكر سفر]]</f>
        <v>0</v>
      </c>
      <c r="AD53" s="5"/>
      <c r="AE53" s="5"/>
      <c r="AF53" s="5"/>
      <c r="AG53" s="5"/>
    </row>
    <row r="54" spans="1:33" ht="21.95" customHeight="1" x14ac:dyDescent="0.35">
      <c r="A54" s="32">
        <f>SUBTOTAL(3,C$3:$C54)</f>
        <v>52</v>
      </c>
      <c r="B54" s="30" t="s">
        <v>128</v>
      </c>
      <c r="C54" s="33" t="s">
        <v>73</v>
      </c>
      <c r="D54" s="50">
        <v>57201101102</v>
      </c>
      <c r="E54" s="51" t="s">
        <v>30</v>
      </c>
      <c r="F54" s="52">
        <v>40179</v>
      </c>
      <c r="G54" s="51">
        <v>35201</v>
      </c>
      <c r="H54" s="51">
        <v>5032</v>
      </c>
      <c r="I54" s="51">
        <v>252</v>
      </c>
      <c r="J54" s="51">
        <v>0</v>
      </c>
      <c r="K54" s="51">
        <f t="shared" si="1"/>
        <v>40485</v>
      </c>
      <c r="L54" s="52" t="s">
        <v>21</v>
      </c>
      <c r="M54" s="52" t="s">
        <v>21</v>
      </c>
      <c r="N54" s="51" t="s">
        <v>24</v>
      </c>
      <c r="O54" s="51">
        <v>0</v>
      </c>
      <c r="P54" s="53">
        <v>21</v>
      </c>
      <c r="Q54" s="54">
        <f>IF(F54&gt;0,DATEDIF($F54,Employee!$U$1,"Y")*12*30+DATEDIF($F54,Employee!$U$1,"YM")*30+DATEDIF($F54,Employee!$U$1,"MD")+1,0)</f>
        <v>4440</v>
      </c>
      <c r="R54" s="51">
        <f>IF(F54&gt;0,IF(M54=$AG$23,0,IF($M54=$AF$23,DATEDIF($F54,Employee!$U$1,"D")-(DATEDIF($F54,Employee!$U$1,"D")*5/365)+1,DATEDIF($M54,Employee!$U$1,"D")-(DATEDIF($M54,Employee!$U$1,"D")*5/365)+1)),0)</f>
        <v>4441.3287671232874</v>
      </c>
      <c r="S54" s="51">
        <f>IF($Q54&lt;=1800,($Q54/360*$K54)*0.5,($Q54-1800)/360*$K54+1800/360*$K54*0.5)</f>
        <v>398102.5</v>
      </c>
      <c r="T54" s="51">
        <f>IF($P54=21,0.0583333333333333*$R54*$K54/30,0.0833333333333333*$R54*$K54/30)</f>
        <v>349625.10165525094</v>
      </c>
      <c r="U54" s="55">
        <f>IFERROR(IF($R54&gt;=360,IF(O54&gt;4,IF($N54=$AH$23,VLOOKUP($E54,$AF$4:$AG$22,2,0)*4,VLOOKUP($E54,$AF$4:$AG$22,2,0)),IF($N54=$AH$23,VLOOKUP($E54,$AF$4:$AG$22,2,0)*O54,VLOOKUP($E54,$AF$4:$AG$22,2,0))),(IF(O54&gt;4,IF($N54=$AH$23,VLOOKUP($E54,$AF$4:$AG$22,2,0)*4,VLOOKUP($E54,$AF$4:$AG$22,2,0)),IF($N54=$AH$23,VLOOKUP($E54,$AF$4:$AG$22,2,0)*O54,VLOOKUP($E54,$AF$4:$AG$22,2,0))))/360*$R54),0)</f>
        <v>0</v>
      </c>
      <c r="V54" s="56">
        <f>IF(F54&gt;0,DATEDIF($F54,Employee!$Z$1,"Y")*12*30+DATEDIF($F54,Employee!$Z$1,"YM")*30+DATEDIF($F54,Employee!$Z$1,"MD")+1,0)</f>
        <v>4471</v>
      </c>
      <c r="W54" s="51">
        <f>IF(F54&gt;0,IF(M54=$AG$23,0,IF($M54=$AF$23,DATEDIF($F54,Employee!$Z$1,"D")-(DATEDIF($F54,Employee!$Z$1,"D")*5/365)+1,DATEDIF($M54,Employee!$Z$1,"D")-(DATEDIF($M54,Employee!$Z$1,"D")*5/365)+1)),0)</f>
        <v>4471.9041095890407</v>
      </c>
      <c r="X54" s="51">
        <f>IF($V54&lt;=1800,($V54/360*$K54)*0.5,($V54-1800)/360*$K54+1800/360*$K54*0.5)</f>
        <v>401588.70833333331</v>
      </c>
      <c r="Y54" s="51">
        <f>IF($P54=21,0.0583333333333333*$W54*$K54/30,0.0833333333333333*$W54*$K54/30)</f>
        <v>352032.01809360704</v>
      </c>
      <c r="Z54" s="51">
        <f>IFERROR(IF($W54&gt;=360,IF(O54&gt;4,IF($N54=$AH$23,VLOOKUP($E54,$AF$4:$AG$22,2,0)*4,VLOOKUP($E54,$AF$4:$AG$22,2,0)),IF($N54=$AH$23,VLOOKUP($E54,$AF$4:$AG$22,2,0)*O54,VLOOKUP($E54,$AF$4:$AG$22,2,0))),(IF(O54&gt;4,IF($N54=$AH$23,VLOOKUP($E54,$AF$4:$AG$22,2,0)*4,VLOOKUP($E54,$AF$4:$AG$22,2,0)),IF($N54=$AH$23,VLOOKUP($E54,$AF$4:$AG$22,2,0)*O54,VLOOKUP($E54,$AF$4:$AG$22,2,0))))/360*$W54),0)</f>
        <v>0</v>
      </c>
      <c r="AA54" s="57">
        <f>Table1[[#This Row],[نهاية الخدمة2]]-Table1[[#This Row],[نهاية الخدمة]]</f>
        <v>3486.2083333333139</v>
      </c>
      <c r="AB54" s="57">
        <f>Table1[[#This Row],[رصيد اجازات2]]-Table1[[#This Row],[رصيد اجازات]]</f>
        <v>2406.9164383561001</v>
      </c>
      <c r="AC54" s="58">
        <f>Table1[[#This Row],[تذاكر سفر2]]-Table1[[#This Row],[تذاكر سفر]]</f>
        <v>0</v>
      </c>
      <c r="AD54" s="5"/>
      <c r="AE54" s="5"/>
      <c r="AF54" s="5"/>
      <c r="AG54" s="5"/>
    </row>
    <row r="55" spans="1:33" ht="21.95" customHeight="1" x14ac:dyDescent="0.35">
      <c r="A55" s="32">
        <f>SUBTOTAL(3,C$3:$C55)</f>
        <v>53</v>
      </c>
      <c r="B55" s="30" t="s">
        <v>129</v>
      </c>
      <c r="C55" s="33" t="s">
        <v>74</v>
      </c>
      <c r="D55" s="45">
        <v>58301101102</v>
      </c>
      <c r="E55" s="46" t="s">
        <v>31</v>
      </c>
      <c r="F55" s="47">
        <v>40179</v>
      </c>
      <c r="G55" s="46">
        <v>5026</v>
      </c>
      <c r="H55" s="46">
        <v>1001</v>
      </c>
      <c r="I55" s="46">
        <v>500</v>
      </c>
      <c r="J55" s="46">
        <v>0</v>
      </c>
      <c r="K55" s="46">
        <f t="shared" si="1"/>
        <v>6527</v>
      </c>
      <c r="L55" s="47" t="s">
        <v>21</v>
      </c>
      <c r="M55" s="47" t="s">
        <v>21</v>
      </c>
      <c r="N55" s="46" t="s">
        <v>24</v>
      </c>
      <c r="O55" s="46">
        <v>0</v>
      </c>
      <c r="P55" s="48">
        <v>21</v>
      </c>
      <c r="Q55" s="46">
        <f>IF(F55&gt;0,DATEDIF($F55,Employee!$U$1,"Y")*12*30+DATEDIF($F55,Employee!$U$1,"YM")*30+DATEDIF($F55,Employee!$U$1,"MD")+1,0)</f>
        <v>4440</v>
      </c>
      <c r="R55" s="46">
        <f>IF(F55&gt;0,IF(M55=$AG$23,0,IF($M55=$AF$23,DATEDIF($F55,Employee!$U$1,"D")-(DATEDIF($F55,Employee!$U$1,"D")*5/365)+1,DATEDIF($M55,Employee!$U$1,"D")-(DATEDIF($M55,Employee!$U$1,"D")*5/365)+1)),0)</f>
        <v>4441.3287671232874</v>
      </c>
      <c r="S55" s="46">
        <f>IF($Q55&lt;=1800,($Q55/360*$K55)*0.5,($Q55-1800)/360*$K55+1800/360*$K55*0.5)</f>
        <v>64182.166666666664</v>
      </c>
      <c r="T55" s="46">
        <f>IF($P55=21,0.0583333333333333*$R55*$K55/30,0.0833333333333333*$R55*$K55/30)</f>
        <v>56366.630566971042</v>
      </c>
      <c r="U55" s="46">
        <f>IFERROR(IF($R55&gt;=360,IF(O55&gt;4,IF($N55=$AH$23,VLOOKUP($E55,$AF$4:$AG$22,2,0)*4,VLOOKUP($E55,$AF$4:$AG$22,2,0)),IF($N55=$AH$23,VLOOKUP($E55,$AF$4:$AG$22,2,0)*O55,VLOOKUP($E55,$AF$4:$AG$22,2,0))),(IF(O55&gt;4,IF($N55=$AH$23,VLOOKUP($E55,$AF$4:$AG$22,2,0)*4,VLOOKUP($E55,$AF$4:$AG$22,2,0)),IF($N55=$AH$23,VLOOKUP($E55,$AF$4:$AG$22,2,0)*O55,VLOOKUP($E55,$AF$4:$AG$22,2,0))))/360*$R55),0)</f>
        <v>2000</v>
      </c>
      <c r="V55" s="46">
        <f>IF(F55&gt;0,DATEDIF($F55,Employee!$Z$1,"Y")*12*30+DATEDIF($F55,Employee!$Z$1,"YM")*30+DATEDIF($F55,Employee!$Z$1,"MD")+1,0)</f>
        <v>4471</v>
      </c>
      <c r="W55" s="46">
        <f>IF(F55&gt;0,IF(M55=$AG$23,0,IF($M55=$AF$23,DATEDIF($F55,Employee!$Z$1,"D")-(DATEDIF($F55,Employee!$Z$1,"D")*5/365)+1,DATEDIF($M55,Employee!$Z$1,"D")-(DATEDIF($M55,Employee!$Z$1,"D")*5/365)+1)),0)</f>
        <v>4471.9041095890407</v>
      </c>
      <c r="X55" s="46">
        <f>IF($V55&lt;=1800,($V55/360*$K55)*0.5,($V55-1800)/360*$K55+1800/360*$K55*0.5)</f>
        <v>64744.213888888888</v>
      </c>
      <c r="Y55" s="46">
        <f>IF($P55=21,0.0583333333333333*$W55*$K55/30,0.0833333333333333*$W55*$K55/30)</f>
        <v>56754.674128614868</v>
      </c>
      <c r="Z55" s="46">
        <f>IFERROR(IF($W55&gt;=360,IF(O55&gt;4,IF($N55=$AH$23,VLOOKUP($E55,$AF$4:$AG$22,2,0)*4,VLOOKUP($E55,$AF$4:$AG$22,2,0)),IF($N55=$AH$23,VLOOKUP($E55,$AF$4:$AG$22,2,0)*O55,VLOOKUP($E55,$AF$4:$AG$22,2,0))),(IF(O55&gt;4,IF($N55=$AH$23,VLOOKUP($E55,$AF$4:$AG$22,2,0)*4,VLOOKUP($E55,$AF$4:$AG$22,2,0)),IF($N55=$AH$23,VLOOKUP($E55,$AF$4:$AG$22,2,0)*O55,VLOOKUP($E55,$AF$4:$AG$22,2,0))))/360*$W55),0)</f>
        <v>2000</v>
      </c>
      <c r="AA55" s="49">
        <f>Table1[[#This Row],[نهاية الخدمة2]]-Table1[[#This Row],[نهاية الخدمة]]</f>
        <v>562.04722222222335</v>
      </c>
      <c r="AB55" s="49">
        <f>Table1[[#This Row],[رصيد اجازات2]]-Table1[[#This Row],[رصيد اجازات]]</f>
        <v>388.04356164382625</v>
      </c>
      <c r="AC55" s="49">
        <f>Table1[[#This Row],[تذاكر سفر2]]-Table1[[#This Row],[تذاكر سفر]]</f>
        <v>0</v>
      </c>
      <c r="AD55" s="5"/>
      <c r="AE55" s="5"/>
      <c r="AF55" s="5"/>
      <c r="AG55" s="5"/>
    </row>
    <row r="56" spans="1:33" ht="21.95" customHeight="1" x14ac:dyDescent="0.35">
      <c r="A56" s="32">
        <f>SUBTOTAL(3,C$3:$C56)</f>
        <v>54</v>
      </c>
      <c r="B56" s="30" t="s">
        <v>130</v>
      </c>
      <c r="C56" s="34" t="s">
        <v>75</v>
      </c>
      <c r="D56" s="50">
        <v>59401101102</v>
      </c>
      <c r="E56" s="51" t="s">
        <v>31</v>
      </c>
      <c r="F56" s="52">
        <v>40179</v>
      </c>
      <c r="G56" s="51">
        <v>35201</v>
      </c>
      <c r="H56" s="51">
        <v>5032</v>
      </c>
      <c r="I56" s="51">
        <v>252</v>
      </c>
      <c r="J56" s="51">
        <v>0</v>
      </c>
      <c r="K56" s="51">
        <f t="shared" si="1"/>
        <v>40485</v>
      </c>
      <c r="L56" s="52" t="s">
        <v>21</v>
      </c>
      <c r="M56" s="52" t="s">
        <v>21</v>
      </c>
      <c r="N56" s="51" t="s">
        <v>24</v>
      </c>
      <c r="O56" s="51">
        <v>0</v>
      </c>
      <c r="P56" s="53">
        <v>21</v>
      </c>
      <c r="Q56" s="54">
        <f>IF(F56&gt;0,DATEDIF($F56,Employee!$U$1,"Y")*12*30+DATEDIF($F56,Employee!$U$1,"YM")*30+DATEDIF($F56,Employee!$U$1,"MD")+1,0)</f>
        <v>4440</v>
      </c>
      <c r="R56" s="51">
        <f>IF(F56&gt;0,IF(M56=$AG$23,0,IF($M56=$AF$23,DATEDIF($F56,Employee!$U$1,"D")-(DATEDIF($F56,Employee!$U$1,"D")*5/365)+1,DATEDIF($M56,Employee!$U$1,"D")-(DATEDIF($M56,Employee!$U$1,"D")*5/365)+1)),0)</f>
        <v>4441.3287671232874</v>
      </c>
      <c r="S56" s="51">
        <f>IF($Q56&lt;=1800,($Q56/360*$K56)*0.5,($Q56-1800)/360*$K56+1800/360*$K56*0.5)</f>
        <v>398102.5</v>
      </c>
      <c r="T56" s="51">
        <f>IF($P56=21,0.0583333333333333*$R56*$K56/30,0.0833333333333333*$R56*$K56/30)</f>
        <v>349625.10165525094</v>
      </c>
      <c r="U56" s="55">
        <f>IFERROR(IF($R56&gt;=360,IF(O56&gt;4,IF($N56=$AH$23,VLOOKUP($E56,$AF$4:$AG$22,2,0)*4,VLOOKUP($E56,$AF$4:$AG$22,2,0)),IF($N56=$AH$23,VLOOKUP($E56,$AF$4:$AG$22,2,0)*O56,VLOOKUP($E56,$AF$4:$AG$22,2,0))),(IF(O56&gt;4,IF($N56=$AH$23,VLOOKUP($E56,$AF$4:$AG$22,2,0)*4,VLOOKUP($E56,$AF$4:$AG$22,2,0)),IF($N56=$AH$23,VLOOKUP($E56,$AF$4:$AG$22,2,0)*O56,VLOOKUP($E56,$AF$4:$AG$22,2,0))))/360*$R56),0)</f>
        <v>2000</v>
      </c>
      <c r="V56" s="56">
        <f>IF(F56&gt;0,DATEDIF($F56,Employee!$Z$1,"Y")*12*30+DATEDIF($F56,Employee!$Z$1,"YM")*30+DATEDIF($F56,Employee!$Z$1,"MD")+1,0)</f>
        <v>4471</v>
      </c>
      <c r="W56" s="51">
        <f>IF(F56&gt;0,IF(M56=$AG$23,0,IF($M56=$AF$23,DATEDIF($F56,Employee!$Z$1,"D")-(DATEDIF($F56,Employee!$Z$1,"D")*5/365)+1,DATEDIF($M56,Employee!$Z$1,"D")-(DATEDIF($M56,Employee!$Z$1,"D")*5/365)+1)),0)</f>
        <v>4471.9041095890407</v>
      </c>
      <c r="X56" s="51">
        <f>IF($V56&lt;=1800,($V56/360*$K56)*0.5,($V56-1800)/360*$K56+1800/360*$K56*0.5)</f>
        <v>401588.70833333331</v>
      </c>
      <c r="Y56" s="51">
        <f>IF($P56=21,0.0583333333333333*$W56*$K56/30,0.0833333333333333*$W56*$K56/30)</f>
        <v>352032.01809360704</v>
      </c>
      <c r="Z56" s="51">
        <f>IFERROR(IF($W56&gt;=360,IF(O56&gt;4,IF($N56=$AH$23,VLOOKUP($E56,$AF$4:$AG$22,2,0)*4,VLOOKUP($E56,$AF$4:$AG$22,2,0)),IF($N56=$AH$23,VLOOKUP($E56,$AF$4:$AG$22,2,0)*O56,VLOOKUP($E56,$AF$4:$AG$22,2,0))),(IF(O56&gt;4,IF($N56=$AH$23,VLOOKUP($E56,$AF$4:$AG$22,2,0)*4,VLOOKUP($E56,$AF$4:$AG$22,2,0)),IF($N56=$AH$23,VLOOKUP($E56,$AF$4:$AG$22,2,0)*O56,VLOOKUP($E56,$AF$4:$AG$22,2,0))))/360*$W56),0)</f>
        <v>2000</v>
      </c>
      <c r="AA56" s="57">
        <f>Table1[[#This Row],[نهاية الخدمة2]]-Table1[[#This Row],[نهاية الخدمة]]</f>
        <v>3486.2083333333139</v>
      </c>
      <c r="AB56" s="57">
        <f>Table1[[#This Row],[رصيد اجازات2]]-Table1[[#This Row],[رصيد اجازات]]</f>
        <v>2406.9164383561001</v>
      </c>
      <c r="AC56" s="58">
        <f>Table1[[#This Row],[تذاكر سفر2]]-Table1[[#This Row],[تذاكر سفر]]</f>
        <v>0</v>
      </c>
      <c r="AD56" s="5"/>
      <c r="AE56" s="5"/>
      <c r="AF56" s="5"/>
      <c r="AG56" s="5"/>
    </row>
    <row r="57" spans="1:33" ht="21.95" customHeight="1" x14ac:dyDescent="0.35">
      <c r="A57" s="32">
        <f>SUBTOTAL(3,C$3:$C57)</f>
        <v>55</v>
      </c>
      <c r="B57" s="30" t="s">
        <v>131</v>
      </c>
      <c r="C57" s="33" t="s">
        <v>76</v>
      </c>
      <c r="D57" s="45">
        <v>60501101102</v>
      </c>
      <c r="E57" s="46" t="s">
        <v>30</v>
      </c>
      <c r="F57" s="47">
        <v>40179</v>
      </c>
      <c r="G57" s="46">
        <v>5026</v>
      </c>
      <c r="H57" s="46">
        <v>1001</v>
      </c>
      <c r="I57" s="46">
        <v>500</v>
      </c>
      <c r="J57" s="46">
        <v>0</v>
      </c>
      <c r="K57" s="46">
        <f t="shared" si="1"/>
        <v>6527</v>
      </c>
      <c r="L57" s="47" t="s">
        <v>21</v>
      </c>
      <c r="M57" s="47" t="s">
        <v>21</v>
      </c>
      <c r="N57" s="46" t="s">
        <v>24</v>
      </c>
      <c r="O57" s="46">
        <v>0</v>
      </c>
      <c r="P57" s="48">
        <v>21</v>
      </c>
      <c r="Q57" s="46">
        <f>IF(F57&gt;0,DATEDIF($F57,Employee!$U$1,"Y")*12*30+DATEDIF($F57,Employee!$U$1,"YM")*30+DATEDIF($F57,Employee!$U$1,"MD")+1,0)</f>
        <v>4440</v>
      </c>
      <c r="R57" s="46">
        <f>IF(F57&gt;0,IF(M57=$AG$23,0,IF($M57=$AF$23,DATEDIF($F57,Employee!$U$1,"D")-(DATEDIF($F57,Employee!$U$1,"D")*5/365)+1,DATEDIF($M57,Employee!$U$1,"D")-(DATEDIF($M57,Employee!$U$1,"D")*5/365)+1)),0)</f>
        <v>4441.3287671232874</v>
      </c>
      <c r="S57" s="46">
        <f>IF($Q57&lt;=1800,($Q57/360*$K57)*0.5,($Q57-1800)/360*$K57+1800/360*$K57*0.5)</f>
        <v>64182.166666666664</v>
      </c>
      <c r="T57" s="46">
        <f>IF($P57=21,0.0583333333333333*$R57*$K57/30,0.0833333333333333*$R57*$K57/30)</f>
        <v>56366.630566971042</v>
      </c>
      <c r="U57" s="46">
        <f>IFERROR(IF($R57&gt;=360,IF(O57&gt;4,IF($N57=$AH$23,VLOOKUP($E57,$AF$4:$AG$22,2,0)*4,VLOOKUP($E57,$AF$4:$AG$22,2,0)),IF($N57=$AH$23,VLOOKUP($E57,$AF$4:$AG$22,2,0)*O57,VLOOKUP($E57,$AF$4:$AG$22,2,0))),(IF(O57&gt;4,IF($N57=$AH$23,VLOOKUP($E57,$AF$4:$AG$22,2,0)*4,VLOOKUP($E57,$AF$4:$AG$22,2,0)),IF($N57=$AH$23,VLOOKUP($E57,$AF$4:$AG$22,2,0)*O57,VLOOKUP($E57,$AF$4:$AG$22,2,0))))/360*$R57),0)</f>
        <v>0</v>
      </c>
      <c r="V57" s="46">
        <f>IF(F57&gt;0,DATEDIF($F57,Employee!$Z$1,"Y")*12*30+DATEDIF($F57,Employee!$Z$1,"YM")*30+DATEDIF($F57,Employee!$Z$1,"MD")+1,0)</f>
        <v>4471</v>
      </c>
      <c r="W57" s="46">
        <f>IF(F57&gt;0,IF(M57=$AG$23,0,IF($M57=$AF$23,DATEDIF($F57,Employee!$Z$1,"D")-(DATEDIF($F57,Employee!$Z$1,"D")*5/365)+1,DATEDIF($M57,Employee!$Z$1,"D")-(DATEDIF($M57,Employee!$Z$1,"D")*5/365)+1)),0)</f>
        <v>4471.9041095890407</v>
      </c>
      <c r="X57" s="46">
        <f>IF($V57&lt;=1800,($V57/360*$K57)*0.5,($V57-1800)/360*$K57+1800/360*$K57*0.5)</f>
        <v>64744.213888888888</v>
      </c>
      <c r="Y57" s="46">
        <f>IF($P57=21,0.0583333333333333*$W57*$K57/30,0.0833333333333333*$W57*$K57/30)</f>
        <v>56754.674128614868</v>
      </c>
      <c r="Z57" s="46">
        <f>IFERROR(IF($W57&gt;=360,IF(O57&gt;4,IF($N57=$AH$23,VLOOKUP($E57,$AF$4:$AG$22,2,0)*4,VLOOKUP($E57,$AF$4:$AG$22,2,0)),IF($N57=$AH$23,VLOOKUP($E57,$AF$4:$AG$22,2,0)*O57,VLOOKUP($E57,$AF$4:$AG$22,2,0))),(IF(O57&gt;4,IF($N57=$AH$23,VLOOKUP($E57,$AF$4:$AG$22,2,0)*4,VLOOKUP($E57,$AF$4:$AG$22,2,0)),IF($N57=$AH$23,VLOOKUP($E57,$AF$4:$AG$22,2,0)*O57,VLOOKUP($E57,$AF$4:$AG$22,2,0))))/360*$W57),0)</f>
        <v>0</v>
      </c>
      <c r="AA57" s="49">
        <f>Table1[[#This Row],[نهاية الخدمة2]]-Table1[[#This Row],[نهاية الخدمة]]</f>
        <v>562.04722222222335</v>
      </c>
      <c r="AB57" s="49">
        <f>Table1[[#This Row],[رصيد اجازات2]]-Table1[[#This Row],[رصيد اجازات]]</f>
        <v>388.04356164382625</v>
      </c>
      <c r="AC57" s="49">
        <f>Table1[[#This Row],[تذاكر سفر2]]-Table1[[#This Row],[تذاكر سفر]]</f>
        <v>0</v>
      </c>
      <c r="AD57" s="5"/>
      <c r="AE57" s="5"/>
      <c r="AF57" s="5"/>
      <c r="AG57" s="5"/>
    </row>
    <row r="58" spans="1:33" ht="21.95" customHeight="1" x14ac:dyDescent="0.35">
      <c r="A58" s="32">
        <f>SUBTOTAL(3,C$3:$C58)</f>
        <v>56</v>
      </c>
      <c r="B58" s="30" t="s">
        <v>132</v>
      </c>
      <c r="C58" s="31" t="s">
        <v>72</v>
      </c>
      <c r="D58" s="50">
        <v>61601101102</v>
      </c>
      <c r="E58" s="51" t="s">
        <v>27</v>
      </c>
      <c r="F58" s="52">
        <v>40179</v>
      </c>
      <c r="G58" s="51">
        <v>35201</v>
      </c>
      <c r="H58" s="51">
        <v>5032</v>
      </c>
      <c r="I58" s="51">
        <v>252</v>
      </c>
      <c r="J58" s="51">
        <v>0</v>
      </c>
      <c r="K58" s="51">
        <f t="shared" si="1"/>
        <v>40485</v>
      </c>
      <c r="L58" s="52">
        <v>44334</v>
      </c>
      <c r="M58" s="52">
        <v>44445</v>
      </c>
      <c r="N58" s="51" t="s">
        <v>24</v>
      </c>
      <c r="O58" s="51">
        <v>0</v>
      </c>
      <c r="P58" s="53">
        <v>30</v>
      </c>
      <c r="Q58" s="54">
        <f>IF(F58&gt;0,DATEDIF($F58,Employee!$U$1,"Y")*12*30+DATEDIF($F58,Employee!$U$1,"YM")*30+DATEDIF($F58,Employee!$U$1,"MD")+1,0)</f>
        <v>4440</v>
      </c>
      <c r="R58" s="51">
        <f>IF(F58&gt;0,IF(M58=$AG$23,0,IF($M58=$AF$23,DATEDIF($F58,Employee!$U$1,"D")-(DATEDIF($F58,Employee!$U$1,"D")*5/365)+1,DATEDIF($M58,Employee!$U$1,"D")-(DATEDIF($M58,Employee!$U$1,"D")*5/365)+1)),0)</f>
        <v>233.76712328767124</v>
      </c>
      <c r="S58" s="51">
        <f>IF($Q58&lt;=1800,($Q58/360*$K58)*0.5,($Q58-1800)/360*$K58+1800/360*$K58*0.5)</f>
        <v>398102.5</v>
      </c>
      <c r="T58" s="51">
        <f>IF($P58=21,0.0583333333333333*$R58*$K58/30,0.0833333333333333*$R58*$K58/30)</f>
        <v>26289.061073059351</v>
      </c>
      <c r="U58" s="55">
        <f>IFERROR(IF($R58&gt;=360,IF(O58&gt;4,IF($N58=$AH$23,VLOOKUP($E58,$AF$4:$AG$22,2,0)*4,VLOOKUP($E58,$AF$4:$AG$22,2,0)),IF($N58=$AH$23,VLOOKUP($E58,$AF$4:$AG$22,2,0)*O58,VLOOKUP($E58,$AF$4:$AG$22,2,0))),(IF(O58&gt;4,IF($N58=$AH$23,VLOOKUP($E58,$AF$4:$AG$22,2,0)*4,VLOOKUP($E58,$AF$4:$AG$22,2,0)),IF($N58=$AH$23,VLOOKUP($E58,$AF$4:$AG$22,2,0)*O58,VLOOKUP($E58,$AF$4:$AG$22,2,0))))/360*$R58),0)</f>
        <v>1298.7062404870624</v>
      </c>
      <c r="V58" s="56">
        <f>IF(F58&gt;0,DATEDIF($F58,Employee!$Z$1,"Y")*12*30+DATEDIF($F58,Employee!$Z$1,"YM")*30+DATEDIF($F58,Employee!$Z$1,"MD")+1,0)</f>
        <v>4471</v>
      </c>
      <c r="W58" s="51">
        <f>IF(F58&gt;0,IF(M58=$AG$23,0,IF($M58=$AF$23,DATEDIF($F58,Employee!$Z$1,"D")-(DATEDIF($F58,Employee!$Z$1,"D")*5/365)+1,DATEDIF($M58,Employee!$Z$1,"D")-(DATEDIF($M58,Employee!$Z$1,"D")*5/365)+1)),0)</f>
        <v>264.34246575342468</v>
      </c>
      <c r="X58" s="51">
        <f>IF($V58&lt;=1800,($V58/360*$K58)*0.5,($V58-1800)/360*$K58+1800/360*$K58*0.5)</f>
        <v>401588.70833333331</v>
      </c>
      <c r="Y58" s="51">
        <f>IF($P58=21,0.0583333333333333*$W58*$K58/30,0.0833333333333333*$W58*$K58/30)</f>
        <v>29727.513127853872</v>
      </c>
      <c r="Z58" s="51">
        <f>IFERROR(IF($W58&gt;=360,IF(O58&gt;4,IF($N58=$AH$23,VLOOKUP($E58,$AF$4:$AG$22,2,0)*4,VLOOKUP($E58,$AF$4:$AG$22,2,0)),IF($N58=$AH$23,VLOOKUP($E58,$AF$4:$AG$22,2,0)*O58,VLOOKUP($E58,$AF$4:$AG$22,2,0))),(IF(O58&gt;4,IF($N58=$AH$23,VLOOKUP($E58,$AF$4:$AG$22,2,0)*4,VLOOKUP($E58,$AF$4:$AG$22,2,0)),IF($N58=$AH$23,VLOOKUP($E58,$AF$4:$AG$22,2,0)*O58,VLOOKUP($E58,$AF$4:$AG$22,2,0))))/360*$W58),0)</f>
        <v>1468.5692541856927</v>
      </c>
      <c r="AA58" s="57">
        <f>Table1[[#This Row],[نهاية الخدمة2]]-Table1[[#This Row],[نهاية الخدمة]]</f>
        <v>3486.2083333333139</v>
      </c>
      <c r="AB58" s="57">
        <f>Table1[[#This Row],[رصيد اجازات2]]-Table1[[#This Row],[رصيد اجازات]]</f>
        <v>3438.4520547945212</v>
      </c>
      <c r="AC58" s="58">
        <f>Table1[[#This Row],[تذاكر سفر2]]-Table1[[#This Row],[تذاكر سفر]]</f>
        <v>169.86301369863031</v>
      </c>
      <c r="AD58" s="5"/>
      <c r="AE58" s="5"/>
      <c r="AF58" s="5"/>
      <c r="AG58" s="5"/>
    </row>
    <row r="59" spans="1:33" ht="21.95" customHeight="1" x14ac:dyDescent="0.35">
      <c r="A59" s="32">
        <f>SUBTOTAL(3,C$3:$C59)</f>
        <v>57</v>
      </c>
      <c r="B59" s="30" t="s">
        <v>133</v>
      </c>
      <c r="C59" s="33" t="s">
        <v>73</v>
      </c>
      <c r="D59" s="45">
        <v>62701101102</v>
      </c>
      <c r="E59" s="46" t="s">
        <v>31</v>
      </c>
      <c r="F59" s="47">
        <v>40179</v>
      </c>
      <c r="G59" s="46">
        <v>5026</v>
      </c>
      <c r="H59" s="46">
        <v>1001</v>
      </c>
      <c r="I59" s="46">
        <v>500</v>
      </c>
      <c r="J59" s="46">
        <v>0</v>
      </c>
      <c r="K59" s="46">
        <f t="shared" si="1"/>
        <v>6527</v>
      </c>
      <c r="L59" s="47">
        <v>44412</v>
      </c>
      <c r="M59" s="47">
        <v>44504</v>
      </c>
      <c r="N59" s="46" t="s">
        <v>24</v>
      </c>
      <c r="O59" s="46">
        <v>0</v>
      </c>
      <c r="P59" s="48">
        <v>21</v>
      </c>
      <c r="Q59" s="46">
        <f>IF(F59&gt;0,DATEDIF($F59,Employee!$U$1,"Y")*12*30+DATEDIF($F59,Employee!$U$1,"YM")*30+DATEDIF($F59,Employee!$U$1,"MD")+1,0)</f>
        <v>4440</v>
      </c>
      <c r="R59" s="46">
        <f>IF(F59&gt;0,IF(M59=$AG$23,0,IF($M59=$AF$23,DATEDIF($F59,Employee!$U$1,"D")-(DATEDIF($F59,Employee!$U$1,"D")*5/365)+1,DATEDIF($M59,Employee!$U$1,"D")-(DATEDIF($M59,Employee!$U$1,"D")*5/365)+1)),0)</f>
        <v>175.57534246575344</v>
      </c>
      <c r="S59" s="46">
        <f>IF($Q59&lt;=1800,($Q59/360*$K59)*0.5,($Q59-1800)/360*$K59+1800/360*$K59*0.5)</f>
        <v>64182.166666666664</v>
      </c>
      <c r="T59" s="46">
        <f>IF($P59=21,0.0583333333333333*$R59*$K59/30,0.0833333333333333*$R59*$K59/30)</f>
        <v>2228.2949505327238</v>
      </c>
      <c r="U59" s="46">
        <f>IFERROR(IF($R59&gt;=360,IF(O59&gt;4,IF($N59=$AH$23,VLOOKUP($E59,$AF$4:$AG$22,2,0)*4,VLOOKUP($E59,$AF$4:$AG$22,2,0)),IF($N59=$AH$23,VLOOKUP($E59,$AF$4:$AG$22,2,0)*O59,VLOOKUP($E59,$AF$4:$AG$22,2,0))),(IF(O59&gt;4,IF($N59=$AH$23,VLOOKUP($E59,$AF$4:$AG$22,2,0)*4,VLOOKUP($E59,$AF$4:$AG$22,2,0)),IF($N59=$AH$23,VLOOKUP($E59,$AF$4:$AG$22,2,0)*O59,VLOOKUP($E59,$AF$4:$AG$22,2,0))))/360*$R59),0)</f>
        <v>975.41856925418574</v>
      </c>
      <c r="V59" s="46">
        <f>IF(F59&gt;0,DATEDIF($F59,Employee!$Z$1,"Y")*12*30+DATEDIF($F59,Employee!$Z$1,"YM")*30+DATEDIF($F59,Employee!$Z$1,"MD")+1,0)</f>
        <v>4471</v>
      </c>
      <c r="W59" s="46">
        <f>IF(F59&gt;0,IF(M59=$AG$23,0,IF($M59=$AF$23,DATEDIF($F59,Employee!$Z$1,"D")-(DATEDIF($F59,Employee!$Z$1,"D")*5/365)+1,DATEDIF($M59,Employee!$Z$1,"D")-(DATEDIF($M59,Employee!$Z$1,"D")*5/365)+1)),0)</f>
        <v>206.15068493150685</v>
      </c>
      <c r="X59" s="46">
        <f>IF($V59&lt;=1800,($V59/360*$K59)*0.5,($V59-1800)/360*$K59+1800/360*$K59*0.5)</f>
        <v>64744.213888888888</v>
      </c>
      <c r="Y59" s="46">
        <f>IF($P59=21,0.0583333333333333*$W59*$K59/30,0.0833333333333333*$W59*$K59/30)</f>
        <v>2616.3385121765587</v>
      </c>
      <c r="Z59" s="46">
        <f>IFERROR(IF($W59&gt;=360,IF(O59&gt;4,IF($N59=$AH$23,VLOOKUP($E59,$AF$4:$AG$22,2,0)*4,VLOOKUP($E59,$AF$4:$AG$22,2,0)),IF($N59=$AH$23,VLOOKUP($E59,$AF$4:$AG$22,2,0)*O59,VLOOKUP($E59,$AF$4:$AG$22,2,0))),(IF(O59&gt;4,IF($N59=$AH$23,VLOOKUP($E59,$AF$4:$AG$22,2,0)*4,VLOOKUP($E59,$AF$4:$AG$22,2,0)),IF($N59=$AH$23,VLOOKUP($E59,$AF$4:$AG$22,2,0)*O59,VLOOKUP($E59,$AF$4:$AG$22,2,0))))/360*$W59),0)</f>
        <v>1145.2815829528158</v>
      </c>
      <c r="AA59" s="49">
        <f>Table1[[#This Row],[نهاية الخدمة2]]-Table1[[#This Row],[نهاية الخدمة]]</f>
        <v>562.04722222222335</v>
      </c>
      <c r="AB59" s="49">
        <f>Table1[[#This Row],[رصيد اجازات2]]-Table1[[#This Row],[رصيد اجازات]]</f>
        <v>388.04356164383489</v>
      </c>
      <c r="AC59" s="49">
        <f>Table1[[#This Row],[تذاكر سفر2]]-Table1[[#This Row],[تذاكر سفر]]</f>
        <v>169.86301369863008</v>
      </c>
      <c r="AD59" s="5"/>
      <c r="AE59" s="5"/>
      <c r="AF59" s="5"/>
      <c r="AG59" s="5"/>
    </row>
    <row r="60" spans="1:33" ht="21.95" customHeight="1" x14ac:dyDescent="0.35">
      <c r="A60" s="32">
        <f>SUBTOTAL(3,C$3:$C60)</f>
        <v>58</v>
      </c>
      <c r="B60" s="30" t="s">
        <v>134</v>
      </c>
      <c r="C60" s="33" t="s">
        <v>74</v>
      </c>
      <c r="D60" s="50">
        <v>63801101102</v>
      </c>
      <c r="E60" s="51" t="s">
        <v>31</v>
      </c>
      <c r="F60" s="52">
        <v>40179</v>
      </c>
      <c r="G60" s="51">
        <v>35201</v>
      </c>
      <c r="H60" s="51">
        <v>5032</v>
      </c>
      <c r="I60" s="51">
        <v>252</v>
      </c>
      <c r="J60" s="51">
        <v>0</v>
      </c>
      <c r="K60" s="51">
        <f t="shared" si="1"/>
        <v>40485</v>
      </c>
      <c r="L60" s="52" t="s">
        <v>21</v>
      </c>
      <c r="M60" s="52" t="s">
        <v>21</v>
      </c>
      <c r="N60" s="51" t="s">
        <v>24</v>
      </c>
      <c r="O60" s="51">
        <v>0</v>
      </c>
      <c r="P60" s="53">
        <v>21</v>
      </c>
      <c r="Q60" s="54">
        <f>IF(F60&gt;0,DATEDIF($F60,Employee!$U$1,"Y")*12*30+DATEDIF($F60,Employee!$U$1,"YM")*30+DATEDIF($F60,Employee!$U$1,"MD")+1,0)</f>
        <v>4440</v>
      </c>
      <c r="R60" s="51">
        <f>IF(F60&gt;0,IF(M60=$AG$23,0,IF($M60=$AF$23,DATEDIF($F60,Employee!$U$1,"D")-(DATEDIF($F60,Employee!$U$1,"D")*5/365)+1,DATEDIF($M60,Employee!$U$1,"D")-(DATEDIF($M60,Employee!$U$1,"D")*5/365)+1)),0)</f>
        <v>4441.3287671232874</v>
      </c>
      <c r="S60" s="51">
        <f>IF($Q60&lt;=1800,($Q60/360*$K60)*0.5,($Q60-1800)/360*$K60+1800/360*$K60*0.5)</f>
        <v>398102.5</v>
      </c>
      <c r="T60" s="51">
        <f>IF($P60=21,0.0583333333333333*$R60*$K60/30,0.0833333333333333*$R60*$K60/30)</f>
        <v>349625.10165525094</v>
      </c>
      <c r="U60" s="55">
        <f>IFERROR(IF($R60&gt;=360,IF(O60&gt;4,IF($N60=$AH$23,VLOOKUP($E60,$AF$4:$AG$22,2,0)*4,VLOOKUP($E60,$AF$4:$AG$22,2,0)),IF($N60=$AH$23,VLOOKUP($E60,$AF$4:$AG$22,2,0)*O60,VLOOKUP($E60,$AF$4:$AG$22,2,0))),(IF(O60&gt;4,IF($N60=$AH$23,VLOOKUP($E60,$AF$4:$AG$22,2,0)*4,VLOOKUP($E60,$AF$4:$AG$22,2,0)),IF($N60=$AH$23,VLOOKUP($E60,$AF$4:$AG$22,2,0)*O60,VLOOKUP($E60,$AF$4:$AG$22,2,0))))/360*$R60),0)</f>
        <v>2000</v>
      </c>
      <c r="V60" s="56">
        <f>IF(F60&gt;0,DATEDIF($F60,Employee!$Z$1,"Y")*12*30+DATEDIF($F60,Employee!$Z$1,"YM")*30+DATEDIF($F60,Employee!$Z$1,"MD")+1,0)</f>
        <v>4471</v>
      </c>
      <c r="W60" s="51">
        <f>IF(F60&gt;0,IF(M60=$AG$23,0,IF($M60=$AF$23,DATEDIF($F60,Employee!$Z$1,"D")-(DATEDIF($F60,Employee!$Z$1,"D")*5/365)+1,DATEDIF($M60,Employee!$Z$1,"D")-(DATEDIF($M60,Employee!$Z$1,"D")*5/365)+1)),0)</f>
        <v>4471.9041095890407</v>
      </c>
      <c r="X60" s="51">
        <f>IF($V60&lt;=1800,($V60/360*$K60)*0.5,($V60-1800)/360*$K60+1800/360*$K60*0.5)</f>
        <v>401588.70833333331</v>
      </c>
      <c r="Y60" s="51">
        <f>IF($P60=21,0.0583333333333333*$W60*$K60/30,0.0833333333333333*$W60*$K60/30)</f>
        <v>352032.01809360704</v>
      </c>
      <c r="Z60" s="51">
        <f>IFERROR(IF($W60&gt;=360,IF(O60&gt;4,IF($N60=$AH$23,VLOOKUP($E60,$AF$4:$AG$22,2,0)*4,VLOOKUP($E60,$AF$4:$AG$22,2,0)),IF($N60=$AH$23,VLOOKUP($E60,$AF$4:$AG$22,2,0)*O60,VLOOKUP($E60,$AF$4:$AG$22,2,0))),(IF(O60&gt;4,IF($N60=$AH$23,VLOOKUP($E60,$AF$4:$AG$22,2,0)*4,VLOOKUP($E60,$AF$4:$AG$22,2,0)),IF($N60=$AH$23,VLOOKUP($E60,$AF$4:$AG$22,2,0)*O60,VLOOKUP($E60,$AF$4:$AG$22,2,0))))/360*$W60),0)</f>
        <v>2000</v>
      </c>
      <c r="AA60" s="57">
        <f>Table1[[#This Row],[نهاية الخدمة2]]-Table1[[#This Row],[نهاية الخدمة]]</f>
        <v>3486.2083333333139</v>
      </c>
      <c r="AB60" s="57">
        <f>Table1[[#This Row],[رصيد اجازات2]]-Table1[[#This Row],[رصيد اجازات]]</f>
        <v>2406.9164383561001</v>
      </c>
      <c r="AC60" s="58">
        <f>Table1[[#This Row],[تذاكر سفر2]]-Table1[[#This Row],[تذاكر سفر]]</f>
        <v>0</v>
      </c>
      <c r="AD60" s="5"/>
      <c r="AE60" s="5"/>
      <c r="AF60" s="5"/>
      <c r="AG60" s="5"/>
    </row>
    <row r="61" spans="1:33" ht="21.95" customHeight="1" x14ac:dyDescent="0.35">
      <c r="A61" s="32">
        <f>SUBTOTAL(3,C$3:$C61)</f>
        <v>59</v>
      </c>
      <c r="B61" s="30" t="s">
        <v>135</v>
      </c>
      <c r="C61" s="34" t="s">
        <v>75</v>
      </c>
      <c r="D61" s="45">
        <v>64901101102</v>
      </c>
      <c r="E61" s="46" t="s">
        <v>31</v>
      </c>
      <c r="F61" s="47">
        <v>40179</v>
      </c>
      <c r="G61" s="46">
        <v>5026</v>
      </c>
      <c r="H61" s="46">
        <v>1001</v>
      </c>
      <c r="I61" s="46">
        <v>500</v>
      </c>
      <c r="J61" s="46">
        <v>0</v>
      </c>
      <c r="K61" s="46">
        <f t="shared" si="1"/>
        <v>6527</v>
      </c>
      <c r="L61" s="47">
        <v>44378</v>
      </c>
      <c r="M61" s="47">
        <v>44506</v>
      </c>
      <c r="N61" s="46" t="s">
        <v>24</v>
      </c>
      <c r="O61" s="46">
        <v>0</v>
      </c>
      <c r="P61" s="48">
        <v>21</v>
      </c>
      <c r="Q61" s="46">
        <f>IF(F61&gt;0,DATEDIF($F61,Employee!$U$1,"Y")*12*30+DATEDIF($F61,Employee!$U$1,"YM")*30+DATEDIF($F61,Employee!$U$1,"MD")+1,0)</f>
        <v>4440</v>
      </c>
      <c r="R61" s="46">
        <f>IF(F61&gt;0,IF(M61=$AG$23,0,IF($M61=$AF$23,DATEDIF($F61,Employee!$U$1,"D")-(DATEDIF($F61,Employee!$U$1,"D")*5/365)+1,DATEDIF($M61,Employee!$U$1,"D")-(DATEDIF($M61,Employee!$U$1,"D")*5/365)+1)),0)</f>
        <v>173.60273972602741</v>
      </c>
      <c r="S61" s="46">
        <f>IF($Q61&lt;=1800,($Q61/360*$K61)*0.5,($Q61-1800)/360*$K61+1800/360*$K61*0.5)</f>
        <v>64182.166666666664</v>
      </c>
      <c r="T61" s="46">
        <f>IF($P61=21,0.0583333333333333*$R61*$K61/30,0.0833333333333333*$R61*$K61/30)</f>
        <v>2203.2598820395729</v>
      </c>
      <c r="U61" s="46">
        <f>IFERROR(IF($R61&gt;=360,IF(O61&gt;4,IF($N61=$AH$23,VLOOKUP($E61,$AF$4:$AG$22,2,0)*4,VLOOKUP($E61,$AF$4:$AG$22,2,0)),IF($N61=$AH$23,VLOOKUP($E61,$AF$4:$AG$22,2,0)*O61,VLOOKUP($E61,$AF$4:$AG$22,2,0))),(IF(O61&gt;4,IF($N61=$AH$23,VLOOKUP($E61,$AF$4:$AG$22,2,0)*4,VLOOKUP($E61,$AF$4:$AG$22,2,0)),IF($N61=$AH$23,VLOOKUP($E61,$AF$4:$AG$22,2,0)*O61,VLOOKUP($E61,$AF$4:$AG$22,2,0))))/360*$R61),0)</f>
        <v>964.45966514459667</v>
      </c>
      <c r="V61" s="46">
        <f>IF(F61&gt;0,DATEDIF($F61,Employee!$Z$1,"Y")*12*30+DATEDIF($F61,Employee!$Z$1,"YM")*30+DATEDIF($F61,Employee!$Z$1,"MD")+1,0)</f>
        <v>4471</v>
      </c>
      <c r="W61" s="46">
        <f>IF(F61&gt;0,IF(M61=$AG$23,0,IF($M61=$AF$23,DATEDIF($F61,Employee!$Z$1,"D")-(DATEDIF($F61,Employee!$Z$1,"D")*5/365)+1,DATEDIF($M61,Employee!$Z$1,"D")-(DATEDIF($M61,Employee!$Z$1,"D")*5/365)+1)),0)</f>
        <v>204.17808219178082</v>
      </c>
      <c r="X61" s="46">
        <f>IF($V61&lt;=1800,($V61/360*$K61)*0.5,($V61-1800)/360*$K61+1800/360*$K61*0.5)</f>
        <v>64744.213888888888</v>
      </c>
      <c r="Y61" s="46">
        <f>IF($P61=21,0.0583333333333333*$W61*$K61/30,0.0833333333333333*$W61*$K61/30)</f>
        <v>2591.3034436834077</v>
      </c>
      <c r="Z61" s="46">
        <f>IFERROR(IF($W61&gt;=360,IF(O61&gt;4,IF($N61=$AH$23,VLOOKUP($E61,$AF$4:$AG$22,2,0)*4,VLOOKUP($E61,$AF$4:$AG$22,2,0)),IF($N61=$AH$23,VLOOKUP($E61,$AF$4:$AG$22,2,0)*O61,VLOOKUP($E61,$AF$4:$AG$22,2,0))),(IF(O61&gt;4,IF($N61=$AH$23,VLOOKUP($E61,$AF$4:$AG$22,2,0)*4,VLOOKUP($E61,$AF$4:$AG$22,2,0)),IF($N61=$AH$23,VLOOKUP($E61,$AF$4:$AG$22,2,0)*O61,VLOOKUP($E61,$AF$4:$AG$22,2,0))))/360*$W61),0)</f>
        <v>1134.3226788432266</v>
      </c>
      <c r="AA61" s="49">
        <f>Table1[[#This Row],[نهاية الخدمة2]]-Table1[[#This Row],[نهاية الخدمة]]</f>
        <v>562.04722222222335</v>
      </c>
      <c r="AB61" s="49">
        <f>Table1[[#This Row],[رصيد اجازات2]]-Table1[[#This Row],[رصيد اجازات]]</f>
        <v>388.04356164383489</v>
      </c>
      <c r="AC61" s="49">
        <f>Table1[[#This Row],[تذاكر سفر2]]-Table1[[#This Row],[تذاكر سفر]]</f>
        <v>169.86301369862997</v>
      </c>
      <c r="AD61" s="5"/>
      <c r="AE61" s="5"/>
      <c r="AF61" s="5"/>
      <c r="AG61" s="5"/>
    </row>
    <row r="62" spans="1:33" ht="21.95" customHeight="1" x14ac:dyDescent="0.35">
      <c r="A62" s="32">
        <f>SUBTOTAL(3,C$3:$C62)</f>
        <v>60</v>
      </c>
      <c r="B62" s="30" t="s">
        <v>136</v>
      </c>
      <c r="C62" s="33" t="s">
        <v>76</v>
      </c>
      <c r="D62" s="50">
        <v>66001101102</v>
      </c>
      <c r="E62" s="51" t="s">
        <v>28</v>
      </c>
      <c r="F62" s="52">
        <v>40179</v>
      </c>
      <c r="G62" s="51">
        <v>35201</v>
      </c>
      <c r="H62" s="51">
        <v>5032</v>
      </c>
      <c r="I62" s="51">
        <v>252</v>
      </c>
      <c r="J62" s="51">
        <v>0</v>
      </c>
      <c r="K62" s="51">
        <f t="shared" si="1"/>
        <v>40485</v>
      </c>
      <c r="L62" s="52">
        <v>44538</v>
      </c>
      <c r="M62" s="52">
        <v>44560</v>
      </c>
      <c r="N62" s="51" t="s">
        <v>24</v>
      </c>
      <c r="O62" s="51">
        <v>0</v>
      </c>
      <c r="P62" s="53">
        <v>21</v>
      </c>
      <c r="Q62" s="54">
        <f>IF(F62&gt;0,DATEDIF($F62,Employee!$U$1,"Y")*12*30+DATEDIF($F62,Employee!$U$1,"YM")*30+DATEDIF($F62,Employee!$U$1,"MD")+1,0)</f>
        <v>4440</v>
      </c>
      <c r="R62" s="51">
        <f>IF(F62&gt;0,IF(M62=$AG$23,0,IF($M62=$AF$23,DATEDIF($F62,Employee!$U$1,"D")-(DATEDIF($F62,Employee!$U$1,"D")*5/365)+1,DATEDIF($M62,Employee!$U$1,"D")-(DATEDIF($M62,Employee!$U$1,"D")*5/365)+1)),0)</f>
        <v>120.34246575342466</v>
      </c>
      <c r="S62" s="51">
        <f>IF($Q62&lt;=1800,($Q62/360*$K62)*0.5,($Q62-1800)/360*$K62+1800/360*$K62*0.5)</f>
        <v>398102.5</v>
      </c>
      <c r="T62" s="51">
        <f>IF($P62=21,0.0583333333333333*$R62*$K62/30,0.0833333333333333*$R62*$K62/30)</f>
        <v>9473.4591894977129</v>
      </c>
      <c r="U62" s="55">
        <f>IFERROR(IF($R62&gt;=360,IF(O62&gt;4,IF($N62=$AH$23,VLOOKUP($E62,$AF$4:$AG$22,2,0)*4,VLOOKUP($E62,$AF$4:$AG$22,2,0)),IF($N62=$AH$23,VLOOKUP($E62,$AF$4:$AG$22,2,0)*O62,VLOOKUP($E62,$AF$4:$AG$22,2,0))),(IF(O62&gt;4,IF($N62=$AH$23,VLOOKUP($E62,$AF$4:$AG$22,2,0)*4,VLOOKUP($E62,$AF$4:$AG$22,2,0)),IF($N62=$AH$23,VLOOKUP($E62,$AF$4:$AG$22,2,0)*O62,VLOOKUP($E62,$AF$4:$AG$22,2,0))))/360*$R62),0)</f>
        <v>601.71232876712327</v>
      </c>
      <c r="V62" s="56">
        <f>IF(F62&gt;0,DATEDIF($F62,Employee!$Z$1,"Y")*12*30+DATEDIF($F62,Employee!$Z$1,"YM")*30+DATEDIF($F62,Employee!$Z$1,"MD")+1,0)</f>
        <v>4471</v>
      </c>
      <c r="W62" s="51">
        <f>IF(F62&gt;0,IF(M62=$AG$23,0,IF($M62=$AF$23,DATEDIF($F62,Employee!$Z$1,"D")-(DATEDIF($F62,Employee!$Z$1,"D")*5/365)+1,DATEDIF($M62,Employee!$Z$1,"D")-(DATEDIF($M62,Employee!$Z$1,"D")*5/365)+1)),0)</f>
        <v>150.91780821917808</v>
      </c>
      <c r="X62" s="51">
        <f>IF($V62&lt;=1800,($V62/360*$K62)*0.5,($V62-1800)/360*$K62+1800/360*$K62*0.5)</f>
        <v>401588.70833333331</v>
      </c>
      <c r="Y62" s="51">
        <f>IF($P62=21,0.0583333333333333*$W62*$K62/30,0.0833333333333333*$W62*$K62/30)</f>
        <v>11880.375627853875</v>
      </c>
      <c r="Z62" s="51">
        <f>IFERROR(IF($W62&gt;=360,IF(O62&gt;4,IF($N62=$AH$23,VLOOKUP($E62,$AF$4:$AG$22,2,0)*4,VLOOKUP($E62,$AF$4:$AG$22,2,0)),IF($N62=$AH$23,VLOOKUP($E62,$AF$4:$AG$22,2,0)*O62,VLOOKUP($E62,$AF$4:$AG$22,2,0))),(IF(O62&gt;4,IF($N62=$AH$23,VLOOKUP($E62,$AF$4:$AG$22,2,0)*4,VLOOKUP($E62,$AF$4:$AG$22,2,0)),IF($N62=$AH$23,VLOOKUP($E62,$AF$4:$AG$22,2,0)*O62,VLOOKUP($E62,$AF$4:$AG$22,2,0))))/360*$W62),0)</f>
        <v>754.58904109589048</v>
      </c>
      <c r="AA62" s="57">
        <f>Table1[[#This Row],[نهاية الخدمة2]]-Table1[[#This Row],[نهاية الخدمة]]</f>
        <v>3486.2083333333139</v>
      </c>
      <c r="AB62" s="57">
        <f>Table1[[#This Row],[رصيد اجازات2]]-Table1[[#This Row],[رصيد اجازات]]</f>
        <v>2406.916438356162</v>
      </c>
      <c r="AC62" s="58">
        <f>Table1[[#This Row],[تذاكر سفر2]]-Table1[[#This Row],[تذاكر سفر]]</f>
        <v>152.87671232876721</v>
      </c>
      <c r="AD62" s="5"/>
      <c r="AE62" s="5"/>
      <c r="AF62" s="5"/>
      <c r="AG62" s="5"/>
    </row>
    <row r="63" spans="1:33" ht="21.95" customHeight="1" x14ac:dyDescent="0.35">
      <c r="A63" s="32">
        <f>SUBTOTAL(3,C$3:$C63)</f>
        <v>61</v>
      </c>
      <c r="B63" s="30" t="s">
        <v>137</v>
      </c>
      <c r="C63" s="31" t="s">
        <v>72</v>
      </c>
      <c r="D63" s="45">
        <v>67101101102</v>
      </c>
      <c r="E63" s="46" t="s">
        <v>31</v>
      </c>
      <c r="F63" s="47">
        <v>40179</v>
      </c>
      <c r="G63" s="46">
        <v>5026</v>
      </c>
      <c r="H63" s="46">
        <v>1001</v>
      </c>
      <c r="I63" s="46">
        <v>500</v>
      </c>
      <c r="J63" s="46">
        <v>0</v>
      </c>
      <c r="K63" s="46">
        <f t="shared" si="1"/>
        <v>6527</v>
      </c>
      <c r="L63" s="47" t="s">
        <v>21</v>
      </c>
      <c r="M63" s="47" t="s">
        <v>21</v>
      </c>
      <c r="N63" s="46" t="s">
        <v>24</v>
      </c>
      <c r="O63" s="46">
        <v>0</v>
      </c>
      <c r="P63" s="48">
        <v>21</v>
      </c>
      <c r="Q63" s="46">
        <f>IF(F63&gt;0,DATEDIF($F63,Employee!$U$1,"Y")*12*30+DATEDIF($F63,Employee!$U$1,"YM")*30+DATEDIF($F63,Employee!$U$1,"MD")+1,0)</f>
        <v>4440</v>
      </c>
      <c r="R63" s="46">
        <f>IF(F63&gt;0,IF(M63=$AG$23,0,IF($M63=$AF$23,DATEDIF($F63,Employee!$U$1,"D")-(DATEDIF($F63,Employee!$U$1,"D")*5/365)+1,DATEDIF($M63,Employee!$U$1,"D")-(DATEDIF($M63,Employee!$U$1,"D")*5/365)+1)),0)</f>
        <v>4441.3287671232874</v>
      </c>
      <c r="S63" s="46">
        <f>IF($Q63&lt;=1800,($Q63/360*$K63)*0.5,($Q63-1800)/360*$K63+1800/360*$K63*0.5)</f>
        <v>64182.166666666664</v>
      </c>
      <c r="T63" s="46">
        <f>IF($P63=21,0.0583333333333333*$R63*$K63/30,0.0833333333333333*$R63*$K63/30)</f>
        <v>56366.630566971042</v>
      </c>
      <c r="U63" s="46">
        <f>IFERROR(IF($R63&gt;=360,IF(O63&gt;4,IF($N63=$AH$23,VLOOKUP($E63,$AF$4:$AG$22,2,0)*4,VLOOKUP($E63,$AF$4:$AG$22,2,0)),IF($N63=$AH$23,VLOOKUP($E63,$AF$4:$AG$22,2,0)*O63,VLOOKUP($E63,$AF$4:$AG$22,2,0))),(IF(O63&gt;4,IF($N63=$AH$23,VLOOKUP($E63,$AF$4:$AG$22,2,0)*4,VLOOKUP($E63,$AF$4:$AG$22,2,0)),IF($N63=$AH$23,VLOOKUP($E63,$AF$4:$AG$22,2,0)*O63,VLOOKUP($E63,$AF$4:$AG$22,2,0))))/360*$R63),0)</f>
        <v>2000</v>
      </c>
      <c r="V63" s="46">
        <f>IF(F63&gt;0,DATEDIF($F63,Employee!$Z$1,"Y")*12*30+DATEDIF($F63,Employee!$Z$1,"YM")*30+DATEDIF($F63,Employee!$Z$1,"MD")+1,0)</f>
        <v>4471</v>
      </c>
      <c r="W63" s="46">
        <f>IF(F63&gt;0,IF(M63=$AG$23,0,IF($M63=$AF$23,DATEDIF($F63,Employee!$Z$1,"D")-(DATEDIF($F63,Employee!$Z$1,"D")*5/365)+1,DATEDIF($M63,Employee!$Z$1,"D")-(DATEDIF($M63,Employee!$Z$1,"D")*5/365)+1)),0)</f>
        <v>4471.9041095890407</v>
      </c>
      <c r="X63" s="46">
        <f>IF($V63&lt;=1800,($V63/360*$K63)*0.5,($V63-1800)/360*$K63+1800/360*$K63*0.5)</f>
        <v>64744.213888888888</v>
      </c>
      <c r="Y63" s="46">
        <f>IF($P63=21,0.0583333333333333*$W63*$K63/30,0.0833333333333333*$W63*$K63/30)</f>
        <v>56754.674128614868</v>
      </c>
      <c r="Z63" s="46">
        <f>IFERROR(IF($W63&gt;=360,IF(O63&gt;4,IF($N63=$AH$23,VLOOKUP($E63,$AF$4:$AG$22,2,0)*4,VLOOKUP($E63,$AF$4:$AG$22,2,0)),IF($N63=$AH$23,VLOOKUP($E63,$AF$4:$AG$22,2,0)*O63,VLOOKUP($E63,$AF$4:$AG$22,2,0))),(IF(O63&gt;4,IF($N63=$AH$23,VLOOKUP($E63,$AF$4:$AG$22,2,0)*4,VLOOKUP($E63,$AF$4:$AG$22,2,0)),IF($N63=$AH$23,VLOOKUP($E63,$AF$4:$AG$22,2,0)*O63,VLOOKUP($E63,$AF$4:$AG$22,2,0))))/360*$W63),0)</f>
        <v>2000</v>
      </c>
      <c r="AA63" s="49">
        <f>Table1[[#This Row],[نهاية الخدمة2]]-Table1[[#This Row],[نهاية الخدمة]]</f>
        <v>562.04722222222335</v>
      </c>
      <c r="AB63" s="49">
        <f>Table1[[#This Row],[رصيد اجازات2]]-Table1[[#This Row],[رصيد اجازات]]</f>
        <v>388.04356164382625</v>
      </c>
      <c r="AC63" s="49">
        <f>Table1[[#This Row],[تذاكر سفر2]]-Table1[[#This Row],[تذاكر سفر]]</f>
        <v>0</v>
      </c>
      <c r="AD63" s="5"/>
      <c r="AE63" s="5"/>
      <c r="AF63" s="5"/>
      <c r="AG63" s="5"/>
    </row>
    <row r="64" spans="1:33" ht="21.95" customHeight="1" x14ac:dyDescent="0.35">
      <c r="A64" s="32">
        <f>SUBTOTAL(3,C$3:$C64)</f>
        <v>62</v>
      </c>
      <c r="B64" s="30" t="s">
        <v>138</v>
      </c>
      <c r="C64" s="33" t="s">
        <v>73</v>
      </c>
      <c r="D64" s="50">
        <v>68201101102</v>
      </c>
      <c r="E64" s="51" t="s">
        <v>30</v>
      </c>
      <c r="F64" s="52">
        <v>40179</v>
      </c>
      <c r="G64" s="51">
        <v>35201</v>
      </c>
      <c r="H64" s="51">
        <v>5032</v>
      </c>
      <c r="I64" s="51">
        <v>252</v>
      </c>
      <c r="J64" s="51">
        <v>0</v>
      </c>
      <c r="K64" s="51">
        <f t="shared" si="1"/>
        <v>40485</v>
      </c>
      <c r="L64" s="52" t="s">
        <v>21</v>
      </c>
      <c r="M64" s="52" t="s">
        <v>21</v>
      </c>
      <c r="N64" s="51" t="s">
        <v>24</v>
      </c>
      <c r="O64" s="51">
        <v>0</v>
      </c>
      <c r="P64" s="53">
        <v>21</v>
      </c>
      <c r="Q64" s="54">
        <f>IF(F64&gt;0,DATEDIF($F64,Employee!$U$1,"Y")*12*30+DATEDIF($F64,Employee!$U$1,"YM")*30+DATEDIF($F64,Employee!$U$1,"MD")+1,0)</f>
        <v>4440</v>
      </c>
      <c r="R64" s="51">
        <f>IF(F64&gt;0,IF(M64=$AG$23,0,IF($M64=$AF$23,DATEDIF($F64,Employee!$U$1,"D")-(DATEDIF($F64,Employee!$U$1,"D")*5/365)+1,DATEDIF($M64,Employee!$U$1,"D")-(DATEDIF($M64,Employee!$U$1,"D")*5/365)+1)),0)</f>
        <v>4441.3287671232874</v>
      </c>
      <c r="S64" s="51">
        <f>IF($Q64&lt;=1800,($Q64/360*$K64)*0.5,($Q64-1800)/360*$K64+1800/360*$K64*0.5)</f>
        <v>398102.5</v>
      </c>
      <c r="T64" s="51">
        <f>IF($P64=21,0.0583333333333333*$R64*$K64/30,0.0833333333333333*$R64*$K64/30)</f>
        <v>349625.10165525094</v>
      </c>
      <c r="U64" s="55">
        <f>IFERROR(IF($R64&gt;=360,IF(O64&gt;4,IF($N64=$AH$23,VLOOKUP($E64,$AF$4:$AG$22,2,0)*4,VLOOKUP($E64,$AF$4:$AG$22,2,0)),IF($N64=$AH$23,VLOOKUP($E64,$AF$4:$AG$22,2,0)*O64,VLOOKUP($E64,$AF$4:$AG$22,2,0))),(IF(O64&gt;4,IF($N64=$AH$23,VLOOKUP($E64,$AF$4:$AG$22,2,0)*4,VLOOKUP($E64,$AF$4:$AG$22,2,0)),IF($N64=$AH$23,VLOOKUP($E64,$AF$4:$AG$22,2,0)*O64,VLOOKUP($E64,$AF$4:$AG$22,2,0))))/360*$R64),0)</f>
        <v>0</v>
      </c>
      <c r="V64" s="56">
        <f>IF(F64&gt;0,DATEDIF($F64,Employee!$Z$1,"Y")*12*30+DATEDIF($F64,Employee!$Z$1,"YM")*30+DATEDIF($F64,Employee!$Z$1,"MD")+1,0)</f>
        <v>4471</v>
      </c>
      <c r="W64" s="51">
        <f>IF(F64&gt;0,IF(M64=$AG$23,0,IF($M64=$AF$23,DATEDIF($F64,Employee!$Z$1,"D")-(DATEDIF($F64,Employee!$Z$1,"D")*5/365)+1,DATEDIF($M64,Employee!$Z$1,"D")-(DATEDIF($M64,Employee!$Z$1,"D")*5/365)+1)),0)</f>
        <v>4471.9041095890407</v>
      </c>
      <c r="X64" s="51">
        <f>IF($V64&lt;=1800,($V64/360*$K64)*0.5,($V64-1800)/360*$K64+1800/360*$K64*0.5)</f>
        <v>401588.70833333331</v>
      </c>
      <c r="Y64" s="51">
        <f>IF($P64=21,0.0583333333333333*$W64*$K64/30,0.0833333333333333*$W64*$K64/30)</f>
        <v>352032.01809360704</v>
      </c>
      <c r="Z64" s="51">
        <f>IFERROR(IF($W64&gt;=360,IF(O64&gt;4,IF($N64=$AH$23,VLOOKUP($E64,$AF$4:$AG$22,2,0)*4,VLOOKUP($E64,$AF$4:$AG$22,2,0)),IF($N64=$AH$23,VLOOKUP($E64,$AF$4:$AG$22,2,0)*O64,VLOOKUP($E64,$AF$4:$AG$22,2,0))),(IF(O64&gt;4,IF($N64=$AH$23,VLOOKUP($E64,$AF$4:$AG$22,2,0)*4,VLOOKUP($E64,$AF$4:$AG$22,2,0)),IF($N64=$AH$23,VLOOKUP($E64,$AF$4:$AG$22,2,0)*O64,VLOOKUP($E64,$AF$4:$AG$22,2,0))))/360*$W64),0)</f>
        <v>0</v>
      </c>
      <c r="AA64" s="57">
        <f>Table1[[#This Row],[نهاية الخدمة2]]-Table1[[#This Row],[نهاية الخدمة]]</f>
        <v>3486.2083333333139</v>
      </c>
      <c r="AB64" s="57">
        <f>Table1[[#This Row],[رصيد اجازات2]]-Table1[[#This Row],[رصيد اجازات]]</f>
        <v>2406.9164383561001</v>
      </c>
      <c r="AC64" s="58">
        <f>Table1[[#This Row],[تذاكر سفر2]]-Table1[[#This Row],[تذاكر سفر]]</f>
        <v>0</v>
      </c>
      <c r="AD64" s="5"/>
      <c r="AE64" s="5"/>
      <c r="AF64" s="5"/>
      <c r="AG64" s="5"/>
    </row>
    <row r="65" spans="1:33" ht="21.95" customHeight="1" x14ac:dyDescent="0.35">
      <c r="A65" s="32">
        <f>SUBTOTAL(3,C$3:$C65)</f>
        <v>63</v>
      </c>
      <c r="B65" s="30" t="s">
        <v>139</v>
      </c>
      <c r="C65" s="33" t="s">
        <v>74</v>
      </c>
      <c r="D65" s="45">
        <v>69301101102</v>
      </c>
      <c r="E65" s="46" t="s">
        <v>26</v>
      </c>
      <c r="F65" s="47">
        <v>40179</v>
      </c>
      <c r="G65" s="46">
        <v>5026</v>
      </c>
      <c r="H65" s="46">
        <v>1001</v>
      </c>
      <c r="I65" s="46">
        <v>500</v>
      </c>
      <c r="J65" s="46">
        <v>0</v>
      </c>
      <c r="K65" s="46">
        <f t="shared" si="1"/>
        <v>6527</v>
      </c>
      <c r="L65" s="47">
        <v>44478</v>
      </c>
      <c r="M65" s="47">
        <v>44510</v>
      </c>
      <c r="N65" s="46" t="s">
        <v>24</v>
      </c>
      <c r="O65" s="46">
        <v>0</v>
      </c>
      <c r="P65" s="48">
        <v>30</v>
      </c>
      <c r="Q65" s="46">
        <f>IF(F65&gt;0,DATEDIF($F65,Employee!$U$1,"Y")*12*30+DATEDIF($F65,Employee!$U$1,"YM")*30+DATEDIF($F65,Employee!$U$1,"MD")+1,0)</f>
        <v>4440</v>
      </c>
      <c r="R65" s="46">
        <f>IF(F65&gt;0,IF(M65=$AG$23,0,IF($M65=$AF$23,DATEDIF($F65,Employee!$U$1,"D")-(DATEDIF($F65,Employee!$U$1,"D")*5/365)+1,DATEDIF($M65,Employee!$U$1,"D")-(DATEDIF($M65,Employee!$U$1,"D")*5/365)+1)),0)</f>
        <v>169.65753424657535</v>
      </c>
      <c r="S65" s="46">
        <f>IF($Q65&lt;=1800,($Q65/360*$K65)*0.5,($Q65-1800)/360*$K65+1800/360*$K65*0.5)</f>
        <v>64182.166666666664</v>
      </c>
      <c r="T65" s="46">
        <f>IF($P65=21,0.0583333333333333*$R65*$K65/30,0.0833333333333333*$R65*$K65/30)</f>
        <v>3075.9853500761023</v>
      </c>
      <c r="U65" s="46">
        <f>IFERROR(IF($R65&gt;=360,IF(O65&gt;4,IF($N65=$AH$23,VLOOKUP($E65,$AF$4:$AG$22,2,0)*4,VLOOKUP($E65,$AF$4:$AG$22,2,0)),IF($N65=$AH$23,VLOOKUP($E65,$AF$4:$AG$22,2,0)*O65,VLOOKUP($E65,$AF$4:$AG$22,2,0))),(IF(O65&gt;4,IF($N65=$AH$23,VLOOKUP($E65,$AF$4:$AG$22,2,0)*4,VLOOKUP($E65,$AF$4:$AG$22,2,0)),IF($N65=$AH$23,VLOOKUP($E65,$AF$4:$AG$22,2,0)*O65,VLOOKUP($E65,$AF$4:$AG$22,2,0))))/360*$R65),0)</f>
        <v>706.90639269406404</v>
      </c>
      <c r="V65" s="46">
        <f>IF(F65&gt;0,DATEDIF($F65,Employee!$Z$1,"Y")*12*30+DATEDIF($F65,Employee!$Z$1,"YM")*30+DATEDIF($F65,Employee!$Z$1,"MD")+1,0)</f>
        <v>4471</v>
      </c>
      <c r="W65" s="46">
        <f>IF(F65&gt;0,IF(M65=$AG$23,0,IF($M65=$AF$23,DATEDIF($F65,Employee!$Z$1,"D")-(DATEDIF($F65,Employee!$Z$1,"D")*5/365)+1,DATEDIF($M65,Employee!$Z$1,"D")-(DATEDIF($M65,Employee!$Z$1,"D")*5/365)+1)),0)</f>
        <v>200.23287671232876</v>
      </c>
      <c r="X65" s="46">
        <f>IF($V65&lt;=1800,($V65/360*$K65)*0.5,($V65-1800)/360*$K65+1800/360*$K65*0.5)</f>
        <v>64744.213888888888</v>
      </c>
      <c r="Y65" s="46">
        <f>IF($P65=21,0.0583333333333333*$W65*$K65/30,0.0833333333333333*$W65*$K65/30)</f>
        <v>3630.3332952815813</v>
      </c>
      <c r="Z65" s="46">
        <f>IFERROR(IF($W65&gt;=360,IF(O65&gt;4,IF($N65=$AH$23,VLOOKUP($E65,$AF$4:$AG$22,2,0)*4,VLOOKUP($E65,$AF$4:$AG$22,2,0)),IF($N65=$AH$23,VLOOKUP($E65,$AF$4:$AG$22,2,0)*O65,VLOOKUP($E65,$AF$4:$AG$22,2,0))),(IF(O65&gt;4,IF($N65=$AH$23,VLOOKUP($E65,$AF$4:$AG$22,2,0)*4,VLOOKUP($E65,$AF$4:$AG$22,2,0)),IF($N65=$AH$23,VLOOKUP($E65,$AF$4:$AG$22,2,0)*O65,VLOOKUP($E65,$AF$4:$AG$22,2,0))))/360*$W65),0)</f>
        <v>834.30365296803654</v>
      </c>
      <c r="AA65" s="49">
        <f>Table1[[#This Row],[نهاية الخدمة2]]-Table1[[#This Row],[نهاية الخدمة]]</f>
        <v>562.04722222222335</v>
      </c>
      <c r="AB65" s="49">
        <f>Table1[[#This Row],[رصيد اجازات2]]-Table1[[#This Row],[رصيد اجازات]]</f>
        <v>554.34794520547894</v>
      </c>
      <c r="AC65" s="49">
        <f>Table1[[#This Row],[تذاكر سفر2]]-Table1[[#This Row],[تذاكر سفر]]</f>
        <v>127.39726027397251</v>
      </c>
      <c r="AD65" s="5"/>
      <c r="AE65" s="5"/>
      <c r="AF65" s="5"/>
      <c r="AG65" s="5"/>
    </row>
    <row r="66" spans="1:33" ht="21.95" customHeight="1" x14ac:dyDescent="0.35">
      <c r="A66" s="32">
        <f>SUBTOTAL(3,C$3:$C66)</f>
        <v>64</v>
      </c>
      <c r="B66" s="30" t="s">
        <v>140</v>
      </c>
      <c r="C66" s="34" t="s">
        <v>75</v>
      </c>
      <c r="D66" s="50">
        <v>70401101102</v>
      </c>
      <c r="E66" s="51" t="s">
        <v>26</v>
      </c>
      <c r="F66" s="52">
        <v>40179</v>
      </c>
      <c r="G66" s="51">
        <v>35201</v>
      </c>
      <c r="H66" s="51">
        <v>5032</v>
      </c>
      <c r="I66" s="51">
        <v>252</v>
      </c>
      <c r="J66" s="51">
        <v>0</v>
      </c>
      <c r="K66" s="51">
        <f t="shared" si="1"/>
        <v>40485</v>
      </c>
      <c r="L66" s="52">
        <v>44334</v>
      </c>
      <c r="M66" s="52">
        <v>44348</v>
      </c>
      <c r="N66" s="51" t="s">
        <v>24</v>
      </c>
      <c r="O66" s="51">
        <v>0</v>
      </c>
      <c r="P66" s="53">
        <v>30</v>
      </c>
      <c r="Q66" s="54">
        <f>IF(F66&gt;0,DATEDIF($F66,Employee!$U$1,"Y")*12*30+DATEDIF($F66,Employee!$U$1,"YM")*30+DATEDIF($F66,Employee!$U$1,"MD")+1,0)</f>
        <v>4440</v>
      </c>
      <c r="R66" s="51">
        <f>IF(F66&gt;0,IF(M66=$AG$23,0,IF($M66=$AF$23,DATEDIF($F66,Employee!$U$1,"D")-(DATEDIF($F66,Employee!$U$1,"D")*5/365)+1,DATEDIF($M66,Employee!$U$1,"D")-(DATEDIF($M66,Employee!$U$1,"D")*5/365)+1)),0)</f>
        <v>329.43835616438355</v>
      </c>
      <c r="S66" s="51">
        <f>IF($Q66&lt;=1800,($Q66/360*$K66)*0.5,($Q66-1800)/360*$K66+1800/360*$K66*0.5)</f>
        <v>398102.5</v>
      </c>
      <c r="T66" s="51">
        <f>IF($P66=21,0.0583333333333333*$R66*$K66/30,0.0833333333333333*$R66*$K66/30)</f>
        <v>37048.088470319621</v>
      </c>
      <c r="U66" s="55">
        <f>IFERROR(IF($R66&gt;=360,IF(O66&gt;4,IF($N66=$AH$23,VLOOKUP($E66,$AF$4:$AG$22,2,0)*4,VLOOKUP($E66,$AF$4:$AG$22,2,0)),IF($N66=$AH$23,VLOOKUP($E66,$AF$4:$AG$22,2,0)*O66,VLOOKUP($E66,$AF$4:$AG$22,2,0))),(IF(O66&gt;4,IF($N66=$AH$23,VLOOKUP($E66,$AF$4:$AG$22,2,0)*4,VLOOKUP($E66,$AF$4:$AG$22,2,0)),IF($N66=$AH$23,VLOOKUP($E66,$AF$4:$AG$22,2,0)*O66,VLOOKUP($E66,$AF$4:$AG$22,2,0))))/360*$R66),0)</f>
        <v>1372.6598173515981</v>
      </c>
      <c r="V66" s="56">
        <f>IF(F66&gt;0,DATEDIF($F66,Employee!$Z$1,"Y")*12*30+DATEDIF($F66,Employee!$Z$1,"YM")*30+DATEDIF($F66,Employee!$Z$1,"MD")+1,0)</f>
        <v>4471</v>
      </c>
      <c r="W66" s="51">
        <f>IF(F66&gt;0,IF(M66=$AG$23,0,IF($M66=$AF$23,DATEDIF($F66,Employee!$Z$1,"D")-(DATEDIF($F66,Employee!$Z$1,"D")*5/365)+1,DATEDIF($M66,Employee!$Z$1,"D")-(DATEDIF($M66,Employee!$Z$1,"D")*5/365)+1)),0)</f>
        <v>360.01369863013701</v>
      </c>
      <c r="X66" s="51">
        <f>IF($V66&lt;=1800,($V66/360*$K66)*0.5,($V66-1800)/360*$K66+1800/360*$K66*0.5)</f>
        <v>401588.70833333331</v>
      </c>
      <c r="Y66" s="51">
        <f>IF($P66=21,0.0583333333333333*$W66*$K66/30,0.0833333333333333*$W66*$K66/30)</f>
        <v>40486.540525114142</v>
      </c>
      <c r="Z66" s="51">
        <f>IFERROR(IF($W66&gt;=360,IF(O66&gt;4,IF($N66=$AH$23,VLOOKUP($E66,$AF$4:$AG$22,2,0)*4,VLOOKUP($E66,$AF$4:$AG$22,2,0)),IF($N66=$AH$23,VLOOKUP($E66,$AF$4:$AG$22,2,0)*O66,VLOOKUP($E66,$AF$4:$AG$22,2,0))),(IF(O66&gt;4,IF($N66=$AH$23,VLOOKUP($E66,$AF$4:$AG$22,2,0)*4,VLOOKUP($E66,$AF$4:$AG$22,2,0)),IF($N66=$AH$23,VLOOKUP($E66,$AF$4:$AG$22,2,0)*O66,VLOOKUP($E66,$AF$4:$AG$22,2,0))))/360*$W66),0)</f>
        <v>1500</v>
      </c>
      <c r="AA66" s="57">
        <f>Table1[[#This Row],[نهاية الخدمة2]]-Table1[[#This Row],[نهاية الخدمة]]</f>
        <v>3486.2083333333139</v>
      </c>
      <c r="AB66" s="57">
        <f>Table1[[#This Row],[رصيد اجازات2]]-Table1[[#This Row],[رصيد اجازات]]</f>
        <v>3438.4520547945212</v>
      </c>
      <c r="AC66" s="58">
        <f>Table1[[#This Row],[تذاكر سفر2]]-Table1[[#This Row],[تذاكر سفر]]</f>
        <v>127.34018264840188</v>
      </c>
      <c r="AD66" s="5"/>
      <c r="AE66" s="5"/>
      <c r="AF66" s="5"/>
      <c r="AG66" s="5"/>
    </row>
    <row r="67" spans="1:33" ht="21.95" customHeight="1" x14ac:dyDescent="0.35">
      <c r="A67" s="32">
        <f>SUBTOTAL(3,C$3:$C67)</f>
        <v>65</v>
      </c>
      <c r="B67" s="30" t="s">
        <v>141</v>
      </c>
      <c r="C67" s="33" t="s">
        <v>76</v>
      </c>
      <c r="D67" s="45">
        <v>71501101102</v>
      </c>
      <c r="E67" s="46" t="s">
        <v>31</v>
      </c>
      <c r="F67" s="47">
        <v>40179</v>
      </c>
      <c r="G67" s="46">
        <v>5026</v>
      </c>
      <c r="H67" s="46">
        <v>1001</v>
      </c>
      <c r="I67" s="46">
        <v>500</v>
      </c>
      <c r="J67" s="46">
        <v>0</v>
      </c>
      <c r="K67" s="46">
        <f t="shared" ref="K67:K98" si="2">G67+H67+I67+J67</f>
        <v>6527</v>
      </c>
      <c r="L67" s="47" t="s">
        <v>21</v>
      </c>
      <c r="M67" s="47" t="s">
        <v>21</v>
      </c>
      <c r="N67" s="46" t="s">
        <v>24</v>
      </c>
      <c r="O67" s="46">
        <v>0</v>
      </c>
      <c r="P67" s="48">
        <v>21</v>
      </c>
      <c r="Q67" s="46">
        <f>IF(F67&gt;0,DATEDIF($F67,Employee!$U$1,"Y")*12*30+DATEDIF($F67,Employee!$U$1,"YM")*30+DATEDIF($F67,Employee!$U$1,"MD")+1,0)</f>
        <v>4440</v>
      </c>
      <c r="R67" s="46">
        <f>IF(F67&gt;0,IF(M67=$AG$23,0,IF($M67=$AF$23,DATEDIF($F67,Employee!$U$1,"D")-(DATEDIF($F67,Employee!$U$1,"D")*5/365)+1,DATEDIF($M67,Employee!$U$1,"D")-(DATEDIF($M67,Employee!$U$1,"D")*5/365)+1)),0)</f>
        <v>4441.3287671232874</v>
      </c>
      <c r="S67" s="46">
        <f>IF($Q67&lt;=1800,($Q67/360*$K67)*0.5,($Q67-1800)/360*$K67+1800/360*$K67*0.5)</f>
        <v>64182.166666666664</v>
      </c>
      <c r="T67" s="46">
        <f>IF($P67=21,0.0583333333333333*$R67*$K67/30,0.0833333333333333*$R67*$K67/30)</f>
        <v>56366.630566971042</v>
      </c>
      <c r="U67" s="46">
        <f>IFERROR(IF($R67&gt;=360,IF(O67&gt;4,IF($N67=$AH$23,VLOOKUP($E67,$AF$4:$AG$22,2,0)*4,VLOOKUP($E67,$AF$4:$AG$22,2,0)),IF($N67=$AH$23,VLOOKUP($E67,$AF$4:$AG$22,2,0)*O67,VLOOKUP($E67,$AF$4:$AG$22,2,0))),(IF(O67&gt;4,IF($N67=$AH$23,VLOOKUP($E67,$AF$4:$AG$22,2,0)*4,VLOOKUP($E67,$AF$4:$AG$22,2,0)),IF($N67=$AH$23,VLOOKUP($E67,$AF$4:$AG$22,2,0)*O67,VLOOKUP($E67,$AF$4:$AG$22,2,0))))/360*$R67),0)</f>
        <v>2000</v>
      </c>
      <c r="V67" s="46">
        <f>IF(F67&gt;0,DATEDIF($F67,Employee!$Z$1,"Y")*12*30+DATEDIF($F67,Employee!$Z$1,"YM")*30+DATEDIF($F67,Employee!$Z$1,"MD")+1,0)</f>
        <v>4471</v>
      </c>
      <c r="W67" s="46">
        <f>IF(F67&gt;0,IF(M67=$AG$23,0,IF($M67=$AF$23,DATEDIF($F67,Employee!$Z$1,"D")-(DATEDIF($F67,Employee!$Z$1,"D")*5/365)+1,DATEDIF($M67,Employee!$Z$1,"D")-(DATEDIF($M67,Employee!$Z$1,"D")*5/365)+1)),0)</f>
        <v>4471.9041095890407</v>
      </c>
      <c r="X67" s="46">
        <f>IF($V67&lt;=1800,($V67/360*$K67)*0.5,($V67-1800)/360*$K67+1800/360*$K67*0.5)</f>
        <v>64744.213888888888</v>
      </c>
      <c r="Y67" s="46">
        <f>IF($P67=21,0.0583333333333333*$W67*$K67/30,0.0833333333333333*$W67*$K67/30)</f>
        <v>56754.674128614868</v>
      </c>
      <c r="Z67" s="46">
        <f>IFERROR(IF($W67&gt;=360,IF(O67&gt;4,IF($N67=$AH$23,VLOOKUP($E67,$AF$4:$AG$22,2,0)*4,VLOOKUP($E67,$AF$4:$AG$22,2,0)),IF($N67=$AH$23,VLOOKUP($E67,$AF$4:$AG$22,2,0)*O67,VLOOKUP($E67,$AF$4:$AG$22,2,0))),(IF(O67&gt;4,IF($N67=$AH$23,VLOOKUP($E67,$AF$4:$AG$22,2,0)*4,VLOOKUP($E67,$AF$4:$AG$22,2,0)),IF($N67=$AH$23,VLOOKUP($E67,$AF$4:$AG$22,2,0)*O67,VLOOKUP($E67,$AF$4:$AG$22,2,0))))/360*$W67),0)</f>
        <v>2000</v>
      </c>
      <c r="AA67" s="49">
        <f>Table1[[#This Row],[نهاية الخدمة2]]-Table1[[#This Row],[نهاية الخدمة]]</f>
        <v>562.04722222222335</v>
      </c>
      <c r="AB67" s="49">
        <f>Table1[[#This Row],[رصيد اجازات2]]-Table1[[#This Row],[رصيد اجازات]]</f>
        <v>388.04356164382625</v>
      </c>
      <c r="AC67" s="49">
        <f>Table1[[#This Row],[تذاكر سفر2]]-Table1[[#This Row],[تذاكر سفر]]</f>
        <v>0</v>
      </c>
      <c r="AD67" s="5"/>
      <c r="AE67" s="5"/>
      <c r="AF67" s="5"/>
      <c r="AG67" s="5"/>
    </row>
    <row r="68" spans="1:33" ht="21.95" customHeight="1" x14ac:dyDescent="0.35">
      <c r="A68" s="32">
        <f>SUBTOTAL(3,C$3:$C68)</f>
        <v>66</v>
      </c>
      <c r="B68" s="30" t="s">
        <v>142</v>
      </c>
      <c r="C68" s="31" t="s">
        <v>72</v>
      </c>
      <c r="D68" s="50">
        <v>72601101102</v>
      </c>
      <c r="E68" s="51" t="s">
        <v>27</v>
      </c>
      <c r="F68" s="52">
        <v>40179</v>
      </c>
      <c r="G68" s="51">
        <v>35201</v>
      </c>
      <c r="H68" s="51">
        <v>5032</v>
      </c>
      <c r="I68" s="51">
        <v>252</v>
      </c>
      <c r="J68" s="51">
        <v>0</v>
      </c>
      <c r="K68" s="51">
        <f t="shared" si="2"/>
        <v>40485</v>
      </c>
      <c r="L68" s="52">
        <v>43693</v>
      </c>
      <c r="M68" s="52">
        <v>44166</v>
      </c>
      <c r="N68" s="51" t="s">
        <v>24</v>
      </c>
      <c r="O68" s="51">
        <v>0</v>
      </c>
      <c r="P68" s="53">
        <v>21</v>
      </c>
      <c r="Q68" s="54">
        <f>IF(F68&gt;0,DATEDIF($F68,Employee!$U$1,"Y")*12*30+DATEDIF($F68,Employee!$U$1,"YM")*30+DATEDIF($F68,Employee!$U$1,"MD")+1,0)</f>
        <v>4440</v>
      </c>
      <c r="R68" s="51">
        <f>IF(F68&gt;0,IF(M68=$AG$23,0,IF($M68=$AF$23,DATEDIF($F68,Employee!$U$1,"D")-(DATEDIF($F68,Employee!$U$1,"D")*5/365)+1,DATEDIF($M68,Employee!$U$1,"D")-(DATEDIF($M68,Employee!$U$1,"D")*5/365)+1)),0)</f>
        <v>508.94520547945206</v>
      </c>
      <c r="S68" s="51">
        <f>IF($Q68&lt;=1800,($Q68/360*$K68)*0.5,($Q68-1800)/360*$K68+1800/360*$K68*0.5)</f>
        <v>398102.5</v>
      </c>
      <c r="T68" s="51">
        <f>IF($P68=21,0.0583333333333333*$R68*$K68/30,0.0833333333333333*$R68*$K68/30)</f>
        <v>40064.590696347012</v>
      </c>
      <c r="U68" s="55">
        <f>IFERROR(IF($R68&gt;=360,IF(O68&gt;4,IF($N68=$AH$23,VLOOKUP($E68,$AF$4:$AG$22,2,0)*4,VLOOKUP($E68,$AF$4:$AG$22,2,0)),IF($N68=$AH$23,VLOOKUP($E68,$AF$4:$AG$22,2,0)*O68,VLOOKUP($E68,$AF$4:$AG$22,2,0))),(IF(O68&gt;4,IF($N68=$AH$23,VLOOKUP($E68,$AF$4:$AG$22,2,0)*4,VLOOKUP($E68,$AF$4:$AG$22,2,0)),IF($N68=$AH$23,VLOOKUP($E68,$AF$4:$AG$22,2,0)*O68,VLOOKUP($E68,$AF$4:$AG$22,2,0))))/360*$R68),0)</f>
        <v>2000</v>
      </c>
      <c r="V68" s="56">
        <f>IF(F68&gt;0,DATEDIF($F68,Employee!$Z$1,"Y")*12*30+DATEDIF($F68,Employee!$Z$1,"YM")*30+DATEDIF($F68,Employee!$Z$1,"MD")+1,0)</f>
        <v>4471</v>
      </c>
      <c r="W68" s="51">
        <f>IF(F68&gt;0,IF(M68=$AG$23,0,IF($M68=$AF$23,DATEDIF($F68,Employee!$Z$1,"D")-(DATEDIF($F68,Employee!$Z$1,"D")*5/365)+1,DATEDIF($M68,Employee!$Z$1,"D")-(DATEDIF($M68,Employee!$Z$1,"D")*5/365)+1)),0)</f>
        <v>539.52054794520552</v>
      </c>
      <c r="X68" s="51">
        <f>IF($V68&lt;=1800,($V68/360*$K68)*0.5,($V68-1800)/360*$K68+1800/360*$K68*0.5)</f>
        <v>401588.70833333331</v>
      </c>
      <c r="Y68" s="51">
        <f>IF($P68=21,0.0583333333333333*$W68*$K68/30,0.0833333333333333*$W68*$K68/30)</f>
        <v>42471.507134703177</v>
      </c>
      <c r="Z68" s="51">
        <f>IFERROR(IF($W68&gt;=360,IF(O68&gt;4,IF($N68=$AH$23,VLOOKUP($E68,$AF$4:$AG$22,2,0)*4,VLOOKUP($E68,$AF$4:$AG$22,2,0)),IF($N68=$AH$23,VLOOKUP($E68,$AF$4:$AG$22,2,0)*O68,VLOOKUP($E68,$AF$4:$AG$22,2,0))),(IF(O68&gt;4,IF($N68=$AH$23,VLOOKUP($E68,$AF$4:$AG$22,2,0)*4,VLOOKUP($E68,$AF$4:$AG$22,2,0)),IF($N68=$AH$23,VLOOKUP($E68,$AF$4:$AG$22,2,0)*O68,VLOOKUP($E68,$AF$4:$AG$22,2,0))))/360*$W68),0)</f>
        <v>2000</v>
      </c>
      <c r="AA68" s="57">
        <f>Table1[[#This Row],[نهاية الخدمة2]]-Table1[[#This Row],[نهاية الخدمة]]</f>
        <v>3486.2083333333139</v>
      </c>
      <c r="AB68" s="57">
        <f>Table1[[#This Row],[رصيد اجازات2]]-Table1[[#This Row],[رصيد اجازات]]</f>
        <v>2406.9164383561656</v>
      </c>
      <c r="AC68" s="58">
        <f>Table1[[#This Row],[تذاكر سفر2]]-Table1[[#This Row],[تذاكر سفر]]</f>
        <v>0</v>
      </c>
      <c r="AD68" s="5"/>
      <c r="AE68" s="5"/>
      <c r="AF68" s="5"/>
      <c r="AG68" s="5"/>
    </row>
    <row r="69" spans="1:33" ht="21.95" customHeight="1" x14ac:dyDescent="0.35">
      <c r="A69" s="32">
        <f>SUBTOTAL(3,C$3:$C69)</f>
        <v>67</v>
      </c>
      <c r="B69" s="30" t="s">
        <v>143</v>
      </c>
      <c r="C69" s="33" t="s">
        <v>73</v>
      </c>
      <c r="D69" s="45">
        <v>73701101102</v>
      </c>
      <c r="E69" s="46" t="s">
        <v>31</v>
      </c>
      <c r="F69" s="47">
        <v>40179</v>
      </c>
      <c r="G69" s="46">
        <v>5026</v>
      </c>
      <c r="H69" s="46">
        <v>1001</v>
      </c>
      <c r="I69" s="46">
        <v>500</v>
      </c>
      <c r="J69" s="46">
        <v>0</v>
      </c>
      <c r="K69" s="46">
        <f t="shared" si="2"/>
        <v>6527</v>
      </c>
      <c r="L69" s="47">
        <v>44400</v>
      </c>
      <c r="M69" s="47">
        <v>44423</v>
      </c>
      <c r="N69" s="46" t="s">
        <v>24</v>
      </c>
      <c r="O69" s="46">
        <v>0</v>
      </c>
      <c r="P69" s="48">
        <v>21</v>
      </c>
      <c r="Q69" s="46">
        <f>IF(F69&gt;0,DATEDIF($F69,Employee!$U$1,"Y")*12*30+DATEDIF($F69,Employee!$U$1,"YM")*30+DATEDIF($F69,Employee!$U$1,"MD")+1,0)</f>
        <v>4440</v>
      </c>
      <c r="R69" s="46">
        <f>IF(F69&gt;0,IF(M69=$AG$23,0,IF($M69=$AF$23,DATEDIF($F69,Employee!$U$1,"D")-(DATEDIF($F69,Employee!$U$1,"D")*5/365)+1,DATEDIF($M69,Employee!$U$1,"D")-(DATEDIF($M69,Employee!$U$1,"D")*5/365)+1)),0)</f>
        <v>255.46575342465752</v>
      </c>
      <c r="S69" s="46">
        <f>IF($Q69&lt;=1800,($Q69/360*$K69)*0.5,($Q69-1800)/360*$K69+1800/360*$K69*0.5)</f>
        <v>64182.166666666664</v>
      </c>
      <c r="T69" s="46">
        <f>IF($P69=21,0.0583333333333333*$R69*$K69/30,0.0833333333333333*$R69*$K69/30)</f>
        <v>3242.2152245053248</v>
      </c>
      <c r="U69" s="46">
        <f>IFERROR(IF($R69&gt;=360,IF(O69&gt;4,IF($N69=$AH$23,VLOOKUP($E69,$AF$4:$AG$22,2,0)*4,VLOOKUP($E69,$AF$4:$AG$22,2,0)),IF($N69=$AH$23,VLOOKUP($E69,$AF$4:$AG$22,2,0)*O69,VLOOKUP($E69,$AF$4:$AG$22,2,0))),(IF(O69&gt;4,IF($N69=$AH$23,VLOOKUP($E69,$AF$4:$AG$22,2,0)*4,VLOOKUP($E69,$AF$4:$AG$22,2,0)),IF($N69=$AH$23,VLOOKUP($E69,$AF$4:$AG$22,2,0)*O69,VLOOKUP($E69,$AF$4:$AG$22,2,0))))/360*$R69),0)</f>
        <v>1419.2541856925418</v>
      </c>
      <c r="V69" s="46">
        <f>IF(F69&gt;0,DATEDIF($F69,Employee!$Z$1,"Y")*12*30+DATEDIF($F69,Employee!$Z$1,"YM")*30+DATEDIF($F69,Employee!$Z$1,"MD")+1,0)</f>
        <v>4471</v>
      </c>
      <c r="W69" s="46">
        <f>IF(F69&gt;0,IF(M69=$AG$23,0,IF($M69=$AF$23,DATEDIF($F69,Employee!$Z$1,"D")-(DATEDIF($F69,Employee!$Z$1,"D")*5/365)+1,DATEDIF($M69,Employee!$Z$1,"D")-(DATEDIF($M69,Employee!$Z$1,"D")*5/365)+1)),0)</f>
        <v>286.04109589041099</v>
      </c>
      <c r="X69" s="46">
        <f>IF($V69&lt;=1800,($V69/360*$K69)*0.5,($V69-1800)/360*$K69+1800/360*$K69*0.5)</f>
        <v>64744.213888888888</v>
      </c>
      <c r="Y69" s="46">
        <f>IF($P69=21,0.0583333333333333*$W69*$K69/30,0.0833333333333333*$W69*$K69/30)</f>
        <v>3630.2587861491611</v>
      </c>
      <c r="Z69" s="46">
        <f>IFERROR(IF($W69&gt;=360,IF(O69&gt;4,IF($N69=$AH$23,VLOOKUP($E69,$AF$4:$AG$22,2,0)*4,VLOOKUP($E69,$AF$4:$AG$22,2,0)),IF($N69=$AH$23,VLOOKUP($E69,$AF$4:$AG$22,2,0)*O69,VLOOKUP($E69,$AF$4:$AG$22,2,0))),(IF(O69&gt;4,IF($N69=$AH$23,VLOOKUP($E69,$AF$4:$AG$22,2,0)*4,VLOOKUP($E69,$AF$4:$AG$22,2,0)),IF($N69=$AH$23,VLOOKUP($E69,$AF$4:$AG$22,2,0)*O69,VLOOKUP($E69,$AF$4:$AG$22,2,0))))/360*$W69),0)</f>
        <v>1589.1171993911721</v>
      </c>
      <c r="AA69" s="49">
        <f>Table1[[#This Row],[نهاية الخدمة2]]-Table1[[#This Row],[نهاية الخدمة]]</f>
        <v>562.04722222222335</v>
      </c>
      <c r="AB69" s="49">
        <f>Table1[[#This Row],[رصيد اجازات2]]-Table1[[#This Row],[رصيد اجازات]]</f>
        <v>388.04356164383626</v>
      </c>
      <c r="AC69" s="49">
        <f>Table1[[#This Row],[تذاكر سفر2]]-Table1[[#This Row],[تذاكر سفر]]</f>
        <v>169.86301369863031</v>
      </c>
      <c r="AD69" s="5"/>
      <c r="AE69" s="5"/>
      <c r="AF69" s="5"/>
      <c r="AG69" s="5"/>
    </row>
    <row r="70" spans="1:33" ht="21.95" customHeight="1" x14ac:dyDescent="0.35">
      <c r="A70" s="32">
        <f>SUBTOTAL(3,C$3:$C70)</f>
        <v>68</v>
      </c>
      <c r="B70" s="30" t="s">
        <v>144</v>
      </c>
      <c r="C70" s="33" t="s">
        <v>74</v>
      </c>
      <c r="D70" s="50">
        <v>74801101102</v>
      </c>
      <c r="E70" s="51" t="s">
        <v>23</v>
      </c>
      <c r="F70" s="52">
        <v>40179</v>
      </c>
      <c r="G70" s="51">
        <v>35201</v>
      </c>
      <c r="H70" s="51">
        <v>5032</v>
      </c>
      <c r="I70" s="51">
        <v>252</v>
      </c>
      <c r="J70" s="51">
        <v>100</v>
      </c>
      <c r="K70" s="51">
        <f t="shared" si="2"/>
        <v>40585</v>
      </c>
      <c r="L70" s="52">
        <v>43506</v>
      </c>
      <c r="M70" s="52">
        <v>43550</v>
      </c>
      <c r="N70" s="51" t="s">
        <v>24</v>
      </c>
      <c r="O70" s="51">
        <v>0</v>
      </c>
      <c r="P70" s="53">
        <v>21</v>
      </c>
      <c r="Q70" s="54">
        <f>IF(F70&gt;0,DATEDIF($F70,Employee!$U$1,"Y")*12*30+DATEDIF($F70,Employee!$U$1,"YM")*30+DATEDIF($F70,Employee!$U$1,"MD")+1,0)</f>
        <v>4440</v>
      </c>
      <c r="R70" s="51">
        <f>IF(F70&gt;0,IF(M70=$AG$23,0,IF($M70=$AF$23,DATEDIF($F70,Employee!$U$1,"D")-(DATEDIF($F70,Employee!$U$1,"D")*5/365)+1,DATEDIF($M70,Employee!$U$1,"D")-(DATEDIF($M70,Employee!$U$1,"D")*5/365)+1)),0)</f>
        <v>1116.5068493150684</v>
      </c>
      <c r="S70" s="51">
        <f>IF($Q70&lt;=1800,($Q70/360*$K70)*0.5,($Q70-1800)/360*$K70+1800/360*$K70*0.5)</f>
        <v>399085.83333333331</v>
      </c>
      <c r="T70" s="51">
        <f>IF($P70=21,0.0583333333333333*$R70*$K70/30,0.0833333333333333*$R70*$K70/30)</f>
        <v>88109.448154490048</v>
      </c>
      <c r="U70" s="55">
        <f>IFERROR(IF($R70&gt;=360,IF(O70&gt;4,IF($N70=$AH$23,VLOOKUP($E70,$AF$4:$AG$22,2,0)*4,VLOOKUP($E70,$AF$4:$AG$22,2,0)),IF($N70=$AH$23,VLOOKUP($E70,$AF$4:$AG$22,2,0)*O70,VLOOKUP($E70,$AF$4:$AG$22,2,0))),(IF(O70&gt;4,IF($N70=$AH$23,VLOOKUP($E70,$AF$4:$AG$22,2,0)*4,VLOOKUP($E70,$AF$4:$AG$22,2,0)),IF($N70=$AH$23,VLOOKUP($E70,$AF$4:$AG$22,2,0)*O70,VLOOKUP($E70,$AF$4:$AG$22,2,0))))/360*$R70),0)</f>
        <v>2250</v>
      </c>
      <c r="V70" s="56">
        <f>IF(F70&gt;0,DATEDIF($F70,Employee!$Z$1,"Y")*12*30+DATEDIF($F70,Employee!$Z$1,"YM")*30+DATEDIF($F70,Employee!$Z$1,"MD")+1,0)</f>
        <v>4471</v>
      </c>
      <c r="W70" s="51">
        <f>IF(F70&gt;0,IF(M70=$AG$23,0,IF($M70=$AF$23,DATEDIF($F70,Employee!$Z$1,"D")-(DATEDIF($F70,Employee!$Z$1,"D")*5/365)+1,DATEDIF($M70,Employee!$Z$1,"D")-(DATEDIF($M70,Employee!$Z$1,"D")*5/365)+1)),0)</f>
        <v>1147.0821917808219</v>
      </c>
      <c r="X70" s="51">
        <f>IF($V70&lt;=1800,($V70/360*$K70)*0.5,($V70-1800)/360*$K70+1800/360*$K70*0.5)</f>
        <v>402580.65277777775</v>
      </c>
      <c r="Y70" s="51">
        <f>IF($P70=21,0.0583333333333333*$W70*$K70/30,0.0833333333333333*$W70*$K70/30)</f>
        <v>90522.309798325659</v>
      </c>
      <c r="Z70" s="51">
        <f>IFERROR(IF($W70&gt;=360,IF(O70&gt;4,IF($N70=$AH$23,VLOOKUP($E70,$AF$4:$AG$22,2,0)*4,VLOOKUP($E70,$AF$4:$AG$22,2,0)),IF($N70=$AH$23,VLOOKUP($E70,$AF$4:$AG$22,2,0)*O70,VLOOKUP($E70,$AF$4:$AG$22,2,0))),(IF(O70&gt;4,IF($N70=$AH$23,VLOOKUP($E70,$AF$4:$AG$22,2,0)*4,VLOOKUP($E70,$AF$4:$AG$22,2,0)),IF($N70=$AH$23,VLOOKUP($E70,$AF$4:$AG$22,2,0)*O70,VLOOKUP($E70,$AF$4:$AG$22,2,0))))/360*$W70),0)</f>
        <v>2250</v>
      </c>
      <c r="AA70" s="57">
        <f>Table1[[#This Row],[نهاية الخدمة2]]-Table1[[#This Row],[نهاية الخدمة]]</f>
        <v>3494.819444444438</v>
      </c>
      <c r="AB70" s="57">
        <f>Table1[[#This Row],[رصيد اجازات2]]-Table1[[#This Row],[رصيد اجازات]]</f>
        <v>2412.8616438356112</v>
      </c>
      <c r="AC70" s="58">
        <f>Table1[[#This Row],[تذاكر سفر2]]-Table1[[#This Row],[تذاكر سفر]]</f>
        <v>0</v>
      </c>
      <c r="AD70" s="5"/>
      <c r="AE70" s="5"/>
      <c r="AF70" s="5"/>
      <c r="AG70" s="5"/>
    </row>
    <row r="71" spans="1:33" ht="21.95" customHeight="1" x14ac:dyDescent="0.35">
      <c r="A71" s="32">
        <f>SUBTOTAL(3,C$3:$C71)</f>
        <v>69</v>
      </c>
      <c r="B71" s="30" t="s">
        <v>145</v>
      </c>
      <c r="C71" s="34" t="s">
        <v>75</v>
      </c>
      <c r="D71" s="45">
        <v>75901101102</v>
      </c>
      <c r="E71" s="46" t="s">
        <v>28</v>
      </c>
      <c r="F71" s="47">
        <v>40179</v>
      </c>
      <c r="G71" s="46">
        <v>5026</v>
      </c>
      <c r="H71" s="46">
        <v>1001</v>
      </c>
      <c r="I71" s="46">
        <v>500</v>
      </c>
      <c r="J71" s="46">
        <v>0</v>
      </c>
      <c r="K71" s="46">
        <f t="shared" si="2"/>
        <v>6527</v>
      </c>
      <c r="L71" s="47" t="s">
        <v>21</v>
      </c>
      <c r="M71" s="47" t="s">
        <v>21</v>
      </c>
      <c r="N71" s="46" t="s">
        <v>24</v>
      </c>
      <c r="O71" s="46">
        <v>0</v>
      </c>
      <c r="P71" s="48">
        <v>21</v>
      </c>
      <c r="Q71" s="46">
        <f>IF(F71&gt;0,DATEDIF($F71,Employee!$U$1,"Y")*12*30+DATEDIF($F71,Employee!$U$1,"YM")*30+DATEDIF($F71,Employee!$U$1,"MD")+1,0)</f>
        <v>4440</v>
      </c>
      <c r="R71" s="46">
        <f>IF(F71&gt;0,IF(M71=$AG$23,0,IF($M71=$AF$23,DATEDIF($F71,Employee!$U$1,"D")-(DATEDIF($F71,Employee!$U$1,"D")*5/365)+1,DATEDIF($M71,Employee!$U$1,"D")-(DATEDIF($M71,Employee!$U$1,"D")*5/365)+1)),0)</f>
        <v>4441.3287671232874</v>
      </c>
      <c r="S71" s="46">
        <f>IF($Q71&lt;=1800,($Q71/360*$K71)*0.5,($Q71-1800)/360*$K71+1800/360*$K71*0.5)</f>
        <v>64182.166666666664</v>
      </c>
      <c r="T71" s="46">
        <f>IF($P71=21,0.0583333333333333*$R71*$K71/30,0.0833333333333333*$R71*$K71/30)</f>
        <v>56366.630566971042</v>
      </c>
      <c r="U71" s="46">
        <f>IFERROR(IF($R71&gt;=360,IF(O71&gt;4,IF($N71=$AH$23,VLOOKUP($E71,$AF$4:$AG$22,2,0)*4,VLOOKUP($E71,$AF$4:$AG$22,2,0)),IF($N71=$AH$23,VLOOKUP($E71,$AF$4:$AG$22,2,0)*O71,VLOOKUP($E71,$AF$4:$AG$22,2,0))),(IF(O71&gt;4,IF($N71=$AH$23,VLOOKUP($E71,$AF$4:$AG$22,2,0)*4,VLOOKUP($E71,$AF$4:$AG$22,2,0)),IF($N71=$AH$23,VLOOKUP($E71,$AF$4:$AG$22,2,0)*O71,VLOOKUP($E71,$AF$4:$AG$22,2,0))))/360*$R71),0)</f>
        <v>1800</v>
      </c>
      <c r="V71" s="46">
        <f>IF(F71&gt;0,DATEDIF($F71,Employee!$Z$1,"Y")*12*30+DATEDIF($F71,Employee!$Z$1,"YM")*30+DATEDIF($F71,Employee!$Z$1,"MD")+1,0)</f>
        <v>4471</v>
      </c>
      <c r="W71" s="46">
        <f>IF(F71&gt;0,IF(M71=$AG$23,0,IF($M71=$AF$23,DATEDIF($F71,Employee!$Z$1,"D")-(DATEDIF($F71,Employee!$Z$1,"D")*5/365)+1,DATEDIF($M71,Employee!$Z$1,"D")-(DATEDIF($M71,Employee!$Z$1,"D")*5/365)+1)),0)</f>
        <v>4471.9041095890407</v>
      </c>
      <c r="X71" s="46">
        <f>IF($V71&lt;=1800,($V71/360*$K71)*0.5,($V71-1800)/360*$K71+1800/360*$K71*0.5)</f>
        <v>64744.213888888888</v>
      </c>
      <c r="Y71" s="46">
        <f>IF($P71=21,0.0583333333333333*$W71*$K71/30,0.0833333333333333*$W71*$K71/30)</f>
        <v>56754.674128614868</v>
      </c>
      <c r="Z71" s="46">
        <f>IFERROR(IF($W71&gt;=360,IF(O71&gt;4,IF($N71=$AH$23,VLOOKUP($E71,$AF$4:$AG$22,2,0)*4,VLOOKUP($E71,$AF$4:$AG$22,2,0)),IF($N71=$AH$23,VLOOKUP($E71,$AF$4:$AG$22,2,0)*O71,VLOOKUP($E71,$AF$4:$AG$22,2,0))),(IF(O71&gt;4,IF($N71=$AH$23,VLOOKUP($E71,$AF$4:$AG$22,2,0)*4,VLOOKUP($E71,$AF$4:$AG$22,2,0)),IF($N71=$AH$23,VLOOKUP($E71,$AF$4:$AG$22,2,0)*O71,VLOOKUP($E71,$AF$4:$AG$22,2,0))))/360*$W71),0)</f>
        <v>1800</v>
      </c>
      <c r="AA71" s="49">
        <f>Table1[[#This Row],[نهاية الخدمة2]]-Table1[[#This Row],[نهاية الخدمة]]</f>
        <v>562.04722222222335</v>
      </c>
      <c r="AB71" s="49">
        <f>Table1[[#This Row],[رصيد اجازات2]]-Table1[[#This Row],[رصيد اجازات]]</f>
        <v>388.04356164382625</v>
      </c>
      <c r="AC71" s="49">
        <f>Table1[[#This Row],[تذاكر سفر2]]-Table1[[#This Row],[تذاكر سفر]]</f>
        <v>0</v>
      </c>
      <c r="AD71" s="5"/>
      <c r="AE71" s="5"/>
      <c r="AF71" s="5"/>
      <c r="AG71" s="5"/>
    </row>
    <row r="72" spans="1:33" ht="21.95" customHeight="1" x14ac:dyDescent="0.35">
      <c r="A72" s="32">
        <f>SUBTOTAL(3,C$3:$C72)</f>
        <v>70</v>
      </c>
      <c r="B72" s="30" t="s">
        <v>146</v>
      </c>
      <c r="C72" s="33" t="s">
        <v>76</v>
      </c>
      <c r="D72" s="50">
        <v>77001101102</v>
      </c>
      <c r="E72" s="51" t="s">
        <v>23</v>
      </c>
      <c r="F72" s="52">
        <v>40179</v>
      </c>
      <c r="G72" s="51">
        <v>35201</v>
      </c>
      <c r="H72" s="51">
        <v>5032</v>
      </c>
      <c r="I72" s="51">
        <v>252</v>
      </c>
      <c r="J72" s="51">
        <v>0</v>
      </c>
      <c r="K72" s="51">
        <f t="shared" si="2"/>
        <v>40485</v>
      </c>
      <c r="L72" s="52" t="s">
        <v>21</v>
      </c>
      <c r="M72" s="52" t="s">
        <v>21</v>
      </c>
      <c r="N72" s="51" t="s">
        <v>24</v>
      </c>
      <c r="O72" s="51">
        <v>0</v>
      </c>
      <c r="P72" s="53">
        <v>21</v>
      </c>
      <c r="Q72" s="54">
        <f>IF(F72&gt;0,DATEDIF($F72,Employee!$U$1,"Y")*12*30+DATEDIF($F72,Employee!$U$1,"YM")*30+DATEDIF($F72,Employee!$U$1,"MD")+1,0)</f>
        <v>4440</v>
      </c>
      <c r="R72" s="51">
        <f>IF(F72&gt;0,IF(M72=$AG$23,0,IF($M72=$AF$23,DATEDIF($F72,Employee!$U$1,"D")-(DATEDIF($F72,Employee!$U$1,"D")*5/365)+1,DATEDIF($M72,Employee!$U$1,"D")-(DATEDIF($M72,Employee!$U$1,"D")*5/365)+1)),0)</f>
        <v>4441.3287671232874</v>
      </c>
      <c r="S72" s="51">
        <f>IF($Q72&lt;=1800,($Q72/360*$K72)*0.5,($Q72-1800)/360*$K72+1800/360*$K72*0.5)</f>
        <v>398102.5</v>
      </c>
      <c r="T72" s="51">
        <f>IF($P72=21,0.0583333333333333*$R72*$K72/30,0.0833333333333333*$R72*$K72/30)</f>
        <v>349625.10165525094</v>
      </c>
      <c r="U72" s="55">
        <f>IFERROR(IF($R72&gt;=360,IF(O72&gt;4,IF($N72=$AH$23,VLOOKUP($E72,$AF$4:$AG$22,2,0)*4,VLOOKUP($E72,$AF$4:$AG$22,2,0)),IF($N72=$AH$23,VLOOKUP($E72,$AF$4:$AG$22,2,0)*O72,VLOOKUP($E72,$AF$4:$AG$22,2,0))),(IF(O72&gt;4,IF($N72=$AH$23,VLOOKUP($E72,$AF$4:$AG$22,2,0)*4,VLOOKUP($E72,$AF$4:$AG$22,2,0)),IF($N72=$AH$23,VLOOKUP($E72,$AF$4:$AG$22,2,0)*O72,VLOOKUP($E72,$AF$4:$AG$22,2,0))))/360*$R72),0)</f>
        <v>2250</v>
      </c>
      <c r="V72" s="56">
        <f>IF(F72&gt;0,DATEDIF($F72,Employee!$Z$1,"Y")*12*30+DATEDIF($F72,Employee!$Z$1,"YM")*30+DATEDIF($F72,Employee!$Z$1,"MD")+1,0)</f>
        <v>4471</v>
      </c>
      <c r="W72" s="51">
        <f>IF(F72&gt;0,IF(M72=$AG$23,0,IF($M72=$AF$23,DATEDIF($F72,Employee!$Z$1,"D")-(DATEDIF($F72,Employee!$Z$1,"D")*5/365)+1,DATEDIF($M72,Employee!$Z$1,"D")-(DATEDIF($M72,Employee!$Z$1,"D")*5/365)+1)),0)</f>
        <v>4471.9041095890407</v>
      </c>
      <c r="X72" s="51">
        <f>IF($V72&lt;=1800,($V72/360*$K72)*0.5,($V72-1800)/360*$K72+1800/360*$K72*0.5)</f>
        <v>401588.70833333331</v>
      </c>
      <c r="Y72" s="51">
        <f>IF($P72=21,0.0583333333333333*$W72*$K72/30,0.0833333333333333*$W72*$K72/30)</f>
        <v>352032.01809360704</v>
      </c>
      <c r="Z72" s="51">
        <f>IFERROR(IF($W72&gt;=360,IF(O72&gt;4,IF($N72=$AH$23,VLOOKUP($E72,$AF$4:$AG$22,2,0)*4,VLOOKUP($E72,$AF$4:$AG$22,2,0)),IF($N72=$AH$23,VLOOKUP($E72,$AF$4:$AG$22,2,0)*O72,VLOOKUP($E72,$AF$4:$AG$22,2,0))),(IF(O72&gt;4,IF($N72=$AH$23,VLOOKUP($E72,$AF$4:$AG$22,2,0)*4,VLOOKUP($E72,$AF$4:$AG$22,2,0)),IF($N72=$AH$23,VLOOKUP($E72,$AF$4:$AG$22,2,0)*O72,VLOOKUP($E72,$AF$4:$AG$22,2,0))))/360*$W72),0)</f>
        <v>2250</v>
      </c>
      <c r="AA72" s="57">
        <f>Table1[[#This Row],[نهاية الخدمة2]]-Table1[[#This Row],[نهاية الخدمة]]</f>
        <v>3486.2083333333139</v>
      </c>
      <c r="AB72" s="57">
        <f>Table1[[#This Row],[رصيد اجازات2]]-Table1[[#This Row],[رصيد اجازات]]</f>
        <v>2406.9164383561001</v>
      </c>
      <c r="AC72" s="58">
        <f>Table1[[#This Row],[تذاكر سفر2]]-Table1[[#This Row],[تذاكر سفر]]</f>
        <v>0</v>
      </c>
      <c r="AD72" s="5"/>
      <c r="AE72" s="5"/>
      <c r="AF72" s="5"/>
      <c r="AG72" s="5"/>
    </row>
    <row r="73" spans="1:33" ht="21.95" customHeight="1" x14ac:dyDescent="0.35">
      <c r="A73" s="32">
        <f>SUBTOTAL(3,C$3:$C73)</f>
        <v>71</v>
      </c>
      <c r="B73" s="30" t="s">
        <v>147</v>
      </c>
      <c r="C73" s="31" t="s">
        <v>72</v>
      </c>
      <c r="D73" s="45">
        <v>78101101102</v>
      </c>
      <c r="E73" s="46" t="s">
        <v>27</v>
      </c>
      <c r="F73" s="47">
        <v>40179</v>
      </c>
      <c r="G73" s="46">
        <v>5026</v>
      </c>
      <c r="H73" s="46">
        <v>1001</v>
      </c>
      <c r="I73" s="46">
        <v>500</v>
      </c>
      <c r="J73" s="46">
        <v>0</v>
      </c>
      <c r="K73" s="46">
        <f t="shared" si="2"/>
        <v>6527</v>
      </c>
      <c r="L73" s="47" t="s">
        <v>21</v>
      </c>
      <c r="M73" s="47" t="s">
        <v>21</v>
      </c>
      <c r="N73" s="46" t="s">
        <v>24</v>
      </c>
      <c r="O73" s="46">
        <v>0</v>
      </c>
      <c r="P73" s="48">
        <v>21</v>
      </c>
      <c r="Q73" s="46">
        <f>IF(F73&gt;0,DATEDIF($F73,Employee!$U$1,"Y")*12*30+DATEDIF($F73,Employee!$U$1,"YM")*30+DATEDIF($F73,Employee!$U$1,"MD")+1,0)</f>
        <v>4440</v>
      </c>
      <c r="R73" s="46">
        <f>IF(F73&gt;0,IF(M73=$AG$23,0,IF($M73=$AF$23,DATEDIF($F73,Employee!$U$1,"D")-(DATEDIF($F73,Employee!$U$1,"D")*5/365)+1,DATEDIF($M73,Employee!$U$1,"D")-(DATEDIF($M73,Employee!$U$1,"D")*5/365)+1)),0)</f>
        <v>4441.3287671232874</v>
      </c>
      <c r="S73" s="46">
        <f>IF($Q73&lt;=1800,($Q73/360*$K73)*0.5,($Q73-1800)/360*$K73+1800/360*$K73*0.5)</f>
        <v>64182.166666666664</v>
      </c>
      <c r="T73" s="46">
        <f>IF($P73=21,0.0583333333333333*$R73*$K73/30,0.0833333333333333*$R73*$K73/30)</f>
        <v>56366.630566971042</v>
      </c>
      <c r="U73" s="46">
        <f>IFERROR(IF($R73&gt;=360,IF(O73&gt;4,IF($N73=$AH$23,VLOOKUP($E73,$AF$4:$AG$22,2,0)*4,VLOOKUP($E73,$AF$4:$AG$22,2,0)),IF($N73=$AH$23,VLOOKUP($E73,$AF$4:$AG$22,2,0)*O73,VLOOKUP($E73,$AF$4:$AG$22,2,0))),(IF(O73&gt;4,IF($N73=$AH$23,VLOOKUP($E73,$AF$4:$AG$22,2,0)*4,VLOOKUP($E73,$AF$4:$AG$22,2,0)),IF($N73=$AH$23,VLOOKUP($E73,$AF$4:$AG$22,2,0)*O73,VLOOKUP($E73,$AF$4:$AG$22,2,0))))/360*$R73),0)</f>
        <v>2000</v>
      </c>
      <c r="V73" s="46">
        <f>IF(F73&gt;0,DATEDIF($F73,Employee!$Z$1,"Y")*12*30+DATEDIF($F73,Employee!$Z$1,"YM")*30+DATEDIF($F73,Employee!$Z$1,"MD")+1,0)</f>
        <v>4471</v>
      </c>
      <c r="W73" s="46">
        <f>IF(F73&gt;0,IF(M73=$AG$23,0,IF($M73=$AF$23,DATEDIF($F73,Employee!$Z$1,"D")-(DATEDIF($F73,Employee!$Z$1,"D")*5/365)+1,DATEDIF($M73,Employee!$Z$1,"D")-(DATEDIF($M73,Employee!$Z$1,"D")*5/365)+1)),0)</f>
        <v>4471.9041095890407</v>
      </c>
      <c r="X73" s="46">
        <f>IF($V73&lt;=1800,($V73/360*$K73)*0.5,($V73-1800)/360*$K73+1800/360*$K73*0.5)</f>
        <v>64744.213888888888</v>
      </c>
      <c r="Y73" s="46">
        <f>IF($P73=21,0.0583333333333333*$W73*$K73/30,0.0833333333333333*$W73*$K73/30)</f>
        <v>56754.674128614868</v>
      </c>
      <c r="Z73" s="46">
        <f>IFERROR(IF($W73&gt;=360,IF(O73&gt;4,IF($N73=$AH$23,VLOOKUP($E73,$AF$4:$AG$22,2,0)*4,VLOOKUP($E73,$AF$4:$AG$22,2,0)),IF($N73=$AH$23,VLOOKUP($E73,$AF$4:$AG$22,2,0)*O73,VLOOKUP($E73,$AF$4:$AG$22,2,0))),(IF(O73&gt;4,IF($N73=$AH$23,VLOOKUP($E73,$AF$4:$AG$22,2,0)*4,VLOOKUP($E73,$AF$4:$AG$22,2,0)),IF($N73=$AH$23,VLOOKUP($E73,$AF$4:$AG$22,2,0)*O73,VLOOKUP($E73,$AF$4:$AG$22,2,0))))/360*$W73),0)</f>
        <v>2000</v>
      </c>
      <c r="AA73" s="49">
        <f>Table1[[#This Row],[نهاية الخدمة2]]-Table1[[#This Row],[نهاية الخدمة]]</f>
        <v>562.04722222222335</v>
      </c>
      <c r="AB73" s="49">
        <f>Table1[[#This Row],[رصيد اجازات2]]-Table1[[#This Row],[رصيد اجازات]]</f>
        <v>388.04356164382625</v>
      </c>
      <c r="AC73" s="49">
        <f>Table1[[#This Row],[تذاكر سفر2]]-Table1[[#This Row],[تذاكر سفر]]</f>
        <v>0</v>
      </c>
      <c r="AD73" s="5"/>
      <c r="AE73" s="5"/>
      <c r="AF73" s="5"/>
      <c r="AG73" s="5"/>
    </row>
    <row r="74" spans="1:33" ht="21.95" customHeight="1" x14ac:dyDescent="0.35">
      <c r="A74" s="32">
        <f>SUBTOTAL(3,C$3:$C74)</f>
        <v>72</v>
      </c>
      <c r="B74" s="30" t="s">
        <v>148</v>
      </c>
      <c r="C74" s="33" t="s">
        <v>73</v>
      </c>
      <c r="D74" s="50">
        <v>79201101102</v>
      </c>
      <c r="E74" s="51" t="s">
        <v>31</v>
      </c>
      <c r="F74" s="52">
        <v>40179</v>
      </c>
      <c r="G74" s="51">
        <v>35201</v>
      </c>
      <c r="H74" s="51">
        <v>5032</v>
      </c>
      <c r="I74" s="51">
        <v>252</v>
      </c>
      <c r="J74" s="51">
        <v>0</v>
      </c>
      <c r="K74" s="51">
        <f t="shared" si="2"/>
        <v>40485</v>
      </c>
      <c r="L74" s="52" t="s">
        <v>21</v>
      </c>
      <c r="M74" s="52" t="s">
        <v>21</v>
      </c>
      <c r="N74" s="51" t="s">
        <v>24</v>
      </c>
      <c r="O74" s="51">
        <v>0</v>
      </c>
      <c r="P74" s="53">
        <v>21</v>
      </c>
      <c r="Q74" s="54">
        <f>IF(F74&gt;0,DATEDIF($F74,Employee!$U$1,"Y")*12*30+DATEDIF($F74,Employee!$U$1,"YM")*30+DATEDIF($F74,Employee!$U$1,"MD")+1,0)</f>
        <v>4440</v>
      </c>
      <c r="R74" s="51">
        <f>IF(F74&gt;0,IF(M74=$AG$23,0,IF($M74=$AF$23,DATEDIF($F74,Employee!$U$1,"D")-(DATEDIF($F74,Employee!$U$1,"D")*5/365)+1,DATEDIF($M74,Employee!$U$1,"D")-(DATEDIF($M74,Employee!$U$1,"D")*5/365)+1)),0)</f>
        <v>4441.3287671232874</v>
      </c>
      <c r="S74" s="51">
        <f>IF($Q74&lt;=1800,($Q74/360*$K74)*0.5,($Q74-1800)/360*$K74+1800/360*$K74*0.5)</f>
        <v>398102.5</v>
      </c>
      <c r="T74" s="51">
        <f>IF($P74=21,0.0583333333333333*$R74*$K74/30,0.0833333333333333*$R74*$K74/30)</f>
        <v>349625.10165525094</v>
      </c>
      <c r="U74" s="55">
        <f>IFERROR(IF($R74&gt;=360,IF(O74&gt;4,IF($N74=$AH$23,VLOOKUP($E74,$AF$4:$AG$22,2,0)*4,VLOOKUP($E74,$AF$4:$AG$22,2,0)),IF($N74=$AH$23,VLOOKUP($E74,$AF$4:$AG$22,2,0)*O74,VLOOKUP($E74,$AF$4:$AG$22,2,0))),(IF(O74&gt;4,IF($N74=$AH$23,VLOOKUP($E74,$AF$4:$AG$22,2,0)*4,VLOOKUP($E74,$AF$4:$AG$22,2,0)),IF($N74=$AH$23,VLOOKUP($E74,$AF$4:$AG$22,2,0)*O74,VLOOKUP($E74,$AF$4:$AG$22,2,0))))/360*$R74),0)</f>
        <v>2000</v>
      </c>
      <c r="V74" s="56">
        <f>IF(F74&gt;0,DATEDIF($F74,Employee!$Z$1,"Y")*12*30+DATEDIF($F74,Employee!$Z$1,"YM")*30+DATEDIF($F74,Employee!$Z$1,"MD")+1,0)</f>
        <v>4471</v>
      </c>
      <c r="W74" s="51">
        <f>IF(F74&gt;0,IF(M74=$AG$23,0,IF($M74=$AF$23,DATEDIF($F74,Employee!$Z$1,"D")-(DATEDIF($F74,Employee!$Z$1,"D")*5/365)+1,DATEDIF($M74,Employee!$Z$1,"D")-(DATEDIF($M74,Employee!$Z$1,"D")*5/365)+1)),0)</f>
        <v>4471.9041095890407</v>
      </c>
      <c r="X74" s="51">
        <f>IF($V74&lt;=1800,($V74/360*$K74)*0.5,($V74-1800)/360*$K74+1800/360*$K74*0.5)</f>
        <v>401588.70833333331</v>
      </c>
      <c r="Y74" s="51">
        <f>IF($P74=21,0.0583333333333333*$W74*$K74/30,0.0833333333333333*$W74*$K74/30)</f>
        <v>352032.01809360704</v>
      </c>
      <c r="Z74" s="51">
        <f>IFERROR(IF($W74&gt;=360,IF(O74&gt;4,IF($N74=$AH$23,VLOOKUP($E74,$AF$4:$AG$22,2,0)*4,VLOOKUP($E74,$AF$4:$AG$22,2,0)),IF($N74=$AH$23,VLOOKUP($E74,$AF$4:$AG$22,2,0)*O74,VLOOKUP($E74,$AF$4:$AG$22,2,0))),(IF(O74&gt;4,IF($N74=$AH$23,VLOOKUP($E74,$AF$4:$AG$22,2,0)*4,VLOOKUP($E74,$AF$4:$AG$22,2,0)),IF($N74=$AH$23,VLOOKUP($E74,$AF$4:$AG$22,2,0)*O74,VLOOKUP($E74,$AF$4:$AG$22,2,0))))/360*$W74),0)</f>
        <v>2000</v>
      </c>
      <c r="AA74" s="57">
        <f>Table1[[#This Row],[نهاية الخدمة2]]-Table1[[#This Row],[نهاية الخدمة]]</f>
        <v>3486.2083333333139</v>
      </c>
      <c r="AB74" s="57">
        <f>Table1[[#This Row],[رصيد اجازات2]]-Table1[[#This Row],[رصيد اجازات]]</f>
        <v>2406.9164383561001</v>
      </c>
      <c r="AC74" s="58">
        <f>Table1[[#This Row],[تذاكر سفر2]]-Table1[[#This Row],[تذاكر سفر]]</f>
        <v>0</v>
      </c>
      <c r="AD74" s="5"/>
      <c r="AE74" s="5"/>
      <c r="AF74" s="5"/>
      <c r="AG74" s="5"/>
    </row>
    <row r="75" spans="1:33" ht="21.95" customHeight="1" x14ac:dyDescent="0.35">
      <c r="A75" s="32">
        <f>SUBTOTAL(3,C$3:$C75)</f>
        <v>73</v>
      </c>
      <c r="B75" s="30" t="s">
        <v>149</v>
      </c>
      <c r="C75" s="33" t="s">
        <v>74</v>
      </c>
      <c r="D75" s="45">
        <v>80301101102</v>
      </c>
      <c r="E75" s="46" t="s">
        <v>28</v>
      </c>
      <c r="F75" s="47">
        <v>40179</v>
      </c>
      <c r="G75" s="46">
        <v>5026</v>
      </c>
      <c r="H75" s="46">
        <v>1001</v>
      </c>
      <c r="I75" s="46">
        <v>500</v>
      </c>
      <c r="J75" s="46">
        <v>0</v>
      </c>
      <c r="K75" s="46">
        <f t="shared" si="2"/>
        <v>6527</v>
      </c>
      <c r="L75" s="47" t="s">
        <v>21</v>
      </c>
      <c r="M75" s="47" t="s">
        <v>21</v>
      </c>
      <c r="N75" s="46" t="s">
        <v>24</v>
      </c>
      <c r="O75" s="46">
        <v>0</v>
      </c>
      <c r="P75" s="48">
        <v>21</v>
      </c>
      <c r="Q75" s="46">
        <f>IF(F75&gt;0,DATEDIF($F75,Employee!$U$1,"Y")*12*30+DATEDIF($F75,Employee!$U$1,"YM")*30+DATEDIF($F75,Employee!$U$1,"MD")+1,0)</f>
        <v>4440</v>
      </c>
      <c r="R75" s="46">
        <f>IF(F75&gt;0,IF(M75=$AG$23,0,IF($M75=$AF$23,DATEDIF($F75,Employee!$U$1,"D")-(DATEDIF($F75,Employee!$U$1,"D")*5/365)+1,DATEDIF($M75,Employee!$U$1,"D")-(DATEDIF($M75,Employee!$U$1,"D")*5/365)+1)),0)</f>
        <v>4441.3287671232874</v>
      </c>
      <c r="S75" s="46">
        <f>IF($Q75&lt;=1800,($Q75/360*$K75)*0.5,($Q75-1800)/360*$K75+1800/360*$K75*0.5)</f>
        <v>64182.166666666664</v>
      </c>
      <c r="T75" s="46">
        <f>IF($P75=21,0.0583333333333333*$R75*$K75/30,0.0833333333333333*$R75*$K75/30)</f>
        <v>56366.630566971042</v>
      </c>
      <c r="U75" s="46">
        <f>IFERROR(IF($R75&gt;=360,IF(O75&gt;4,IF($N75=$AH$23,VLOOKUP($E75,$AF$4:$AG$22,2,0)*4,VLOOKUP($E75,$AF$4:$AG$22,2,0)),IF($N75=$AH$23,VLOOKUP($E75,$AF$4:$AG$22,2,0)*O75,VLOOKUP($E75,$AF$4:$AG$22,2,0))),(IF(O75&gt;4,IF($N75=$AH$23,VLOOKUP($E75,$AF$4:$AG$22,2,0)*4,VLOOKUP($E75,$AF$4:$AG$22,2,0)),IF($N75=$AH$23,VLOOKUP($E75,$AF$4:$AG$22,2,0)*O75,VLOOKUP($E75,$AF$4:$AG$22,2,0))))/360*$R75),0)</f>
        <v>1800</v>
      </c>
      <c r="V75" s="46">
        <f>IF(F75&gt;0,DATEDIF($F75,Employee!$Z$1,"Y")*12*30+DATEDIF($F75,Employee!$Z$1,"YM")*30+DATEDIF($F75,Employee!$Z$1,"MD")+1,0)</f>
        <v>4471</v>
      </c>
      <c r="W75" s="46">
        <f>IF(F75&gt;0,IF(M75=$AG$23,0,IF($M75=$AF$23,DATEDIF($F75,Employee!$Z$1,"D")-(DATEDIF($F75,Employee!$Z$1,"D")*5/365)+1,DATEDIF($M75,Employee!$Z$1,"D")-(DATEDIF($M75,Employee!$Z$1,"D")*5/365)+1)),0)</f>
        <v>4471.9041095890407</v>
      </c>
      <c r="X75" s="46">
        <f>IF($V75&lt;=1800,($V75/360*$K75)*0.5,($V75-1800)/360*$K75+1800/360*$K75*0.5)</f>
        <v>64744.213888888888</v>
      </c>
      <c r="Y75" s="46">
        <f>IF($P75=21,0.0583333333333333*$W75*$K75/30,0.0833333333333333*$W75*$K75/30)</f>
        <v>56754.674128614868</v>
      </c>
      <c r="Z75" s="46">
        <f>IFERROR(IF($W75&gt;=360,IF(O75&gt;4,IF($N75=$AH$23,VLOOKUP($E75,$AF$4:$AG$22,2,0)*4,VLOOKUP($E75,$AF$4:$AG$22,2,0)),IF($N75=$AH$23,VLOOKUP($E75,$AF$4:$AG$22,2,0)*O75,VLOOKUP($E75,$AF$4:$AG$22,2,0))),(IF(O75&gt;4,IF($N75=$AH$23,VLOOKUP($E75,$AF$4:$AG$22,2,0)*4,VLOOKUP($E75,$AF$4:$AG$22,2,0)),IF($N75=$AH$23,VLOOKUP($E75,$AF$4:$AG$22,2,0)*O75,VLOOKUP($E75,$AF$4:$AG$22,2,0))))/360*$W75),0)</f>
        <v>1800</v>
      </c>
      <c r="AA75" s="49">
        <f>Table1[[#This Row],[نهاية الخدمة2]]-Table1[[#This Row],[نهاية الخدمة]]</f>
        <v>562.04722222222335</v>
      </c>
      <c r="AB75" s="49">
        <f>Table1[[#This Row],[رصيد اجازات2]]-Table1[[#This Row],[رصيد اجازات]]</f>
        <v>388.04356164382625</v>
      </c>
      <c r="AC75" s="49">
        <f>Table1[[#This Row],[تذاكر سفر2]]-Table1[[#This Row],[تذاكر سفر]]</f>
        <v>0</v>
      </c>
      <c r="AD75" s="5"/>
      <c r="AE75" s="5"/>
      <c r="AF75" s="5"/>
      <c r="AG75" s="5"/>
    </row>
    <row r="76" spans="1:33" ht="21.95" customHeight="1" x14ac:dyDescent="0.35">
      <c r="A76" s="32">
        <f>SUBTOTAL(3,C$3:$C76)</f>
        <v>74</v>
      </c>
      <c r="B76" s="30" t="s">
        <v>150</v>
      </c>
      <c r="C76" s="34" t="s">
        <v>75</v>
      </c>
      <c r="D76" s="50">
        <v>81401101102</v>
      </c>
      <c r="E76" s="51" t="s">
        <v>26</v>
      </c>
      <c r="F76" s="52">
        <v>40179</v>
      </c>
      <c r="G76" s="51">
        <v>35201</v>
      </c>
      <c r="H76" s="51">
        <v>5032</v>
      </c>
      <c r="I76" s="51">
        <v>252</v>
      </c>
      <c r="J76" s="51">
        <v>0</v>
      </c>
      <c r="K76" s="51">
        <f t="shared" si="2"/>
        <v>40485</v>
      </c>
      <c r="L76" s="52">
        <v>44255</v>
      </c>
      <c r="M76" s="52">
        <v>44287</v>
      </c>
      <c r="N76" s="51" t="s">
        <v>24</v>
      </c>
      <c r="O76" s="51">
        <v>0</v>
      </c>
      <c r="P76" s="53">
        <v>30</v>
      </c>
      <c r="Q76" s="54">
        <f>IF(F76&gt;0,DATEDIF($F76,Employee!$U$1,"Y")*12*30+DATEDIF($F76,Employee!$U$1,"YM")*30+DATEDIF($F76,Employee!$U$1,"MD")+1,0)</f>
        <v>4440</v>
      </c>
      <c r="R76" s="51">
        <f>IF(F76&gt;0,IF(M76=$AG$23,0,IF($M76=$AF$23,DATEDIF($F76,Employee!$U$1,"D")-(DATEDIF($F76,Employee!$U$1,"D")*5/365)+1,DATEDIF($M76,Employee!$U$1,"D")-(DATEDIF($M76,Employee!$U$1,"D")*5/365)+1)),0)</f>
        <v>389.60273972602738</v>
      </c>
      <c r="S76" s="51">
        <f>IF($Q76&lt;=1800,($Q76/360*$K76)*0.5,($Q76-1800)/360*$K76+1800/360*$K76*0.5)</f>
        <v>398102.5</v>
      </c>
      <c r="T76" s="51">
        <f>IF($P76=21,0.0583333333333333*$R76*$K76/30,0.0833333333333333*$R76*$K76/30)</f>
        <v>43814.074771689477</v>
      </c>
      <c r="U76" s="55">
        <f>IFERROR(IF($R76&gt;=360,IF(O76&gt;4,IF($N76=$AH$23,VLOOKUP($E76,$AF$4:$AG$22,2,0)*4,VLOOKUP($E76,$AF$4:$AG$22,2,0)),IF($N76=$AH$23,VLOOKUP($E76,$AF$4:$AG$22,2,0)*O76,VLOOKUP($E76,$AF$4:$AG$22,2,0))),(IF(O76&gt;4,IF($N76=$AH$23,VLOOKUP($E76,$AF$4:$AG$22,2,0)*4,VLOOKUP($E76,$AF$4:$AG$22,2,0)),IF($N76=$AH$23,VLOOKUP($E76,$AF$4:$AG$22,2,0)*O76,VLOOKUP($E76,$AF$4:$AG$22,2,0))))/360*$R76),0)</f>
        <v>1500</v>
      </c>
      <c r="V76" s="56">
        <f>IF(F76&gt;0,DATEDIF($F76,Employee!$Z$1,"Y")*12*30+DATEDIF($F76,Employee!$Z$1,"YM")*30+DATEDIF($F76,Employee!$Z$1,"MD")+1,0)</f>
        <v>4471</v>
      </c>
      <c r="W76" s="51">
        <f>IF(F76&gt;0,IF(M76=$AG$23,0,IF($M76=$AF$23,DATEDIF($F76,Employee!$Z$1,"D")-(DATEDIF($F76,Employee!$Z$1,"D")*5/365)+1,DATEDIF($M76,Employee!$Z$1,"D")-(DATEDIF($M76,Employee!$Z$1,"D")*5/365)+1)),0)</f>
        <v>420.17808219178085</v>
      </c>
      <c r="X76" s="51">
        <f>IF($V76&lt;=1800,($V76/360*$K76)*0.5,($V76-1800)/360*$K76+1800/360*$K76*0.5)</f>
        <v>401588.70833333331</v>
      </c>
      <c r="Y76" s="51">
        <f>IF($P76=21,0.0583333333333333*$W76*$K76/30,0.0833333333333333*$W76*$K76/30)</f>
        <v>47252.526826484005</v>
      </c>
      <c r="Z76" s="51">
        <f>IFERROR(IF($W76&gt;=360,IF(O76&gt;4,IF($N76=$AH$23,VLOOKUP($E76,$AF$4:$AG$22,2,0)*4,VLOOKUP($E76,$AF$4:$AG$22,2,0)),IF($N76=$AH$23,VLOOKUP($E76,$AF$4:$AG$22,2,0)*O76,VLOOKUP($E76,$AF$4:$AG$22,2,0))),(IF(O76&gt;4,IF($N76=$AH$23,VLOOKUP($E76,$AF$4:$AG$22,2,0)*4,VLOOKUP($E76,$AF$4:$AG$22,2,0)),IF($N76=$AH$23,VLOOKUP($E76,$AF$4:$AG$22,2,0)*O76,VLOOKUP($E76,$AF$4:$AG$22,2,0))))/360*$W76),0)</f>
        <v>1500</v>
      </c>
      <c r="AA76" s="57">
        <f>Table1[[#This Row],[نهاية الخدمة2]]-Table1[[#This Row],[نهاية الخدمة]]</f>
        <v>3486.2083333333139</v>
      </c>
      <c r="AB76" s="57">
        <f>Table1[[#This Row],[رصيد اجازات2]]-Table1[[#This Row],[رصيد اجازات]]</f>
        <v>3438.4520547945285</v>
      </c>
      <c r="AC76" s="58">
        <f>Table1[[#This Row],[تذاكر سفر2]]-Table1[[#This Row],[تذاكر سفر]]</f>
        <v>0</v>
      </c>
      <c r="AD76" s="5"/>
      <c r="AE76" s="5"/>
      <c r="AF76" s="5"/>
      <c r="AG76" s="5"/>
    </row>
    <row r="77" spans="1:33" ht="21.95" customHeight="1" x14ac:dyDescent="0.35">
      <c r="A77" s="32">
        <f>SUBTOTAL(3,C$3:$C77)</f>
        <v>75</v>
      </c>
      <c r="B77" s="30" t="s">
        <v>151</v>
      </c>
      <c r="C77" s="33" t="s">
        <v>76</v>
      </c>
      <c r="D77" s="45">
        <v>82501101102</v>
      </c>
      <c r="E77" s="46" t="s">
        <v>30</v>
      </c>
      <c r="F77" s="47">
        <v>40179</v>
      </c>
      <c r="G77" s="46">
        <v>5026</v>
      </c>
      <c r="H77" s="46">
        <v>1001</v>
      </c>
      <c r="I77" s="46">
        <v>500</v>
      </c>
      <c r="J77" s="46">
        <v>0</v>
      </c>
      <c r="K77" s="46">
        <f t="shared" si="2"/>
        <v>6527</v>
      </c>
      <c r="L77" s="47" t="s">
        <v>21</v>
      </c>
      <c r="M77" s="47" t="s">
        <v>21</v>
      </c>
      <c r="N77" s="46" t="s">
        <v>24</v>
      </c>
      <c r="O77" s="46">
        <v>0</v>
      </c>
      <c r="P77" s="48">
        <v>21</v>
      </c>
      <c r="Q77" s="46">
        <f>IF(F77&gt;0,DATEDIF($F77,Employee!$U$1,"Y")*12*30+DATEDIF($F77,Employee!$U$1,"YM")*30+DATEDIF($F77,Employee!$U$1,"MD")+1,0)</f>
        <v>4440</v>
      </c>
      <c r="R77" s="46">
        <f>IF(F77&gt;0,IF(M77=$AG$23,0,IF($M77=$AF$23,DATEDIF($F77,Employee!$U$1,"D")-(DATEDIF($F77,Employee!$U$1,"D")*5/365)+1,DATEDIF($M77,Employee!$U$1,"D")-(DATEDIF($M77,Employee!$U$1,"D")*5/365)+1)),0)</f>
        <v>4441.3287671232874</v>
      </c>
      <c r="S77" s="46">
        <f>IF($Q77&lt;=1800,($Q77/360*$K77)*0.5,($Q77-1800)/360*$K77+1800/360*$K77*0.5)</f>
        <v>64182.166666666664</v>
      </c>
      <c r="T77" s="46">
        <f>IF($P77=21,0.0583333333333333*$R77*$K77/30,0.0833333333333333*$R77*$K77/30)</f>
        <v>56366.630566971042</v>
      </c>
      <c r="U77" s="46">
        <f>IFERROR(IF($R77&gt;=360,IF(O77&gt;4,IF($N77=$AH$23,VLOOKUP($E77,$AF$4:$AG$22,2,0)*4,VLOOKUP($E77,$AF$4:$AG$22,2,0)),IF($N77=$AH$23,VLOOKUP($E77,$AF$4:$AG$22,2,0)*O77,VLOOKUP($E77,$AF$4:$AG$22,2,0))),(IF(O77&gt;4,IF($N77=$AH$23,VLOOKUP($E77,$AF$4:$AG$22,2,0)*4,VLOOKUP($E77,$AF$4:$AG$22,2,0)),IF($N77=$AH$23,VLOOKUP($E77,$AF$4:$AG$22,2,0)*O77,VLOOKUP($E77,$AF$4:$AG$22,2,0))))/360*$R77),0)</f>
        <v>0</v>
      </c>
      <c r="V77" s="46">
        <f>IF(F77&gt;0,DATEDIF($F77,Employee!$Z$1,"Y")*12*30+DATEDIF($F77,Employee!$Z$1,"YM")*30+DATEDIF($F77,Employee!$Z$1,"MD")+1,0)</f>
        <v>4471</v>
      </c>
      <c r="W77" s="46">
        <f>IF(F77&gt;0,IF(M77=$AG$23,0,IF($M77=$AF$23,DATEDIF($F77,Employee!$Z$1,"D")-(DATEDIF($F77,Employee!$Z$1,"D")*5/365)+1,DATEDIF($M77,Employee!$Z$1,"D")-(DATEDIF($M77,Employee!$Z$1,"D")*5/365)+1)),0)</f>
        <v>4471.9041095890407</v>
      </c>
      <c r="X77" s="46">
        <f>IF($V77&lt;=1800,($V77/360*$K77)*0.5,($V77-1800)/360*$K77+1800/360*$K77*0.5)</f>
        <v>64744.213888888888</v>
      </c>
      <c r="Y77" s="46">
        <f>IF($P77=21,0.0583333333333333*$W77*$K77/30,0.0833333333333333*$W77*$K77/30)</f>
        <v>56754.674128614868</v>
      </c>
      <c r="Z77" s="46">
        <f>IFERROR(IF($W77&gt;=360,IF(O77&gt;4,IF($N77=$AH$23,VLOOKUP($E77,$AF$4:$AG$22,2,0)*4,VLOOKUP($E77,$AF$4:$AG$22,2,0)),IF($N77=$AH$23,VLOOKUP($E77,$AF$4:$AG$22,2,0)*O77,VLOOKUP($E77,$AF$4:$AG$22,2,0))),(IF(O77&gt;4,IF($N77=$AH$23,VLOOKUP($E77,$AF$4:$AG$22,2,0)*4,VLOOKUP($E77,$AF$4:$AG$22,2,0)),IF($N77=$AH$23,VLOOKUP($E77,$AF$4:$AG$22,2,0)*O77,VLOOKUP($E77,$AF$4:$AG$22,2,0))))/360*$W77),0)</f>
        <v>0</v>
      </c>
      <c r="AA77" s="49">
        <f>Table1[[#This Row],[نهاية الخدمة2]]-Table1[[#This Row],[نهاية الخدمة]]</f>
        <v>562.04722222222335</v>
      </c>
      <c r="AB77" s="49">
        <f>Table1[[#This Row],[رصيد اجازات2]]-Table1[[#This Row],[رصيد اجازات]]</f>
        <v>388.04356164382625</v>
      </c>
      <c r="AC77" s="49">
        <f>Table1[[#This Row],[تذاكر سفر2]]-Table1[[#This Row],[تذاكر سفر]]</f>
        <v>0</v>
      </c>
      <c r="AD77" s="5"/>
      <c r="AE77" s="5"/>
      <c r="AF77" s="5"/>
      <c r="AG77" s="5"/>
    </row>
    <row r="78" spans="1:33" ht="21.95" customHeight="1" x14ac:dyDescent="0.35">
      <c r="A78" s="32">
        <f>SUBTOTAL(3,C$3:$C78)</f>
        <v>76</v>
      </c>
      <c r="B78" s="30" t="s">
        <v>152</v>
      </c>
      <c r="C78" s="31" t="s">
        <v>72</v>
      </c>
      <c r="D78" s="50">
        <v>83601101102</v>
      </c>
      <c r="E78" s="51" t="s">
        <v>23</v>
      </c>
      <c r="F78" s="52">
        <v>40179</v>
      </c>
      <c r="G78" s="51">
        <v>35201</v>
      </c>
      <c r="H78" s="51">
        <v>5032</v>
      </c>
      <c r="I78" s="51">
        <v>252</v>
      </c>
      <c r="J78" s="51">
        <v>100</v>
      </c>
      <c r="K78" s="51">
        <f t="shared" si="2"/>
        <v>40585</v>
      </c>
      <c r="L78" s="52">
        <v>43461</v>
      </c>
      <c r="M78" s="52">
        <v>43355</v>
      </c>
      <c r="N78" s="51" t="s">
        <v>24</v>
      </c>
      <c r="O78" s="51">
        <v>0</v>
      </c>
      <c r="P78" s="53">
        <v>21</v>
      </c>
      <c r="Q78" s="54">
        <f>IF(F78&gt;0,DATEDIF($F78,Employee!$U$1,"Y")*12*30+DATEDIF($F78,Employee!$U$1,"YM")*30+DATEDIF($F78,Employee!$U$1,"MD")+1,0)</f>
        <v>4440</v>
      </c>
      <c r="R78" s="51">
        <f>IF(F78&gt;0,IF(M78=$AG$23,0,IF($M78=$AF$23,DATEDIF($F78,Employee!$U$1,"D")-(DATEDIF($F78,Employee!$U$1,"D")*5/365)+1,DATEDIF($M78,Employee!$U$1,"D")-(DATEDIF($M78,Employee!$U$1,"D")*5/365)+1)),0)</f>
        <v>1308.8356164383561</v>
      </c>
      <c r="S78" s="51">
        <f>IF($Q78&lt;=1800,($Q78/360*$K78)*0.5,($Q78-1800)/360*$K78+1800/360*$K78*0.5)</f>
        <v>399085.83333333331</v>
      </c>
      <c r="T78" s="51">
        <f>IF($P78=21,0.0583333333333333*$R78*$K78/30,0.0833333333333333*$R78*$K78/30)</f>
        <v>103287.12623668183</v>
      </c>
      <c r="U78" s="55">
        <f>IFERROR(IF($R78&gt;=360,IF(O78&gt;4,IF($N78=$AH$23,VLOOKUP($E78,$AF$4:$AG$22,2,0)*4,VLOOKUP($E78,$AF$4:$AG$22,2,0)),IF($N78=$AH$23,VLOOKUP($E78,$AF$4:$AG$22,2,0)*O78,VLOOKUP($E78,$AF$4:$AG$22,2,0))),(IF(O78&gt;4,IF($N78=$AH$23,VLOOKUP($E78,$AF$4:$AG$22,2,0)*4,VLOOKUP($E78,$AF$4:$AG$22,2,0)),IF($N78=$AH$23,VLOOKUP($E78,$AF$4:$AG$22,2,0)*O78,VLOOKUP($E78,$AF$4:$AG$22,2,0))))/360*$R78),0)</f>
        <v>2250</v>
      </c>
      <c r="V78" s="56">
        <f>IF(F78&gt;0,DATEDIF($F78,Employee!$Z$1,"Y")*12*30+DATEDIF($F78,Employee!$Z$1,"YM")*30+DATEDIF($F78,Employee!$Z$1,"MD")+1,0)</f>
        <v>4471</v>
      </c>
      <c r="W78" s="51">
        <f>IF(F78&gt;0,IF(M78=$AG$23,0,IF($M78=$AF$23,DATEDIF($F78,Employee!$Z$1,"D")-(DATEDIF($F78,Employee!$Z$1,"D")*5/365)+1,DATEDIF($M78,Employee!$Z$1,"D")-(DATEDIF($M78,Employee!$Z$1,"D")*5/365)+1)),0)</f>
        <v>1339.4109589041095</v>
      </c>
      <c r="X78" s="51">
        <f>IF($V78&lt;=1800,($V78/360*$K78)*0.5,($V78-1800)/360*$K78+1800/360*$K78*0.5)</f>
        <v>402580.65277777775</v>
      </c>
      <c r="Y78" s="51">
        <f>IF($P78=21,0.0583333333333333*$W78*$K78/30,0.0833333333333333*$W78*$K78/30)</f>
        <v>105699.98788051744</v>
      </c>
      <c r="Z78" s="51">
        <f>IFERROR(IF($W78&gt;=360,IF(O78&gt;4,IF($N78=$AH$23,VLOOKUP($E78,$AF$4:$AG$22,2,0)*4,VLOOKUP($E78,$AF$4:$AG$22,2,0)),IF($N78=$AH$23,VLOOKUP($E78,$AF$4:$AG$22,2,0)*O78,VLOOKUP($E78,$AF$4:$AG$22,2,0))),(IF(O78&gt;4,IF($N78=$AH$23,VLOOKUP($E78,$AF$4:$AG$22,2,0)*4,VLOOKUP($E78,$AF$4:$AG$22,2,0)),IF($N78=$AH$23,VLOOKUP($E78,$AF$4:$AG$22,2,0)*O78,VLOOKUP($E78,$AF$4:$AG$22,2,0))))/360*$W78),0)</f>
        <v>2250</v>
      </c>
      <c r="AA78" s="57">
        <f>Table1[[#This Row],[نهاية الخدمة2]]-Table1[[#This Row],[نهاية الخدمة]]</f>
        <v>3494.819444444438</v>
      </c>
      <c r="AB78" s="57">
        <f>Table1[[#This Row],[رصيد اجازات2]]-Table1[[#This Row],[رصيد اجازات]]</f>
        <v>2412.8616438356112</v>
      </c>
      <c r="AC78" s="58">
        <f>Table1[[#This Row],[تذاكر سفر2]]-Table1[[#This Row],[تذاكر سفر]]</f>
        <v>0</v>
      </c>
      <c r="AD78" s="5"/>
      <c r="AE78" s="5"/>
      <c r="AF78" s="5"/>
      <c r="AG78" s="5"/>
    </row>
    <row r="79" spans="1:33" ht="21.95" customHeight="1" x14ac:dyDescent="0.35">
      <c r="A79" s="32">
        <f>SUBTOTAL(3,C$3:$C79)</f>
        <v>77</v>
      </c>
      <c r="B79" s="30" t="s">
        <v>153</v>
      </c>
      <c r="C79" s="33" t="s">
        <v>73</v>
      </c>
      <c r="D79" s="45">
        <v>84701101102</v>
      </c>
      <c r="E79" s="46" t="s">
        <v>26</v>
      </c>
      <c r="F79" s="47">
        <v>40179</v>
      </c>
      <c r="G79" s="46">
        <v>5026</v>
      </c>
      <c r="H79" s="46">
        <v>1001</v>
      </c>
      <c r="I79" s="46">
        <v>500</v>
      </c>
      <c r="J79" s="46">
        <v>0</v>
      </c>
      <c r="K79" s="46">
        <f t="shared" si="2"/>
        <v>6527</v>
      </c>
      <c r="L79" s="47">
        <v>44569</v>
      </c>
      <c r="M79" s="47">
        <v>44584</v>
      </c>
      <c r="N79" s="46" t="s">
        <v>24</v>
      </c>
      <c r="O79" s="46">
        <v>0</v>
      </c>
      <c r="P79" s="48">
        <v>30</v>
      </c>
      <c r="Q79" s="46">
        <f>IF(F79&gt;0,DATEDIF($F79,Employee!$U$1,"Y")*12*30+DATEDIF($F79,Employee!$U$1,"YM")*30+DATEDIF($F79,Employee!$U$1,"MD")+1,0)</f>
        <v>4440</v>
      </c>
      <c r="R79" s="46">
        <f>IF(F79&gt;0,IF(M79=$AG$23,0,IF($M79=$AF$23,DATEDIF($F79,Employee!$U$1,"D")-(DATEDIF($F79,Employee!$U$1,"D")*5/365)+1,DATEDIF($M79,Employee!$U$1,"D")-(DATEDIF($M79,Employee!$U$1,"D")*5/365)+1)),0)</f>
        <v>96.671232876712324</v>
      </c>
      <c r="S79" s="46">
        <f>IF($Q79&lt;=1800,($Q79/360*$K79)*0.5,($Q79-1800)/360*$K79+1800/360*$K79*0.5)</f>
        <v>64182.166666666664</v>
      </c>
      <c r="T79" s="46">
        <f>IF($P79=21,0.0583333333333333*$R79*$K79/30,0.0833333333333333*$R79*$K79/30)</f>
        <v>1752.7031582952807</v>
      </c>
      <c r="U79" s="46">
        <f>IFERROR(IF($R79&gt;=360,IF(O79&gt;4,IF($N79=$AH$23,VLOOKUP($E79,$AF$4:$AG$22,2,0)*4,VLOOKUP($E79,$AF$4:$AG$22,2,0)),IF($N79=$AH$23,VLOOKUP($E79,$AF$4:$AG$22,2,0)*O79,VLOOKUP($E79,$AF$4:$AG$22,2,0))),(IF(O79&gt;4,IF($N79=$AH$23,VLOOKUP($E79,$AF$4:$AG$22,2,0)*4,VLOOKUP($E79,$AF$4:$AG$22,2,0)),IF($N79=$AH$23,VLOOKUP($E79,$AF$4:$AG$22,2,0)*O79,VLOOKUP($E79,$AF$4:$AG$22,2,0))))/360*$R79),0)</f>
        <v>402.79680365296804</v>
      </c>
      <c r="V79" s="46">
        <f>IF(F79&gt;0,DATEDIF($F79,Employee!$Z$1,"Y")*12*30+DATEDIF($F79,Employee!$Z$1,"YM")*30+DATEDIF($F79,Employee!$Z$1,"MD")+1,0)</f>
        <v>4471</v>
      </c>
      <c r="W79" s="46">
        <f>IF(F79&gt;0,IF(M79=$AG$23,0,IF($M79=$AF$23,DATEDIF($F79,Employee!$Z$1,"D")-(DATEDIF($F79,Employee!$Z$1,"D")*5/365)+1,DATEDIF($M79,Employee!$Z$1,"D")-(DATEDIF($M79,Employee!$Z$1,"D")*5/365)+1)),0)</f>
        <v>127.24657534246575</v>
      </c>
      <c r="X79" s="46">
        <f>IF($V79&lt;=1800,($V79/360*$K79)*0.5,($V79-1800)/360*$K79+1800/360*$K79*0.5)</f>
        <v>64744.213888888888</v>
      </c>
      <c r="Y79" s="46">
        <f>IF($P79=21,0.0583333333333333*$W79*$K79/30,0.0833333333333333*$W79*$K79/30)</f>
        <v>2307.0511035007598</v>
      </c>
      <c r="Z79" s="46">
        <f>IFERROR(IF($W79&gt;=360,IF(O79&gt;4,IF($N79=$AH$23,VLOOKUP($E79,$AF$4:$AG$22,2,0)*4,VLOOKUP($E79,$AF$4:$AG$22,2,0)),IF($N79=$AH$23,VLOOKUP($E79,$AF$4:$AG$22,2,0)*O79,VLOOKUP($E79,$AF$4:$AG$22,2,0))),(IF(O79&gt;4,IF($N79=$AH$23,VLOOKUP($E79,$AF$4:$AG$22,2,0)*4,VLOOKUP($E79,$AF$4:$AG$22,2,0)),IF($N79=$AH$23,VLOOKUP($E79,$AF$4:$AG$22,2,0)*O79,VLOOKUP($E79,$AF$4:$AG$22,2,0))))/360*$W79),0)</f>
        <v>530.19406392694066</v>
      </c>
      <c r="AA79" s="49">
        <f>Table1[[#This Row],[نهاية الخدمة2]]-Table1[[#This Row],[نهاية الخدمة]]</f>
        <v>562.04722222222335</v>
      </c>
      <c r="AB79" s="49">
        <f>Table1[[#This Row],[رصيد اجازات2]]-Table1[[#This Row],[رصيد اجازات]]</f>
        <v>554.34794520547916</v>
      </c>
      <c r="AC79" s="49">
        <f>Table1[[#This Row],[تذاكر سفر2]]-Table1[[#This Row],[تذاكر سفر]]</f>
        <v>127.39726027397262</v>
      </c>
      <c r="AD79" s="5"/>
      <c r="AE79" s="5"/>
      <c r="AF79" s="5"/>
      <c r="AG79" s="5"/>
    </row>
    <row r="80" spans="1:33" ht="21.95" customHeight="1" x14ac:dyDescent="0.35">
      <c r="A80" s="32">
        <f>SUBTOTAL(3,C$3:$C80)</f>
        <v>78</v>
      </c>
      <c r="B80" s="30" t="s">
        <v>154</v>
      </c>
      <c r="C80" s="33" t="s">
        <v>74</v>
      </c>
      <c r="D80" s="50">
        <v>85801101102</v>
      </c>
      <c r="E80" s="51" t="s">
        <v>23</v>
      </c>
      <c r="F80" s="52">
        <v>40179</v>
      </c>
      <c r="G80" s="51">
        <v>35201</v>
      </c>
      <c r="H80" s="51">
        <v>5032</v>
      </c>
      <c r="I80" s="51">
        <v>252</v>
      </c>
      <c r="J80" s="51">
        <v>0</v>
      </c>
      <c r="K80" s="51">
        <f t="shared" si="2"/>
        <v>40485</v>
      </c>
      <c r="L80" s="52" t="s">
        <v>63</v>
      </c>
      <c r="M80" s="52" t="s">
        <v>63</v>
      </c>
      <c r="N80" s="51" t="s">
        <v>24</v>
      </c>
      <c r="O80" s="51">
        <v>0</v>
      </c>
      <c r="P80" s="53">
        <v>30</v>
      </c>
      <c r="Q80" s="54">
        <f>IF(F80&gt;0,DATEDIF($F80,Employee!$U$1,"Y")*12*30+DATEDIF($F80,Employee!$U$1,"YM")*30+DATEDIF($F80,Employee!$U$1,"MD")+1,0)</f>
        <v>4440</v>
      </c>
      <c r="R80" s="51">
        <f>IF(F80&gt;0,IF(M80=$AG$23,0,IF($M80=$AF$23,DATEDIF($F80,Employee!$U$1,"D")-(DATEDIF($F80,Employee!$U$1,"D")*5/365)+1,DATEDIF($M80,Employee!$U$1,"D")-(DATEDIF($M80,Employee!$U$1,"D")*5/365)+1)),0)</f>
        <v>0</v>
      </c>
      <c r="S80" s="51">
        <f>IF($Q80&lt;=1800,($Q80/360*$K80)*0.5,($Q80-1800)/360*$K80+1800/360*$K80*0.5)</f>
        <v>398102.5</v>
      </c>
      <c r="T80" s="51">
        <f>IF($P80=21,0.0583333333333333*$R80*$K80/30,0.0833333333333333*$R80*$K80/30)</f>
        <v>0</v>
      </c>
      <c r="U80" s="55">
        <f>IFERROR(IF($R80&gt;=360,IF(O80&gt;4,IF($N80=$AH$23,VLOOKUP($E80,$AF$4:$AG$22,2,0)*4,VLOOKUP($E80,$AF$4:$AG$22,2,0)),IF($N80=$AH$23,VLOOKUP($E80,$AF$4:$AG$22,2,0)*O80,VLOOKUP($E80,$AF$4:$AG$22,2,0))),(IF(O80&gt;4,IF($N80=$AH$23,VLOOKUP($E80,$AF$4:$AG$22,2,0)*4,VLOOKUP($E80,$AF$4:$AG$22,2,0)),IF($N80=$AH$23,VLOOKUP($E80,$AF$4:$AG$22,2,0)*O80,VLOOKUP($E80,$AF$4:$AG$22,2,0))))/360*$R80),0)</f>
        <v>0</v>
      </c>
      <c r="V80" s="56">
        <f>IF(F80&gt;0,DATEDIF($F80,Employee!$Z$1,"Y")*12*30+DATEDIF($F80,Employee!$Z$1,"YM")*30+DATEDIF($F80,Employee!$Z$1,"MD")+1,0)</f>
        <v>4471</v>
      </c>
      <c r="W80" s="51">
        <f>IF(F80&gt;0,IF(M80=$AG$23,0,IF($M80=$AF$23,DATEDIF($F80,Employee!$Z$1,"D")-(DATEDIF($F80,Employee!$Z$1,"D")*5/365)+1,DATEDIF($M80,Employee!$Z$1,"D")-(DATEDIF($M80,Employee!$Z$1,"D")*5/365)+1)),0)</f>
        <v>0</v>
      </c>
      <c r="X80" s="51">
        <f>IF($V80&lt;=1800,($V80/360*$K80)*0.5,($V80-1800)/360*$K80+1800/360*$K80*0.5)</f>
        <v>401588.70833333331</v>
      </c>
      <c r="Y80" s="51">
        <f>IF($P80=21,0.0583333333333333*$W80*$K80/30,0.0833333333333333*$W80*$K80/30)</f>
        <v>0</v>
      </c>
      <c r="Z80" s="51">
        <f>IFERROR(IF($W80&gt;=360,IF(O80&gt;4,IF($N80=$AH$23,VLOOKUP($E80,$AF$4:$AG$22,2,0)*4,VLOOKUP($E80,$AF$4:$AG$22,2,0)),IF($N80=$AH$23,VLOOKUP($E80,$AF$4:$AG$22,2,0)*O80,VLOOKUP($E80,$AF$4:$AG$22,2,0))),(IF(O80&gt;4,IF($N80=$AH$23,VLOOKUP($E80,$AF$4:$AG$22,2,0)*4,VLOOKUP($E80,$AF$4:$AG$22,2,0)),IF($N80=$AH$23,VLOOKUP($E80,$AF$4:$AG$22,2,0)*O80,VLOOKUP($E80,$AF$4:$AG$22,2,0))))/360*$W80),0)</f>
        <v>0</v>
      </c>
      <c r="AA80" s="57">
        <f>Table1[[#This Row],[نهاية الخدمة2]]-Table1[[#This Row],[نهاية الخدمة]]</f>
        <v>3486.2083333333139</v>
      </c>
      <c r="AB80" s="57">
        <f>Table1[[#This Row],[رصيد اجازات2]]-Table1[[#This Row],[رصيد اجازات]]</f>
        <v>0</v>
      </c>
      <c r="AC80" s="58">
        <f>Table1[[#This Row],[تذاكر سفر2]]-Table1[[#This Row],[تذاكر سفر]]</f>
        <v>0</v>
      </c>
      <c r="AD80" s="5"/>
      <c r="AE80" s="5"/>
      <c r="AF80" s="5"/>
      <c r="AG80" s="5"/>
    </row>
    <row r="81" spans="1:33" ht="21.95" customHeight="1" x14ac:dyDescent="0.35">
      <c r="A81" s="32">
        <f>SUBTOTAL(3,C$3:$C81)</f>
        <v>79</v>
      </c>
      <c r="B81" s="30" t="s">
        <v>155</v>
      </c>
      <c r="C81" s="34" t="s">
        <v>75</v>
      </c>
      <c r="D81" s="45">
        <v>86901101102</v>
      </c>
      <c r="E81" s="46" t="s">
        <v>31</v>
      </c>
      <c r="F81" s="47">
        <v>40179</v>
      </c>
      <c r="G81" s="46">
        <v>5026</v>
      </c>
      <c r="H81" s="46">
        <v>1001</v>
      </c>
      <c r="I81" s="46">
        <v>500</v>
      </c>
      <c r="J81" s="46">
        <v>0</v>
      </c>
      <c r="K81" s="46">
        <f t="shared" si="2"/>
        <v>6527</v>
      </c>
      <c r="L81" s="47" t="s">
        <v>21</v>
      </c>
      <c r="M81" s="47" t="s">
        <v>21</v>
      </c>
      <c r="N81" s="46" t="s">
        <v>24</v>
      </c>
      <c r="O81" s="46">
        <v>0</v>
      </c>
      <c r="P81" s="48">
        <v>21</v>
      </c>
      <c r="Q81" s="46">
        <f>IF(F81&gt;0,DATEDIF($F81,Employee!$U$1,"Y")*12*30+DATEDIF($F81,Employee!$U$1,"YM")*30+DATEDIF($F81,Employee!$U$1,"MD")+1,0)</f>
        <v>4440</v>
      </c>
      <c r="R81" s="46">
        <f>IF(F81&gt;0,IF(M81=$AG$23,0,IF($M81=$AF$23,DATEDIF($F81,Employee!$U$1,"D")-(DATEDIF($F81,Employee!$U$1,"D")*5/365)+1,DATEDIF($M81,Employee!$U$1,"D")-(DATEDIF($M81,Employee!$U$1,"D")*5/365)+1)),0)</f>
        <v>4441.3287671232874</v>
      </c>
      <c r="S81" s="46">
        <f>IF($Q81&lt;=1800,($Q81/360*$K81)*0.5,($Q81-1800)/360*$K81+1800/360*$K81*0.5)</f>
        <v>64182.166666666664</v>
      </c>
      <c r="T81" s="46">
        <f>IF($P81=21,0.0583333333333333*$R81*$K81/30,0.0833333333333333*$R81*$K81/30)</f>
        <v>56366.630566971042</v>
      </c>
      <c r="U81" s="46">
        <f>IFERROR(IF($R81&gt;=360,IF(O81&gt;4,IF($N81=$AH$23,VLOOKUP($E81,$AF$4:$AG$22,2,0)*4,VLOOKUP($E81,$AF$4:$AG$22,2,0)),IF($N81=$AH$23,VLOOKUP($E81,$AF$4:$AG$22,2,0)*O81,VLOOKUP($E81,$AF$4:$AG$22,2,0))),(IF(O81&gt;4,IF($N81=$AH$23,VLOOKUP($E81,$AF$4:$AG$22,2,0)*4,VLOOKUP($E81,$AF$4:$AG$22,2,0)),IF($N81=$AH$23,VLOOKUP($E81,$AF$4:$AG$22,2,0)*O81,VLOOKUP($E81,$AF$4:$AG$22,2,0))))/360*$R81),0)</f>
        <v>2000</v>
      </c>
      <c r="V81" s="46">
        <f>IF(F81&gt;0,DATEDIF($F81,Employee!$Z$1,"Y")*12*30+DATEDIF($F81,Employee!$Z$1,"YM")*30+DATEDIF($F81,Employee!$Z$1,"MD")+1,0)</f>
        <v>4471</v>
      </c>
      <c r="W81" s="46">
        <f>IF(F81&gt;0,IF(M81=$AG$23,0,IF($M81=$AF$23,DATEDIF($F81,Employee!$Z$1,"D")-(DATEDIF($F81,Employee!$Z$1,"D")*5/365)+1,DATEDIF($M81,Employee!$Z$1,"D")-(DATEDIF($M81,Employee!$Z$1,"D")*5/365)+1)),0)</f>
        <v>4471.9041095890407</v>
      </c>
      <c r="X81" s="46">
        <f>IF($V81&lt;=1800,($V81/360*$K81)*0.5,($V81-1800)/360*$K81+1800/360*$K81*0.5)</f>
        <v>64744.213888888888</v>
      </c>
      <c r="Y81" s="46">
        <f>IF($P81=21,0.0583333333333333*$W81*$K81/30,0.0833333333333333*$W81*$K81/30)</f>
        <v>56754.674128614868</v>
      </c>
      <c r="Z81" s="46">
        <f>IFERROR(IF($W81&gt;=360,IF(O81&gt;4,IF($N81=$AH$23,VLOOKUP($E81,$AF$4:$AG$22,2,0)*4,VLOOKUP($E81,$AF$4:$AG$22,2,0)),IF($N81=$AH$23,VLOOKUP($E81,$AF$4:$AG$22,2,0)*O81,VLOOKUP($E81,$AF$4:$AG$22,2,0))),(IF(O81&gt;4,IF($N81=$AH$23,VLOOKUP($E81,$AF$4:$AG$22,2,0)*4,VLOOKUP($E81,$AF$4:$AG$22,2,0)),IF($N81=$AH$23,VLOOKUP($E81,$AF$4:$AG$22,2,0)*O81,VLOOKUP($E81,$AF$4:$AG$22,2,0))))/360*$W81),0)</f>
        <v>2000</v>
      </c>
      <c r="AA81" s="49">
        <f>Table1[[#This Row],[نهاية الخدمة2]]-Table1[[#This Row],[نهاية الخدمة]]</f>
        <v>562.04722222222335</v>
      </c>
      <c r="AB81" s="49">
        <f>Table1[[#This Row],[رصيد اجازات2]]-Table1[[#This Row],[رصيد اجازات]]</f>
        <v>388.04356164382625</v>
      </c>
      <c r="AC81" s="49">
        <f>Table1[[#This Row],[تذاكر سفر2]]-Table1[[#This Row],[تذاكر سفر]]</f>
        <v>0</v>
      </c>
      <c r="AD81" s="5"/>
      <c r="AE81" s="5"/>
      <c r="AF81" s="5"/>
      <c r="AG81" s="5"/>
    </row>
    <row r="82" spans="1:33" ht="21.95" customHeight="1" x14ac:dyDescent="0.35">
      <c r="A82" s="32">
        <f>SUBTOTAL(3,C$3:$C82)</f>
        <v>80</v>
      </c>
      <c r="B82" s="30" t="s">
        <v>156</v>
      </c>
      <c r="C82" s="33" t="s">
        <v>76</v>
      </c>
      <c r="D82" s="50">
        <v>88001101102</v>
      </c>
      <c r="E82" s="51" t="s">
        <v>26</v>
      </c>
      <c r="F82" s="52">
        <v>40179</v>
      </c>
      <c r="G82" s="51">
        <v>35201</v>
      </c>
      <c r="H82" s="51">
        <v>5032</v>
      </c>
      <c r="I82" s="51">
        <v>252</v>
      </c>
      <c r="J82" s="51">
        <v>0</v>
      </c>
      <c r="K82" s="51">
        <f t="shared" si="2"/>
        <v>40485</v>
      </c>
      <c r="L82" s="52" t="s">
        <v>21</v>
      </c>
      <c r="M82" s="52" t="s">
        <v>21</v>
      </c>
      <c r="N82" s="51" t="s">
        <v>24</v>
      </c>
      <c r="O82" s="51">
        <v>0</v>
      </c>
      <c r="P82" s="53">
        <v>30</v>
      </c>
      <c r="Q82" s="54">
        <f>IF(F82&gt;0,DATEDIF($F82,Employee!$U$1,"Y")*12*30+DATEDIF($F82,Employee!$U$1,"YM")*30+DATEDIF($F82,Employee!$U$1,"MD")+1,0)</f>
        <v>4440</v>
      </c>
      <c r="R82" s="51">
        <f>IF(F82&gt;0,IF(M82=$AG$23,0,IF($M82=$AF$23,DATEDIF($F82,Employee!$U$1,"D")-(DATEDIF($F82,Employee!$U$1,"D")*5/365)+1,DATEDIF($M82,Employee!$U$1,"D")-(DATEDIF($M82,Employee!$U$1,"D")*5/365)+1)),0)</f>
        <v>4441.3287671232874</v>
      </c>
      <c r="S82" s="51">
        <f>IF($Q82&lt;=1800,($Q82/360*$K82)*0.5,($Q82-1800)/360*$K82+1800/360*$K82*0.5)</f>
        <v>398102.5</v>
      </c>
      <c r="T82" s="51">
        <f>IF($P82=21,0.0583333333333333*$R82*$K82/30,0.0833333333333333*$R82*$K82/30)</f>
        <v>499464.43093607284</v>
      </c>
      <c r="U82" s="55">
        <f>IFERROR(IF($R82&gt;=360,IF(O82&gt;4,IF($N82=$AH$23,VLOOKUP($E82,$AF$4:$AG$22,2,0)*4,VLOOKUP($E82,$AF$4:$AG$22,2,0)),IF($N82=$AH$23,VLOOKUP($E82,$AF$4:$AG$22,2,0)*O82,VLOOKUP($E82,$AF$4:$AG$22,2,0))),(IF(O82&gt;4,IF($N82=$AH$23,VLOOKUP($E82,$AF$4:$AG$22,2,0)*4,VLOOKUP($E82,$AF$4:$AG$22,2,0)),IF($N82=$AH$23,VLOOKUP($E82,$AF$4:$AG$22,2,0)*O82,VLOOKUP($E82,$AF$4:$AG$22,2,0))))/360*$R82),0)</f>
        <v>1500</v>
      </c>
      <c r="V82" s="56">
        <f>IF(F82&gt;0,DATEDIF($F82,Employee!$Z$1,"Y")*12*30+DATEDIF($F82,Employee!$Z$1,"YM")*30+DATEDIF($F82,Employee!$Z$1,"MD")+1,0)</f>
        <v>4471</v>
      </c>
      <c r="W82" s="51">
        <f>IF(F82&gt;0,IF(M82=$AG$23,0,IF($M82=$AF$23,DATEDIF($F82,Employee!$Z$1,"D")-(DATEDIF($F82,Employee!$Z$1,"D")*5/365)+1,DATEDIF($M82,Employee!$Z$1,"D")-(DATEDIF($M82,Employee!$Z$1,"D")*5/365)+1)),0)</f>
        <v>4471.9041095890407</v>
      </c>
      <c r="X82" s="51">
        <f>IF($V82&lt;=1800,($V82/360*$K82)*0.5,($V82-1800)/360*$K82+1800/360*$K82*0.5)</f>
        <v>401588.70833333331</v>
      </c>
      <c r="Y82" s="51">
        <f>IF($P82=21,0.0583333333333333*$W82*$K82/30,0.0833333333333333*$W82*$K82/30)</f>
        <v>502902.88299086725</v>
      </c>
      <c r="Z82" s="51">
        <f>IFERROR(IF($W82&gt;=360,IF(O82&gt;4,IF($N82=$AH$23,VLOOKUP($E82,$AF$4:$AG$22,2,0)*4,VLOOKUP($E82,$AF$4:$AG$22,2,0)),IF($N82=$AH$23,VLOOKUP($E82,$AF$4:$AG$22,2,0)*O82,VLOOKUP($E82,$AF$4:$AG$22,2,0))),(IF(O82&gt;4,IF($N82=$AH$23,VLOOKUP($E82,$AF$4:$AG$22,2,0)*4,VLOOKUP($E82,$AF$4:$AG$22,2,0)),IF($N82=$AH$23,VLOOKUP($E82,$AF$4:$AG$22,2,0)*O82,VLOOKUP($E82,$AF$4:$AG$22,2,0))))/360*$W82),0)</f>
        <v>1500</v>
      </c>
      <c r="AA82" s="57">
        <f>Table1[[#This Row],[نهاية الخدمة2]]-Table1[[#This Row],[نهاية الخدمة]]</f>
        <v>3486.2083333333139</v>
      </c>
      <c r="AB82" s="57">
        <f>Table1[[#This Row],[رصيد اجازات2]]-Table1[[#This Row],[رصيد اجازات]]</f>
        <v>3438.4520547944121</v>
      </c>
      <c r="AC82" s="58">
        <f>Table1[[#This Row],[تذاكر سفر2]]-Table1[[#This Row],[تذاكر سفر]]</f>
        <v>0</v>
      </c>
      <c r="AD82" s="5"/>
      <c r="AE82" s="5"/>
      <c r="AF82" s="5"/>
      <c r="AG82" s="5"/>
    </row>
    <row r="83" spans="1:33" ht="21.95" customHeight="1" x14ac:dyDescent="0.35">
      <c r="A83" s="32">
        <f>SUBTOTAL(3,C$3:$C83)</f>
        <v>81</v>
      </c>
      <c r="B83" s="30" t="s">
        <v>157</v>
      </c>
      <c r="C83" s="31" t="s">
        <v>72</v>
      </c>
      <c r="D83" s="45">
        <v>89101101102</v>
      </c>
      <c r="E83" s="46" t="s">
        <v>30</v>
      </c>
      <c r="F83" s="47">
        <v>40179</v>
      </c>
      <c r="G83" s="46">
        <v>5026</v>
      </c>
      <c r="H83" s="46">
        <v>1001</v>
      </c>
      <c r="I83" s="46">
        <v>500</v>
      </c>
      <c r="J83" s="46">
        <v>0</v>
      </c>
      <c r="K83" s="46">
        <f t="shared" si="2"/>
        <v>6527</v>
      </c>
      <c r="L83" s="47" t="s">
        <v>21</v>
      </c>
      <c r="M83" s="47" t="s">
        <v>21</v>
      </c>
      <c r="N83" s="46" t="s">
        <v>24</v>
      </c>
      <c r="O83" s="46">
        <v>0</v>
      </c>
      <c r="P83" s="48">
        <v>21</v>
      </c>
      <c r="Q83" s="46">
        <f>IF(F83&gt;0,DATEDIF($F83,Employee!$U$1,"Y")*12*30+DATEDIF($F83,Employee!$U$1,"YM")*30+DATEDIF($F83,Employee!$U$1,"MD")+1,0)</f>
        <v>4440</v>
      </c>
      <c r="R83" s="46">
        <f>IF(F83&gt;0,IF(M83=$AG$23,0,IF($M83=$AF$23,DATEDIF($F83,Employee!$U$1,"D")-(DATEDIF($F83,Employee!$U$1,"D")*5/365)+1,DATEDIF($M83,Employee!$U$1,"D")-(DATEDIF($M83,Employee!$U$1,"D")*5/365)+1)),0)</f>
        <v>4441.3287671232874</v>
      </c>
      <c r="S83" s="46">
        <f>IF($Q83&lt;=1800,($Q83/360*$K83)*0.5,($Q83-1800)/360*$K83+1800/360*$K83*0.5)</f>
        <v>64182.166666666664</v>
      </c>
      <c r="T83" s="46">
        <f>IF($P83=21,0.0583333333333333*$R83*$K83/30,0.0833333333333333*$R83*$K83/30)</f>
        <v>56366.630566971042</v>
      </c>
      <c r="U83" s="46">
        <f>IFERROR(IF($R83&gt;=360,IF(O83&gt;4,IF($N83=$AH$23,VLOOKUP($E83,$AF$4:$AG$22,2,0)*4,VLOOKUP($E83,$AF$4:$AG$22,2,0)),IF($N83=$AH$23,VLOOKUP($E83,$AF$4:$AG$22,2,0)*O83,VLOOKUP($E83,$AF$4:$AG$22,2,0))),(IF(O83&gt;4,IF($N83=$AH$23,VLOOKUP($E83,$AF$4:$AG$22,2,0)*4,VLOOKUP($E83,$AF$4:$AG$22,2,0)),IF($N83=$AH$23,VLOOKUP($E83,$AF$4:$AG$22,2,0)*O83,VLOOKUP($E83,$AF$4:$AG$22,2,0))))/360*$R83),0)</f>
        <v>0</v>
      </c>
      <c r="V83" s="46">
        <f>IF(F83&gt;0,DATEDIF($F83,Employee!$Z$1,"Y")*12*30+DATEDIF($F83,Employee!$Z$1,"YM")*30+DATEDIF($F83,Employee!$Z$1,"MD")+1,0)</f>
        <v>4471</v>
      </c>
      <c r="W83" s="46">
        <f>IF(F83&gt;0,IF(M83=$AG$23,0,IF($M83=$AF$23,DATEDIF($F83,Employee!$Z$1,"D")-(DATEDIF($F83,Employee!$Z$1,"D")*5/365)+1,DATEDIF($M83,Employee!$Z$1,"D")-(DATEDIF($M83,Employee!$Z$1,"D")*5/365)+1)),0)</f>
        <v>4471.9041095890407</v>
      </c>
      <c r="X83" s="46">
        <f>IF($V83&lt;=1800,($V83/360*$K83)*0.5,($V83-1800)/360*$K83+1800/360*$K83*0.5)</f>
        <v>64744.213888888888</v>
      </c>
      <c r="Y83" s="46">
        <f>IF($P83=21,0.0583333333333333*$W83*$K83/30,0.0833333333333333*$W83*$K83/30)</f>
        <v>56754.674128614868</v>
      </c>
      <c r="Z83" s="46">
        <f>IFERROR(IF($W83&gt;=360,IF(O83&gt;4,IF($N83=$AH$23,VLOOKUP($E83,$AF$4:$AG$22,2,0)*4,VLOOKUP($E83,$AF$4:$AG$22,2,0)),IF($N83=$AH$23,VLOOKUP($E83,$AF$4:$AG$22,2,0)*O83,VLOOKUP($E83,$AF$4:$AG$22,2,0))),(IF(O83&gt;4,IF($N83=$AH$23,VLOOKUP($E83,$AF$4:$AG$22,2,0)*4,VLOOKUP($E83,$AF$4:$AG$22,2,0)),IF($N83=$AH$23,VLOOKUP($E83,$AF$4:$AG$22,2,0)*O83,VLOOKUP($E83,$AF$4:$AG$22,2,0))))/360*$W83),0)</f>
        <v>0</v>
      </c>
      <c r="AA83" s="49">
        <f>Table1[[#This Row],[نهاية الخدمة2]]-Table1[[#This Row],[نهاية الخدمة]]</f>
        <v>562.04722222222335</v>
      </c>
      <c r="AB83" s="49">
        <f>Table1[[#This Row],[رصيد اجازات2]]-Table1[[#This Row],[رصيد اجازات]]</f>
        <v>388.04356164382625</v>
      </c>
      <c r="AC83" s="49">
        <f>Table1[[#This Row],[تذاكر سفر2]]-Table1[[#This Row],[تذاكر سفر]]</f>
        <v>0</v>
      </c>
      <c r="AD83" s="5"/>
      <c r="AE83" s="5"/>
      <c r="AF83" s="5"/>
      <c r="AG83" s="5"/>
    </row>
    <row r="84" spans="1:33" ht="21.95" customHeight="1" x14ac:dyDescent="0.35">
      <c r="A84" s="32">
        <f>SUBTOTAL(3,C$3:$C84)</f>
        <v>82</v>
      </c>
      <c r="B84" s="30" t="s">
        <v>158</v>
      </c>
      <c r="C84" s="33" t="s">
        <v>73</v>
      </c>
      <c r="D84" s="50">
        <v>90201101102</v>
      </c>
      <c r="E84" s="51" t="s">
        <v>30</v>
      </c>
      <c r="F84" s="52">
        <v>40179</v>
      </c>
      <c r="G84" s="51">
        <v>35201</v>
      </c>
      <c r="H84" s="51">
        <v>5032</v>
      </c>
      <c r="I84" s="51">
        <v>252</v>
      </c>
      <c r="J84" s="51">
        <v>0</v>
      </c>
      <c r="K84" s="51">
        <f t="shared" si="2"/>
        <v>40485</v>
      </c>
      <c r="L84" s="52" t="s">
        <v>21</v>
      </c>
      <c r="M84" s="52" t="s">
        <v>21</v>
      </c>
      <c r="N84" s="51" t="s">
        <v>24</v>
      </c>
      <c r="O84" s="51">
        <v>0</v>
      </c>
      <c r="P84" s="53">
        <v>21</v>
      </c>
      <c r="Q84" s="54">
        <f>IF(F84&gt;0,DATEDIF($F84,Employee!$U$1,"Y")*12*30+DATEDIF($F84,Employee!$U$1,"YM")*30+DATEDIF($F84,Employee!$U$1,"MD")+1,0)</f>
        <v>4440</v>
      </c>
      <c r="R84" s="51">
        <f>IF(F84&gt;0,IF(M84=$AG$23,0,IF($M84=$AF$23,DATEDIF($F84,Employee!$U$1,"D")-(DATEDIF($F84,Employee!$U$1,"D")*5/365)+1,DATEDIF($M84,Employee!$U$1,"D")-(DATEDIF($M84,Employee!$U$1,"D")*5/365)+1)),0)</f>
        <v>4441.3287671232874</v>
      </c>
      <c r="S84" s="51">
        <f>IF($Q84&lt;=1800,($Q84/360*$K84)*0.5,($Q84-1800)/360*$K84+1800/360*$K84*0.5)</f>
        <v>398102.5</v>
      </c>
      <c r="T84" s="51">
        <f>IF($P84=21,0.0583333333333333*$R84*$K84/30,0.0833333333333333*$R84*$K84/30)</f>
        <v>349625.10165525094</v>
      </c>
      <c r="U84" s="55">
        <f>IFERROR(IF($R84&gt;=360,IF(O84&gt;4,IF($N84=$AH$23,VLOOKUP($E84,$AF$4:$AG$22,2,0)*4,VLOOKUP($E84,$AF$4:$AG$22,2,0)),IF($N84=$AH$23,VLOOKUP($E84,$AF$4:$AG$22,2,0)*O84,VLOOKUP($E84,$AF$4:$AG$22,2,0))),(IF(O84&gt;4,IF($N84=$AH$23,VLOOKUP($E84,$AF$4:$AG$22,2,0)*4,VLOOKUP($E84,$AF$4:$AG$22,2,0)),IF($N84=$AH$23,VLOOKUP($E84,$AF$4:$AG$22,2,0)*O84,VLOOKUP($E84,$AF$4:$AG$22,2,0))))/360*$R84),0)</f>
        <v>0</v>
      </c>
      <c r="V84" s="56">
        <f>IF(F84&gt;0,DATEDIF($F84,Employee!$Z$1,"Y")*12*30+DATEDIF($F84,Employee!$Z$1,"YM")*30+DATEDIF($F84,Employee!$Z$1,"MD")+1,0)</f>
        <v>4471</v>
      </c>
      <c r="W84" s="51">
        <f>IF(F84&gt;0,IF(M84=$AG$23,0,IF($M84=$AF$23,DATEDIF($F84,Employee!$Z$1,"D")-(DATEDIF($F84,Employee!$Z$1,"D")*5/365)+1,DATEDIF($M84,Employee!$Z$1,"D")-(DATEDIF($M84,Employee!$Z$1,"D")*5/365)+1)),0)</f>
        <v>4471.9041095890407</v>
      </c>
      <c r="X84" s="51">
        <f>IF($V84&lt;=1800,($V84/360*$K84)*0.5,($V84-1800)/360*$K84+1800/360*$K84*0.5)</f>
        <v>401588.70833333331</v>
      </c>
      <c r="Y84" s="51">
        <f>IF($P84=21,0.0583333333333333*$W84*$K84/30,0.0833333333333333*$W84*$K84/30)</f>
        <v>352032.01809360704</v>
      </c>
      <c r="Z84" s="51">
        <f>IFERROR(IF($W84&gt;=360,IF(O84&gt;4,IF($N84=$AH$23,VLOOKUP($E84,$AF$4:$AG$22,2,0)*4,VLOOKUP($E84,$AF$4:$AG$22,2,0)),IF($N84=$AH$23,VLOOKUP($E84,$AF$4:$AG$22,2,0)*O84,VLOOKUP($E84,$AF$4:$AG$22,2,0))),(IF(O84&gt;4,IF($N84=$AH$23,VLOOKUP($E84,$AF$4:$AG$22,2,0)*4,VLOOKUP($E84,$AF$4:$AG$22,2,0)),IF($N84=$AH$23,VLOOKUP($E84,$AF$4:$AG$22,2,0)*O84,VLOOKUP($E84,$AF$4:$AG$22,2,0))))/360*$W84),0)</f>
        <v>0</v>
      </c>
      <c r="AA84" s="57">
        <f>Table1[[#This Row],[نهاية الخدمة2]]-Table1[[#This Row],[نهاية الخدمة]]</f>
        <v>3486.2083333333139</v>
      </c>
      <c r="AB84" s="57">
        <f>Table1[[#This Row],[رصيد اجازات2]]-Table1[[#This Row],[رصيد اجازات]]</f>
        <v>2406.9164383561001</v>
      </c>
      <c r="AC84" s="58">
        <f>Table1[[#This Row],[تذاكر سفر2]]-Table1[[#This Row],[تذاكر سفر]]</f>
        <v>0</v>
      </c>
      <c r="AD84" s="5"/>
      <c r="AE84" s="5"/>
      <c r="AF84" s="5"/>
      <c r="AG84" s="5"/>
    </row>
    <row r="85" spans="1:33" ht="21.95" customHeight="1" x14ac:dyDescent="0.35">
      <c r="A85" s="32">
        <f>SUBTOTAL(3,C$3:$C85)</f>
        <v>83</v>
      </c>
      <c r="B85" s="30" t="s">
        <v>159</v>
      </c>
      <c r="C85" s="33" t="s">
        <v>74</v>
      </c>
      <c r="D85" s="45">
        <v>91301101102</v>
      </c>
      <c r="E85" s="46" t="s">
        <v>23</v>
      </c>
      <c r="F85" s="47">
        <v>40179</v>
      </c>
      <c r="G85" s="46">
        <v>5026</v>
      </c>
      <c r="H85" s="46">
        <v>1001</v>
      </c>
      <c r="I85" s="46">
        <v>500</v>
      </c>
      <c r="J85" s="46">
        <v>0</v>
      </c>
      <c r="K85" s="46">
        <f t="shared" si="2"/>
        <v>6527</v>
      </c>
      <c r="L85" s="47">
        <v>43921</v>
      </c>
      <c r="M85" s="47">
        <v>44110</v>
      </c>
      <c r="N85" s="46" t="s">
        <v>24</v>
      </c>
      <c r="O85" s="46">
        <v>0</v>
      </c>
      <c r="P85" s="48">
        <v>21</v>
      </c>
      <c r="Q85" s="46">
        <f>IF(F85&gt;0,DATEDIF($F85,Employee!$U$1,"Y")*12*30+DATEDIF($F85,Employee!$U$1,"YM")*30+DATEDIF($F85,Employee!$U$1,"MD")+1,0)</f>
        <v>4440</v>
      </c>
      <c r="R85" s="46">
        <f>IF(F85&gt;0,IF(M85=$AG$23,0,IF($M85=$AF$23,DATEDIF($F85,Employee!$U$1,"D")-(DATEDIF($F85,Employee!$U$1,"D")*5/365)+1,DATEDIF($M85,Employee!$U$1,"D")-(DATEDIF($M85,Employee!$U$1,"D")*5/365)+1)),0)</f>
        <v>564.17808219178085</v>
      </c>
      <c r="S85" s="46">
        <f>IF($Q85&lt;=1800,($Q85/360*$K85)*0.5,($Q85-1800)/360*$K85+1800/360*$K85*0.5)</f>
        <v>64182.166666666664</v>
      </c>
      <c r="T85" s="46">
        <f>IF($P85=21,0.0583333333333333*$R85*$K85/30,0.0833333333333333*$R85*$K85/30)</f>
        <v>7160.2034436834056</v>
      </c>
      <c r="U85" s="46">
        <f>IFERROR(IF($R85&gt;=360,IF(O85&gt;4,IF($N85=$AH$23,VLOOKUP($E85,$AF$4:$AG$22,2,0)*4,VLOOKUP($E85,$AF$4:$AG$22,2,0)),IF($N85=$AH$23,VLOOKUP($E85,$AF$4:$AG$22,2,0)*O85,VLOOKUP($E85,$AF$4:$AG$22,2,0))),(IF(O85&gt;4,IF($N85=$AH$23,VLOOKUP($E85,$AF$4:$AG$22,2,0)*4,VLOOKUP($E85,$AF$4:$AG$22,2,0)),IF($N85=$AH$23,VLOOKUP($E85,$AF$4:$AG$22,2,0)*O85,VLOOKUP($E85,$AF$4:$AG$22,2,0))))/360*$R85),0)</f>
        <v>2250</v>
      </c>
      <c r="V85" s="46">
        <f>IF(F85&gt;0,DATEDIF($F85,Employee!$Z$1,"Y")*12*30+DATEDIF($F85,Employee!$Z$1,"YM")*30+DATEDIF($F85,Employee!$Z$1,"MD")+1,0)</f>
        <v>4471</v>
      </c>
      <c r="W85" s="46">
        <f>IF(F85&gt;0,IF(M85=$AG$23,0,IF($M85=$AF$23,DATEDIF($F85,Employee!$Z$1,"D")-(DATEDIF($F85,Employee!$Z$1,"D")*5/365)+1,DATEDIF($M85,Employee!$Z$1,"D")-(DATEDIF($M85,Employee!$Z$1,"D")*5/365)+1)),0)</f>
        <v>594.7534246575342</v>
      </c>
      <c r="X85" s="46">
        <f>IF($V85&lt;=1800,($V85/360*$K85)*0.5,($V85-1800)/360*$K85+1800/360*$K85*0.5)</f>
        <v>64744.213888888888</v>
      </c>
      <c r="Y85" s="46">
        <f>IF($P85=21,0.0583333333333333*$W85*$K85/30,0.0833333333333333*$W85*$K85/30)</f>
        <v>7548.24700532724</v>
      </c>
      <c r="Z85" s="46">
        <f>IFERROR(IF($W85&gt;=360,IF(O85&gt;4,IF($N85=$AH$23,VLOOKUP($E85,$AF$4:$AG$22,2,0)*4,VLOOKUP($E85,$AF$4:$AG$22,2,0)),IF($N85=$AH$23,VLOOKUP($E85,$AF$4:$AG$22,2,0)*O85,VLOOKUP($E85,$AF$4:$AG$22,2,0))),(IF(O85&gt;4,IF($N85=$AH$23,VLOOKUP($E85,$AF$4:$AG$22,2,0)*4,VLOOKUP($E85,$AF$4:$AG$22,2,0)),IF($N85=$AH$23,VLOOKUP($E85,$AF$4:$AG$22,2,0)*O85,VLOOKUP($E85,$AF$4:$AG$22,2,0))))/360*$W85),0)</f>
        <v>2250</v>
      </c>
      <c r="AA85" s="49">
        <f>Table1[[#This Row],[نهاية الخدمة2]]-Table1[[#This Row],[نهاية الخدمة]]</f>
        <v>562.04722222222335</v>
      </c>
      <c r="AB85" s="49">
        <f>Table1[[#This Row],[رصيد اجازات2]]-Table1[[#This Row],[رصيد اجازات]]</f>
        <v>388.04356164383444</v>
      </c>
      <c r="AC85" s="49">
        <f>Table1[[#This Row],[تذاكر سفر2]]-Table1[[#This Row],[تذاكر سفر]]</f>
        <v>0</v>
      </c>
      <c r="AD85" s="5"/>
      <c r="AE85" s="5"/>
      <c r="AF85" s="5"/>
      <c r="AG85" s="5"/>
    </row>
    <row r="86" spans="1:33" ht="21.95" customHeight="1" x14ac:dyDescent="0.35">
      <c r="A86" s="32">
        <f>SUBTOTAL(3,C$3:$C86)</f>
        <v>84</v>
      </c>
      <c r="B86" s="30" t="s">
        <v>160</v>
      </c>
      <c r="C86" s="34" t="s">
        <v>75</v>
      </c>
      <c r="D86" s="50">
        <v>92401101102</v>
      </c>
      <c r="E86" s="51" t="s">
        <v>37</v>
      </c>
      <c r="F86" s="52">
        <v>40179</v>
      </c>
      <c r="G86" s="51">
        <v>35201</v>
      </c>
      <c r="H86" s="51">
        <v>5032</v>
      </c>
      <c r="I86" s="51">
        <v>252</v>
      </c>
      <c r="J86" s="51">
        <v>0</v>
      </c>
      <c r="K86" s="51">
        <f t="shared" si="2"/>
        <v>40485</v>
      </c>
      <c r="L86" s="52" t="s">
        <v>21</v>
      </c>
      <c r="M86" s="52" t="s">
        <v>21</v>
      </c>
      <c r="N86" s="51" t="s">
        <v>24</v>
      </c>
      <c r="O86" s="51">
        <v>0</v>
      </c>
      <c r="P86" s="53">
        <v>21</v>
      </c>
      <c r="Q86" s="54">
        <f>IF(F86&gt;0,DATEDIF($F86,Employee!$U$1,"Y")*12*30+DATEDIF($F86,Employee!$U$1,"YM")*30+DATEDIF($F86,Employee!$U$1,"MD")+1,0)</f>
        <v>4440</v>
      </c>
      <c r="R86" s="51">
        <f>IF(F86&gt;0,IF(M86=$AG$23,0,IF($M86=$AF$23,DATEDIF($F86,Employee!$U$1,"D")-(DATEDIF($F86,Employee!$U$1,"D")*5/365)+1,DATEDIF($M86,Employee!$U$1,"D")-(DATEDIF($M86,Employee!$U$1,"D")*5/365)+1)),0)</f>
        <v>4441.3287671232874</v>
      </c>
      <c r="S86" s="51">
        <f>IF($Q86&lt;=1800,($Q86/360*$K86)*0.5,($Q86-1800)/360*$K86+1800/360*$K86*0.5)</f>
        <v>398102.5</v>
      </c>
      <c r="T86" s="51">
        <f>IF($P86=21,0.0583333333333333*$R86*$K86/30,0.0833333333333333*$R86*$K86/30)</f>
        <v>349625.10165525094</v>
      </c>
      <c r="U86" s="55">
        <f>IFERROR(IF($R86&gt;=360,IF(O86&gt;4,IF($N86=$AH$23,VLOOKUP($E86,$AF$4:$AG$22,2,0)*4,VLOOKUP($E86,$AF$4:$AG$22,2,0)),IF($N86=$AH$23,VLOOKUP($E86,$AF$4:$AG$22,2,0)*O86,VLOOKUP($E86,$AF$4:$AG$22,2,0))),(IF(O86&gt;4,IF($N86=$AH$23,VLOOKUP($E86,$AF$4:$AG$22,2,0)*4,VLOOKUP($E86,$AF$4:$AG$22,2,0)),IF($N86=$AH$23,VLOOKUP($E86,$AF$4:$AG$22,2,0)*O86,VLOOKUP($E86,$AF$4:$AG$22,2,0))))/360*$R86),0)</f>
        <v>1000</v>
      </c>
      <c r="V86" s="56">
        <f>IF(F86&gt;0,DATEDIF($F86,Employee!$Z$1,"Y")*12*30+DATEDIF($F86,Employee!$Z$1,"YM")*30+DATEDIF($F86,Employee!$Z$1,"MD")+1,0)</f>
        <v>4471</v>
      </c>
      <c r="W86" s="51">
        <f>IF(F86&gt;0,IF(M86=$AG$23,0,IF($M86=$AF$23,DATEDIF($F86,Employee!$Z$1,"D")-(DATEDIF($F86,Employee!$Z$1,"D")*5/365)+1,DATEDIF($M86,Employee!$Z$1,"D")-(DATEDIF($M86,Employee!$Z$1,"D")*5/365)+1)),0)</f>
        <v>4471.9041095890407</v>
      </c>
      <c r="X86" s="51">
        <f>IF($V86&lt;=1800,($V86/360*$K86)*0.5,($V86-1800)/360*$K86+1800/360*$K86*0.5)</f>
        <v>401588.70833333331</v>
      </c>
      <c r="Y86" s="51">
        <f>IF($P86=21,0.0583333333333333*$W86*$K86/30,0.0833333333333333*$W86*$K86/30)</f>
        <v>352032.01809360704</v>
      </c>
      <c r="Z86" s="51">
        <f>IFERROR(IF($W86&gt;=360,IF(O86&gt;4,IF($N86=$AH$23,VLOOKUP($E86,$AF$4:$AG$22,2,0)*4,VLOOKUP($E86,$AF$4:$AG$22,2,0)),IF($N86=$AH$23,VLOOKUP($E86,$AF$4:$AG$22,2,0)*O86,VLOOKUP($E86,$AF$4:$AG$22,2,0))),(IF(O86&gt;4,IF($N86=$AH$23,VLOOKUP($E86,$AF$4:$AG$22,2,0)*4,VLOOKUP($E86,$AF$4:$AG$22,2,0)),IF($N86=$AH$23,VLOOKUP($E86,$AF$4:$AG$22,2,0)*O86,VLOOKUP($E86,$AF$4:$AG$22,2,0))))/360*$W86),0)</f>
        <v>1000</v>
      </c>
      <c r="AA86" s="57">
        <f>Table1[[#This Row],[نهاية الخدمة2]]-Table1[[#This Row],[نهاية الخدمة]]</f>
        <v>3486.2083333333139</v>
      </c>
      <c r="AB86" s="57">
        <f>Table1[[#This Row],[رصيد اجازات2]]-Table1[[#This Row],[رصيد اجازات]]</f>
        <v>2406.9164383561001</v>
      </c>
      <c r="AC86" s="58">
        <f>Table1[[#This Row],[تذاكر سفر2]]-Table1[[#This Row],[تذاكر سفر]]</f>
        <v>0</v>
      </c>
      <c r="AD86" s="5"/>
      <c r="AE86" s="5"/>
      <c r="AF86" s="5"/>
      <c r="AG86" s="5"/>
    </row>
    <row r="87" spans="1:33" ht="21.95" customHeight="1" x14ac:dyDescent="0.35">
      <c r="A87" s="32">
        <f>SUBTOTAL(3,C$3:$C87)</f>
        <v>85</v>
      </c>
      <c r="B87" s="30" t="s">
        <v>161</v>
      </c>
      <c r="C87" s="33" t="s">
        <v>76</v>
      </c>
      <c r="D87" s="45">
        <v>93501101102</v>
      </c>
      <c r="E87" s="46" t="s">
        <v>26</v>
      </c>
      <c r="F87" s="47">
        <v>40179</v>
      </c>
      <c r="G87" s="46">
        <v>5026</v>
      </c>
      <c r="H87" s="46">
        <v>1001</v>
      </c>
      <c r="I87" s="46">
        <v>500</v>
      </c>
      <c r="J87" s="46">
        <v>0</v>
      </c>
      <c r="K87" s="46">
        <f t="shared" si="2"/>
        <v>6527</v>
      </c>
      <c r="L87" s="47">
        <v>44165</v>
      </c>
      <c r="M87" s="47">
        <v>44256</v>
      </c>
      <c r="N87" s="46" t="s">
        <v>24</v>
      </c>
      <c r="O87" s="46">
        <v>0</v>
      </c>
      <c r="P87" s="48">
        <v>21</v>
      </c>
      <c r="Q87" s="46">
        <f>IF(F87&gt;0,DATEDIF($F87,Employee!$U$1,"Y")*12*30+DATEDIF($F87,Employee!$U$1,"YM")*30+DATEDIF($F87,Employee!$U$1,"MD")+1,0)</f>
        <v>4440</v>
      </c>
      <c r="R87" s="46">
        <f>IF(F87&gt;0,IF(M87=$AG$23,0,IF($M87=$AF$23,DATEDIF($F87,Employee!$U$1,"D")-(DATEDIF($F87,Employee!$U$1,"D")*5/365)+1,DATEDIF($M87,Employee!$U$1,"D")-(DATEDIF($M87,Employee!$U$1,"D")*5/365)+1)),0)</f>
        <v>420.17808219178085</v>
      </c>
      <c r="S87" s="46">
        <f>IF($Q87&lt;=1800,($Q87/360*$K87)*0.5,($Q87-1800)/360*$K87+1800/360*$K87*0.5)</f>
        <v>64182.166666666664</v>
      </c>
      <c r="T87" s="46">
        <f>IF($P87=21,0.0583333333333333*$R87*$K87/30,0.0833333333333333*$R87*$K87/30)</f>
        <v>5332.643443683407</v>
      </c>
      <c r="U87" s="46">
        <f>IFERROR(IF($R87&gt;=360,IF(O87&gt;4,IF($N87=$AH$23,VLOOKUP($E87,$AF$4:$AG$22,2,0)*4,VLOOKUP($E87,$AF$4:$AG$22,2,0)),IF($N87=$AH$23,VLOOKUP($E87,$AF$4:$AG$22,2,0)*O87,VLOOKUP($E87,$AF$4:$AG$22,2,0))),(IF(O87&gt;4,IF($N87=$AH$23,VLOOKUP($E87,$AF$4:$AG$22,2,0)*4,VLOOKUP($E87,$AF$4:$AG$22,2,0)),IF($N87=$AH$23,VLOOKUP($E87,$AF$4:$AG$22,2,0)*O87,VLOOKUP($E87,$AF$4:$AG$22,2,0))))/360*$R87),0)</f>
        <v>1500</v>
      </c>
      <c r="V87" s="46">
        <f>IF(F87&gt;0,DATEDIF($F87,Employee!$Z$1,"Y")*12*30+DATEDIF($F87,Employee!$Z$1,"YM")*30+DATEDIF($F87,Employee!$Z$1,"MD")+1,0)</f>
        <v>4471</v>
      </c>
      <c r="W87" s="46">
        <f>IF(F87&gt;0,IF(M87=$AG$23,0,IF($M87=$AF$23,DATEDIF($F87,Employee!$Z$1,"D")-(DATEDIF($F87,Employee!$Z$1,"D")*5/365)+1,DATEDIF($M87,Employee!$Z$1,"D")-(DATEDIF($M87,Employee!$Z$1,"D")*5/365)+1)),0)</f>
        <v>450.75342465753425</v>
      </c>
      <c r="X87" s="46">
        <f>IF($V87&lt;=1800,($V87/360*$K87)*0.5,($V87-1800)/360*$K87+1800/360*$K87*0.5)</f>
        <v>64744.213888888888</v>
      </c>
      <c r="Y87" s="46">
        <f>IF($P87=21,0.0583333333333333*$W87*$K87/30,0.0833333333333333*$W87*$K87/30)</f>
        <v>5720.6870053272423</v>
      </c>
      <c r="Z87" s="46">
        <f>IFERROR(IF($W87&gt;=360,IF(O87&gt;4,IF($N87=$AH$23,VLOOKUP($E87,$AF$4:$AG$22,2,0)*4,VLOOKUP($E87,$AF$4:$AG$22,2,0)),IF($N87=$AH$23,VLOOKUP($E87,$AF$4:$AG$22,2,0)*O87,VLOOKUP($E87,$AF$4:$AG$22,2,0))),(IF(O87&gt;4,IF($N87=$AH$23,VLOOKUP($E87,$AF$4:$AG$22,2,0)*4,VLOOKUP($E87,$AF$4:$AG$22,2,0)),IF($N87=$AH$23,VLOOKUP($E87,$AF$4:$AG$22,2,0)*O87,VLOOKUP($E87,$AF$4:$AG$22,2,0))))/360*$W87),0)</f>
        <v>1500</v>
      </c>
      <c r="AA87" s="49">
        <f>Table1[[#This Row],[نهاية الخدمة2]]-Table1[[#This Row],[نهاية الخدمة]]</f>
        <v>562.04722222222335</v>
      </c>
      <c r="AB87" s="49">
        <f>Table1[[#This Row],[رصيد اجازات2]]-Table1[[#This Row],[رصيد اجازات]]</f>
        <v>388.04356164383535</v>
      </c>
      <c r="AC87" s="49">
        <f>Table1[[#This Row],[تذاكر سفر2]]-Table1[[#This Row],[تذاكر سفر]]</f>
        <v>0</v>
      </c>
      <c r="AD87" s="5"/>
      <c r="AE87" s="5"/>
      <c r="AF87" s="5"/>
      <c r="AG87" s="5"/>
    </row>
    <row r="88" spans="1:33" ht="21.95" customHeight="1" x14ac:dyDescent="0.35">
      <c r="A88" s="32">
        <f>SUBTOTAL(3,C$3:$C88)</f>
        <v>86</v>
      </c>
      <c r="B88" s="30" t="s">
        <v>162</v>
      </c>
      <c r="C88" s="31" t="s">
        <v>72</v>
      </c>
      <c r="D88" s="50">
        <v>94601101102</v>
      </c>
      <c r="E88" s="51" t="s">
        <v>30</v>
      </c>
      <c r="F88" s="52">
        <v>40179</v>
      </c>
      <c r="G88" s="51">
        <v>35201</v>
      </c>
      <c r="H88" s="51">
        <v>5032</v>
      </c>
      <c r="I88" s="51">
        <v>252</v>
      </c>
      <c r="J88" s="51">
        <v>0</v>
      </c>
      <c r="K88" s="51">
        <f t="shared" si="2"/>
        <v>40485</v>
      </c>
      <c r="L88" s="52">
        <v>44048</v>
      </c>
      <c r="M88" s="52">
        <v>44211</v>
      </c>
      <c r="N88" s="51" t="s">
        <v>24</v>
      </c>
      <c r="O88" s="51">
        <v>0</v>
      </c>
      <c r="P88" s="53">
        <v>30</v>
      </c>
      <c r="Q88" s="54">
        <f>IF(F88&gt;0,DATEDIF($F88,Employee!$U$1,"Y")*12*30+DATEDIF($F88,Employee!$U$1,"YM")*30+DATEDIF($F88,Employee!$U$1,"MD")+1,0)</f>
        <v>4440</v>
      </c>
      <c r="R88" s="51">
        <f>IF(F88&gt;0,IF(M88=$AG$23,0,IF($M88=$AF$23,DATEDIF($F88,Employee!$U$1,"D")-(DATEDIF($F88,Employee!$U$1,"D")*5/365)+1,DATEDIF($M88,Employee!$U$1,"D")-(DATEDIF($M88,Employee!$U$1,"D")*5/365)+1)),0)</f>
        <v>464.56164383561645</v>
      </c>
      <c r="S88" s="51">
        <f>IF($Q88&lt;=1800,($Q88/360*$K88)*0.5,($Q88-1800)/360*$K88+1800/360*$K88*0.5)</f>
        <v>398102.5</v>
      </c>
      <c r="T88" s="51">
        <f>IF($P88=21,0.0583333333333333*$R88*$K88/30,0.0833333333333333*$R88*$K88/30)</f>
        <v>52243.828196347007</v>
      </c>
      <c r="U88" s="55">
        <f>IFERROR(IF($R88&gt;=360,IF(O88&gt;4,IF($N88=$AH$23,VLOOKUP($E88,$AF$4:$AG$22,2,0)*4,VLOOKUP($E88,$AF$4:$AG$22,2,0)),IF($N88=$AH$23,VLOOKUP($E88,$AF$4:$AG$22,2,0)*O88,VLOOKUP($E88,$AF$4:$AG$22,2,0))),(IF(O88&gt;4,IF($N88=$AH$23,VLOOKUP($E88,$AF$4:$AG$22,2,0)*4,VLOOKUP($E88,$AF$4:$AG$22,2,0)),IF($N88=$AH$23,VLOOKUP($E88,$AF$4:$AG$22,2,0)*O88,VLOOKUP($E88,$AF$4:$AG$22,2,0))))/360*$R88),0)</f>
        <v>0</v>
      </c>
      <c r="V88" s="56">
        <f>IF(F88&gt;0,DATEDIF($F88,Employee!$Z$1,"Y")*12*30+DATEDIF($F88,Employee!$Z$1,"YM")*30+DATEDIF($F88,Employee!$Z$1,"MD")+1,0)</f>
        <v>4471</v>
      </c>
      <c r="W88" s="51">
        <f>IF(F88&gt;0,IF(M88=$AG$23,0,IF($M88=$AF$23,DATEDIF($F88,Employee!$Z$1,"D")-(DATEDIF($F88,Employee!$Z$1,"D")*5/365)+1,DATEDIF($M88,Employee!$Z$1,"D")-(DATEDIF($M88,Employee!$Z$1,"D")*5/365)+1)),0)</f>
        <v>495.13698630136986</v>
      </c>
      <c r="X88" s="51">
        <f>IF($V88&lt;=1800,($V88/360*$K88)*0.5,($V88-1800)/360*$K88+1800/360*$K88*0.5)</f>
        <v>401588.70833333331</v>
      </c>
      <c r="Y88" s="51">
        <f>IF($P88=21,0.0583333333333333*$W88*$K88/30,0.0833333333333333*$W88*$K88/30)</f>
        <v>55682.280251141528</v>
      </c>
      <c r="Z88" s="51">
        <f>IFERROR(IF($W88&gt;=360,IF(O88&gt;4,IF($N88=$AH$23,VLOOKUP($E88,$AF$4:$AG$22,2,0)*4,VLOOKUP($E88,$AF$4:$AG$22,2,0)),IF($N88=$AH$23,VLOOKUP($E88,$AF$4:$AG$22,2,0)*O88,VLOOKUP($E88,$AF$4:$AG$22,2,0))),(IF(O88&gt;4,IF($N88=$AH$23,VLOOKUP($E88,$AF$4:$AG$22,2,0)*4,VLOOKUP($E88,$AF$4:$AG$22,2,0)),IF($N88=$AH$23,VLOOKUP($E88,$AF$4:$AG$22,2,0)*O88,VLOOKUP($E88,$AF$4:$AG$22,2,0))))/360*$W88),0)</f>
        <v>0</v>
      </c>
      <c r="AA88" s="57">
        <f>Table1[[#This Row],[نهاية الخدمة2]]-Table1[[#This Row],[نهاية الخدمة]]</f>
        <v>3486.2083333333139</v>
      </c>
      <c r="AB88" s="57">
        <f>Table1[[#This Row],[رصيد اجازات2]]-Table1[[#This Row],[رصيد اجازات]]</f>
        <v>3438.4520547945212</v>
      </c>
      <c r="AC88" s="58">
        <f>Table1[[#This Row],[تذاكر سفر2]]-Table1[[#This Row],[تذاكر سفر]]</f>
        <v>0</v>
      </c>
      <c r="AD88" s="5"/>
      <c r="AE88" s="5"/>
      <c r="AF88" s="5"/>
      <c r="AG88" s="5"/>
    </row>
    <row r="89" spans="1:33" ht="21.95" customHeight="1" x14ac:dyDescent="0.35">
      <c r="A89" s="32">
        <f>SUBTOTAL(3,C$3:$C89)</f>
        <v>87</v>
      </c>
      <c r="B89" s="30" t="s">
        <v>163</v>
      </c>
      <c r="C89" s="33" t="s">
        <v>73</v>
      </c>
      <c r="D89" s="45">
        <v>95701101102</v>
      </c>
      <c r="E89" s="46" t="s">
        <v>27</v>
      </c>
      <c r="F89" s="47">
        <v>40179</v>
      </c>
      <c r="G89" s="46">
        <v>5026</v>
      </c>
      <c r="H89" s="46">
        <v>1001</v>
      </c>
      <c r="I89" s="46">
        <v>500</v>
      </c>
      <c r="J89" s="46">
        <v>0</v>
      </c>
      <c r="K89" s="46">
        <f t="shared" si="2"/>
        <v>6527</v>
      </c>
      <c r="L89" s="47">
        <v>43965</v>
      </c>
      <c r="M89" s="47">
        <v>43965</v>
      </c>
      <c r="N89" s="46" t="s">
        <v>24</v>
      </c>
      <c r="O89" s="46">
        <v>0</v>
      </c>
      <c r="P89" s="48">
        <v>30</v>
      </c>
      <c r="Q89" s="46">
        <f>IF(F89&gt;0,DATEDIF($F89,Employee!$U$1,"Y")*12*30+DATEDIF($F89,Employee!$U$1,"YM")*30+DATEDIF($F89,Employee!$U$1,"MD")+1,0)</f>
        <v>4440</v>
      </c>
      <c r="R89" s="46">
        <f>IF(F89&gt;0,IF(M89=$AG$23,0,IF($M89=$AF$23,DATEDIF($F89,Employee!$U$1,"D")-(DATEDIF($F89,Employee!$U$1,"D")*5/365)+1,DATEDIF($M89,Employee!$U$1,"D")-(DATEDIF($M89,Employee!$U$1,"D")*5/365)+1)),0)</f>
        <v>707.19178082191786</v>
      </c>
      <c r="S89" s="46">
        <f>IF($Q89&lt;=1800,($Q89/360*$K89)*0.5,($Q89-1800)/360*$K89+1800/360*$K89*0.5)</f>
        <v>64182.166666666664</v>
      </c>
      <c r="T89" s="46">
        <f>IF($P89=21,0.0583333333333333*$R89*$K89/30,0.0833333333333333*$R89*$K89/30)</f>
        <v>12821.779870624045</v>
      </c>
      <c r="U89" s="46">
        <f>IFERROR(IF($R89&gt;=360,IF(O89&gt;4,IF($N89=$AH$23,VLOOKUP($E89,$AF$4:$AG$22,2,0)*4,VLOOKUP($E89,$AF$4:$AG$22,2,0)),IF($N89=$AH$23,VLOOKUP($E89,$AF$4:$AG$22,2,0)*O89,VLOOKUP($E89,$AF$4:$AG$22,2,0))),(IF(O89&gt;4,IF($N89=$AH$23,VLOOKUP($E89,$AF$4:$AG$22,2,0)*4,VLOOKUP($E89,$AF$4:$AG$22,2,0)),IF($N89=$AH$23,VLOOKUP($E89,$AF$4:$AG$22,2,0)*O89,VLOOKUP($E89,$AF$4:$AG$22,2,0))))/360*$R89),0)</f>
        <v>2000</v>
      </c>
      <c r="V89" s="46">
        <f>IF(F89&gt;0,DATEDIF($F89,Employee!$Z$1,"Y")*12*30+DATEDIF($F89,Employee!$Z$1,"YM")*30+DATEDIF($F89,Employee!$Z$1,"MD")+1,0)</f>
        <v>4471</v>
      </c>
      <c r="W89" s="46">
        <f>IF(F89&gt;0,IF(M89=$AG$23,0,IF($M89=$AF$23,DATEDIF($F89,Employee!$Z$1,"D")-(DATEDIF($F89,Employee!$Z$1,"D")*5/365)+1,DATEDIF($M89,Employee!$Z$1,"D")-(DATEDIF($M89,Employee!$Z$1,"D")*5/365)+1)),0)</f>
        <v>737.76712328767121</v>
      </c>
      <c r="X89" s="46">
        <f>IF($V89&lt;=1800,($V89/360*$K89)*0.5,($V89-1800)/360*$K89+1800/360*$K89*0.5)</f>
        <v>64744.213888888888</v>
      </c>
      <c r="Y89" s="46">
        <f>IF($P89=21,0.0583333333333333*$W89*$K89/30,0.0833333333333333*$W89*$K89/30)</f>
        <v>13376.127815829524</v>
      </c>
      <c r="Z89" s="46">
        <f>IFERROR(IF($W89&gt;=360,IF(O89&gt;4,IF($N89=$AH$23,VLOOKUP($E89,$AF$4:$AG$22,2,0)*4,VLOOKUP($E89,$AF$4:$AG$22,2,0)),IF($N89=$AH$23,VLOOKUP($E89,$AF$4:$AG$22,2,0)*O89,VLOOKUP($E89,$AF$4:$AG$22,2,0))),(IF(O89&gt;4,IF($N89=$AH$23,VLOOKUP($E89,$AF$4:$AG$22,2,0)*4,VLOOKUP($E89,$AF$4:$AG$22,2,0)),IF($N89=$AH$23,VLOOKUP($E89,$AF$4:$AG$22,2,0)*O89,VLOOKUP($E89,$AF$4:$AG$22,2,0))))/360*$W89),0)</f>
        <v>2000</v>
      </c>
      <c r="AA89" s="49">
        <f>Table1[[#This Row],[نهاية الخدمة2]]-Table1[[#This Row],[نهاية الخدمة]]</f>
        <v>562.04722222222335</v>
      </c>
      <c r="AB89" s="49">
        <f>Table1[[#This Row],[رصيد اجازات2]]-Table1[[#This Row],[رصيد اجازات]]</f>
        <v>554.34794520547985</v>
      </c>
      <c r="AC89" s="49">
        <f>Table1[[#This Row],[تذاكر سفر2]]-Table1[[#This Row],[تذاكر سفر]]</f>
        <v>0</v>
      </c>
      <c r="AD89" s="5"/>
      <c r="AE89" s="5"/>
      <c r="AF89" s="5"/>
      <c r="AG89" s="5"/>
    </row>
    <row r="90" spans="1:33" ht="21.95" customHeight="1" x14ac:dyDescent="0.35">
      <c r="A90" s="32">
        <f>SUBTOTAL(3,C$3:$C90)</f>
        <v>88</v>
      </c>
      <c r="B90" s="30" t="s">
        <v>164</v>
      </c>
      <c r="C90" s="33" t="s">
        <v>74</v>
      </c>
      <c r="D90" s="50">
        <v>96801101102</v>
      </c>
      <c r="E90" s="51" t="s">
        <v>27</v>
      </c>
      <c r="F90" s="52">
        <v>40179</v>
      </c>
      <c r="G90" s="51">
        <v>35201</v>
      </c>
      <c r="H90" s="51">
        <v>5032</v>
      </c>
      <c r="I90" s="51">
        <v>252</v>
      </c>
      <c r="J90" s="51">
        <v>0</v>
      </c>
      <c r="K90" s="51">
        <f t="shared" si="2"/>
        <v>40485</v>
      </c>
      <c r="L90" s="52">
        <v>44210</v>
      </c>
      <c r="M90" s="52">
        <v>44211</v>
      </c>
      <c r="N90" s="51" t="s">
        <v>24</v>
      </c>
      <c r="O90" s="51">
        <v>0</v>
      </c>
      <c r="P90" s="53">
        <v>30</v>
      </c>
      <c r="Q90" s="54">
        <f>IF(F90&gt;0,DATEDIF($F90,Employee!$U$1,"Y")*12*30+DATEDIF($F90,Employee!$U$1,"YM")*30+DATEDIF($F90,Employee!$U$1,"MD")+1,0)</f>
        <v>4440</v>
      </c>
      <c r="R90" s="51">
        <f>IF(F90&gt;0,IF(M90=$AG$23,0,IF($M90=$AF$23,DATEDIF($F90,Employee!$U$1,"D")-(DATEDIF($F90,Employee!$U$1,"D")*5/365)+1,DATEDIF($M90,Employee!$U$1,"D")-(DATEDIF($M90,Employee!$U$1,"D")*5/365)+1)),0)</f>
        <v>464.56164383561645</v>
      </c>
      <c r="S90" s="51">
        <f>IF($Q90&lt;=1800,($Q90/360*$K90)*0.5,($Q90-1800)/360*$K90+1800/360*$K90*0.5)</f>
        <v>398102.5</v>
      </c>
      <c r="T90" s="51">
        <f>IF($P90=21,0.0583333333333333*$R90*$K90/30,0.0833333333333333*$R90*$K90/30)</f>
        <v>52243.828196347007</v>
      </c>
      <c r="U90" s="55">
        <f>IFERROR(IF($R90&gt;=360,IF(O90&gt;4,IF($N90=$AH$23,VLOOKUP($E90,$AF$4:$AG$22,2,0)*4,VLOOKUP($E90,$AF$4:$AG$22,2,0)),IF($N90=$AH$23,VLOOKUP($E90,$AF$4:$AG$22,2,0)*O90,VLOOKUP($E90,$AF$4:$AG$22,2,0))),(IF(O90&gt;4,IF($N90=$AH$23,VLOOKUP($E90,$AF$4:$AG$22,2,0)*4,VLOOKUP($E90,$AF$4:$AG$22,2,0)),IF($N90=$AH$23,VLOOKUP($E90,$AF$4:$AG$22,2,0)*O90,VLOOKUP($E90,$AF$4:$AG$22,2,0))))/360*$R90),0)</f>
        <v>2000</v>
      </c>
      <c r="V90" s="56">
        <f>IF(F90&gt;0,DATEDIF($F90,Employee!$Z$1,"Y")*12*30+DATEDIF($F90,Employee!$Z$1,"YM")*30+DATEDIF($F90,Employee!$Z$1,"MD")+1,0)</f>
        <v>4471</v>
      </c>
      <c r="W90" s="51">
        <f>IF(F90&gt;0,IF(M90=$AG$23,0,IF($M90=$AF$23,DATEDIF($F90,Employee!$Z$1,"D")-(DATEDIF($F90,Employee!$Z$1,"D")*5/365)+1,DATEDIF($M90,Employee!$Z$1,"D")-(DATEDIF($M90,Employee!$Z$1,"D")*5/365)+1)),0)</f>
        <v>495.13698630136986</v>
      </c>
      <c r="X90" s="51">
        <f>IF($V90&lt;=1800,($V90/360*$K90)*0.5,($V90-1800)/360*$K90+1800/360*$K90*0.5)</f>
        <v>401588.70833333331</v>
      </c>
      <c r="Y90" s="51">
        <f>IF($P90=21,0.0583333333333333*$W90*$K90/30,0.0833333333333333*$W90*$K90/30)</f>
        <v>55682.280251141528</v>
      </c>
      <c r="Z90" s="51">
        <f>IFERROR(IF($W90&gt;=360,IF(O90&gt;4,IF($N90=$AH$23,VLOOKUP($E90,$AF$4:$AG$22,2,0)*4,VLOOKUP($E90,$AF$4:$AG$22,2,0)),IF($N90=$AH$23,VLOOKUP($E90,$AF$4:$AG$22,2,0)*O90,VLOOKUP($E90,$AF$4:$AG$22,2,0))),(IF(O90&gt;4,IF($N90=$AH$23,VLOOKUP($E90,$AF$4:$AG$22,2,0)*4,VLOOKUP($E90,$AF$4:$AG$22,2,0)),IF($N90=$AH$23,VLOOKUP($E90,$AF$4:$AG$22,2,0)*O90,VLOOKUP($E90,$AF$4:$AG$22,2,0))))/360*$W90),0)</f>
        <v>2000</v>
      </c>
      <c r="AA90" s="57">
        <f>Table1[[#This Row],[نهاية الخدمة2]]-Table1[[#This Row],[نهاية الخدمة]]</f>
        <v>3486.2083333333139</v>
      </c>
      <c r="AB90" s="57">
        <f>Table1[[#This Row],[رصيد اجازات2]]-Table1[[#This Row],[رصيد اجازات]]</f>
        <v>3438.4520547945212</v>
      </c>
      <c r="AC90" s="58">
        <f>Table1[[#This Row],[تذاكر سفر2]]-Table1[[#This Row],[تذاكر سفر]]</f>
        <v>0</v>
      </c>
      <c r="AD90" s="5"/>
      <c r="AE90" s="5"/>
      <c r="AF90" s="5"/>
      <c r="AG90" s="5"/>
    </row>
    <row r="91" spans="1:33" ht="21.95" customHeight="1" x14ac:dyDescent="0.35">
      <c r="A91" s="32">
        <f>SUBTOTAL(3,C$3:$C91)</f>
        <v>89</v>
      </c>
      <c r="B91" s="30" t="s">
        <v>165</v>
      </c>
      <c r="C91" s="34" t="s">
        <v>75</v>
      </c>
      <c r="D91" s="45">
        <v>97901101102</v>
      </c>
      <c r="E91" s="46" t="s">
        <v>26</v>
      </c>
      <c r="F91" s="47">
        <v>40179</v>
      </c>
      <c r="G91" s="46">
        <v>5026</v>
      </c>
      <c r="H91" s="46">
        <v>1001</v>
      </c>
      <c r="I91" s="46">
        <v>500</v>
      </c>
      <c r="J91" s="46">
        <v>0</v>
      </c>
      <c r="K91" s="46">
        <f t="shared" si="2"/>
        <v>6527</v>
      </c>
      <c r="L91" s="47">
        <v>44561</v>
      </c>
      <c r="M91" s="47">
        <v>44620</v>
      </c>
      <c r="N91" s="46" t="s">
        <v>24</v>
      </c>
      <c r="O91" s="46">
        <v>0</v>
      </c>
      <c r="P91" s="48">
        <v>21</v>
      </c>
      <c r="Q91" s="46">
        <f>IF(F91&gt;0,DATEDIF($F91,Employee!$U$1,"Y")*12*30+DATEDIF($F91,Employee!$U$1,"YM")*30+DATEDIF($F91,Employee!$U$1,"MD")+1,0)</f>
        <v>4440</v>
      </c>
      <c r="R91" s="46">
        <f>IF(F91&gt;0,IF(M91=$AG$23,0,IF($M91=$AF$23,DATEDIF($F91,Employee!$U$1,"D")-(DATEDIF($F91,Employee!$U$1,"D")*5/365)+1,DATEDIF($M91,Employee!$U$1,"D")-(DATEDIF($M91,Employee!$U$1,"D")*5/365)+1)),0)</f>
        <v>61.164383561643838</v>
      </c>
      <c r="S91" s="46">
        <f>IF($Q91&lt;=1800,($Q91/360*$K91)*0.5,($Q91-1800)/360*$K91+1800/360*$K91*0.5)</f>
        <v>64182.166666666664</v>
      </c>
      <c r="T91" s="46">
        <f>IF($P91=21,0.0583333333333333*$R91*$K91/30,0.0833333333333333*$R91*$K91/30)</f>
        <v>776.26097792998428</v>
      </c>
      <c r="U91" s="46">
        <f>IFERROR(IF($R91&gt;=360,IF(O91&gt;4,IF($N91=$AH$23,VLOOKUP($E91,$AF$4:$AG$22,2,0)*4,VLOOKUP($E91,$AF$4:$AG$22,2,0)),IF($N91=$AH$23,VLOOKUP($E91,$AF$4:$AG$22,2,0)*O91,VLOOKUP($E91,$AF$4:$AG$22,2,0))),(IF(O91&gt;4,IF($N91=$AH$23,VLOOKUP($E91,$AF$4:$AG$22,2,0)*4,VLOOKUP($E91,$AF$4:$AG$22,2,0)),IF($N91=$AH$23,VLOOKUP($E91,$AF$4:$AG$22,2,0)*O91,VLOOKUP($E91,$AF$4:$AG$22,2,0))))/360*$R91),0)</f>
        <v>254.85159817351601</v>
      </c>
      <c r="V91" s="46">
        <f>IF(F91&gt;0,DATEDIF($F91,Employee!$Z$1,"Y")*12*30+DATEDIF($F91,Employee!$Z$1,"YM")*30+DATEDIF($F91,Employee!$Z$1,"MD")+1,0)</f>
        <v>4471</v>
      </c>
      <c r="W91" s="46">
        <f>IF(F91&gt;0,IF(M91=$AG$23,0,IF($M91=$AF$23,DATEDIF($F91,Employee!$Z$1,"D")-(DATEDIF($F91,Employee!$Z$1,"D")*5/365)+1,DATEDIF($M91,Employee!$Z$1,"D")-(DATEDIF($M91,Employee!$Z$1,"D")*5/365)+1)),0)</f>
        <v>91.739726027397253</v>
      </c>
      <c r="X91" s="46">
        <f>IF($V91&lt;=1800,($V91/360*$K91)*0.5,($V91-1800)/360*$K91+1800/360*$K91*0.5)</f>
        <v>64744.213888888888</v>
      </c>
      <c r="Y91" s="46">
        <f>IF($P91=21,0.0583333333333333*$W91*$K91/30,0.0833333333333333*$W91*$K91/30)</f>
        <v>1164.3045395738197</v>
      </c>
      <c r="Z91" s="46">
        <f>IFERROR(IF($W91&gt;=360,IF(O91&gt;4,IF($N91=$AH$23,VLOOKUP($E91,$AF$4:$AG$22,2,0)*4,VLOOKUP($E91,$AF$4:$AG$22,2,0)),IF($N91=$AH$23,VLOOKUP($E91,$AF$4:$AG$22,2,0)*O91,VLOOKUP($E91,$AF$4:$AG$22,2,0))),(IF(O91&gt;4,IF($N91=$AH$23,VLOOKUP($E91,$AF$4:$AG$22,2,0)*4,VLOOKUP($E91,$AF$4:$AG$22,2,0)),IF($N91=$AH$23,VLOOKUP($E91,$AF$4:$AG$22,2,0)*O91,VLOOKUP($E91,$AF$4:$AG$22,2,0))))/360*$W91),0)</f>
        <v>382.2488584474886</v>
      </c>
      <c r="AA91" s="49">
        <f>Table1[[#This Row],[نهاية الخدمة2]]-Table1[[#This Row],[نهاية الخدمة]]</f>
        <v>562.04722222222335</v>
      </c>
      <c r="AB91" s="49">
        <f>Table1[[#This Row],[رصيد اجازات2]]-Table1[[#This Row],[رصيد اجازات]]</f>
        <v>388.04356164383546</v>
      </c>
      <c r="AC91" s="49">
        <f>Table1[[#This Row],[تذاكر سفر2]]-Table1[[#This Row],[تذاكر سفر]]</f>
        <v>127.39726027397259</v>
      </c>
      <c r="AD91" s="5"/>
      <c r="AE91" s="5"/>
      <c r="AF91" s="5"/>
      <c r="AG91" s="5"/>
    </row>
    <row r="92" spans="1:33" ht="21.95" customHeight="1" x14ac:dyDescent="0.35">
      <c r="A92" s="32">
        <f>SUBTOTAL(3,C$3:$C92)</f>
        <v>90</v>
      </c>
      <c r="B92" s="30" t="s">
        <v>166</v>
      </c>
      <c r="C92" s="33" t="s">
        <v>76</v>
      </c>
      <c r="D92" s="50">
        <v>99001101102</v>
      </c>
      <c r="E92" s="51" t="s">
        <v>31</v>
      </c>
      <c r="F92" s="52">
        <v>40179</v>
      </c>
      <c r="G92" s="51">
        <v>35201</v>
      </c>
      <c r="H92" s="51">
        <v>5032</v>
      </c>
      <c r="I92" s="51">
        <v>252</v>
      </c>
      <c r="J92" s="51">
        <v>0</v>
      </c>
      <c r="K92" s="51">
        <f t="shared" si="2"/>
        <v>40485</v>
      </c>
      <c r="L92" s="52" t="s">
        <v>21</v>
      </c>
      <c r="M92" s="52" t="s">
        <v>21</v>
      </c>
      <c r="N92" s="51" t="s">
        <v>24</v>
      </c>
      <c r="O92" s="51">
        <v>0</v>
      </c>
      <c r="P92" s="53">
        <v>21</v>
      </c>
      <c r="Q92" s="54">
        <f>IF(F92&gt;0,DATEDIF($F92,Employee!$U$1,"Y")*12*30+DATEDIF($F92,Employee!$U$1,"YM")*30+DATEDIF($F92,Employee!$U$1,"MD")+1,0)</f>
        <v>4440</v>
      </c>
      <c r="R92" s="51">
        <f>IF(F92&gt;0,IF(M92=$AG$23,0,IF($M92=$AF$23,DATEDIF($F92,Employee!$U$1,"D")-(DATEDIF($F92,Employee!$U$1,"D")*5/365)+1,DATEDIF($M92,Employee!$U$1,"D")-(DATEDIF($M92,Employee!$U$1,"D")*5/365)+1)),0)</f>
        <v>4441.3287671232874</v>
      </c>
      <c r="S92" s="51">
        <f>IF($Q92&lt;=1800,($Q92/360*$K92)*0.5,($Q92-1800)/360*$K92+1800/360*$K92*0.5)</f>
        <v>398102.5</v>
      </c>
      <c r="T92" s="51">
        <f>IF($P92=21,0.0583333333333333*$R92*$K92/30,0.0833333333333333*$R92*$K92/30)</f>
        <v>349625.10165525094</v>
      </c>
      <c r="U92" s="55">
        <f>IFERROR(IF($R92&gt;=360,IF(O92&gt;4,IF($N92=$AH$23,VLOOKUP($E92,$AF$4:$AG$22,2,0)*4,VLOOKUP($E92,$AF$4:$AG$22,2,0)),IF($N92=$AH$23,VLOOKUP($E92,$AF$4:$AG$22,2,0)*O92,VLOOKUP($E92,$AF$4:$AG$22,2,0))),(IF(O92&gt;4,IF($N92=$AH$23,VLOOKUP($E92,$AF$4:$AG$22,2,0)*4,VLOOKUP($E92,$AF$4:$AG$22,2,0)),IF($N92=$AH$23,VLOOKUP($E92,$AF$4:$AG$22,2,0)*O92,VLOOKUP($E92,$AF$4:$AG$22,2,0))))/360*$R92),0)</f>
        <v>2000</v>
      </c>
      <c r="V92" s="56">
        <f>IF(F92&gt;0,DATEDIF($F92,Employee!$Z$1,"Y")*12*30+DATEDIF($F92,Employee!$Z$1,"YM")*30+DATEDIF($F92,Employee!$Z$1,"MD")+1,0)</f>
        <v>4471</v>
      </c>
      <c r="W92" s="51">
        <f>IF(F92&gt;0,IF(M92=$AG$23,0,IF($M92=$AF$23,DATEDIF($F92,Employee!$Z$1,"D")-(DATEDIF($F92,Employee!$Z$1,"D")*5/365)+1,DATEDIF($M92,Employee!$Z$1,"D")-(DATEDIF($M92,Employee!$Z$1,"D")*5/365)+1)),0)</f>
        <v>4471.9041095890407</v>
      </c>
      <c r="X92" s="51">
        <f>IF($V92&lt;=1800,($V92/360*$K92)*0.5,($V92-1800)/360*$K92+1800/360*$K92*0.5)</f>
        <v>401588.70833333331</v>
      </c>
      <c r="Y92" s="51">
        <f>IF($P92=21,0.0583333333333333*$W92*$K92/30,0.0833333333333333*$W92*$K92/30)</f>
        <v>352032.01809360704</v>
      </c>
      <c r="Z92" s="51">
        <f>IFERROR(IF($W92&gt;=360,IF(O92&gt;4,IF($N92=$AH$23,VLOOKUP($E92,$AF$4:$AG$22,2,0)*4,VLOOKUP($E92,$AF$4:$AG$22,2,0)),IF($N92=$AH$23,VLOOKUP($E92,$AF$4:$AG$22,2,0)*O92,VLOOKUP($E92,$AF$4:$AG$22,2,0))),(IF(O92&gt;4,IF($N92=$AH$23,VLOOKUP($E92,$AF$4:$AG$22,2,0)*4,VLOOKUP($E92,$AF$4:$AG$22,2,0)),IF($N92=$AH$23,VLOOKUP($E92,$AF$4:$AG$22,2,0)*O92,VLOOKUP($E92,$AF$4:$AG$22,2,0))))/360*$W92),0)</f>
        <v>2000</v>
      </c>
      <c r="AA92" s="57">
        <f>Table1[[#This Row],[نهاية الخدمة2]]-Table1[[#This Row],[نهاية الخدمة]]</f>
        <v>3486.2083333333139</v>
      </c>
      <c r="AB92" s="57">
        <f>Table1[[#This Row],[رصيد اجازات2]]-Table1[[#This Row],[رصيد اجازات]]</f>
        <v>2406.9164383561001</v>
      </c>
      <c r="AC92" s="58">
        <f>Table1[[#This Row],[تذاكر سفر2]]-Table1[[#This Row],[تذاكر سفر]]</f>
        <v>0</v>
      </c>
      <c r="AD92" s="5"/>
      <c r="AE92" s="5"/>
      <c r="AF92" s="5"/>
      <c r="AG92" s="5"/>
    </row>
    <row r="93" spans="1:33" ht="21.95" customHeight="1" x14ac:dyDescent="0.35">
      <c r="A93" s="32">
        <f>SUBTOTAL(3,C$3:$C93)</f>
        <v>91</v>
      </c>
      <c r="B93" s="30" t="s">
        <v>167</v>
      </c>
      <c r="C93" s="31" t="s">
        <v>72</v>
      </c>
      <c r="D93" s="45">
        <v>100101101102</v>
      </c>
      <c r="E93" s="46" t="s">
        <v>26</v>
      </c>
      <c r="F93" s="47">
        <v>40179</v>
      </c>
      <c r="G93" s="46">
        <v>5026</v>
      </c>
      <c r="H93" s="46">
        <v>1001</v>
      </c>
      <c r="I93" s="46">
        <v>500</v>
      </c>
      <c r="J93" s="46">
        <v>0</v>
      </c>
      <c r="K93" s="46">
        <f t="shared" si="2"/>
        <v>6527</v>
      </c>
      <c r="L93" s="47">
        <v>44234</v>
      </c>
      <c r="M93" s="47">
        <v>44234</v>
      </c>
      <c r="N93" s="46" t="s">
        <v>24</v>
      </c>
      <c r="O93" s="46">
        <v>0</v>
      </c>
      <c r="P93" s="48">
        <v>21</v>
      </c>
      <c r="Q93" s="46">
        <f>IF(F93&gt;0,DATEDIF($F93,Employee!$U$1,"Y")*12*30+DATEDIF($F93,Employee!$U$1,"YM")*30+DATEDIF($F93,Employee!$U$1,"MD")+1,0)</f>
        <v>4440</v>
      </c>
      <c r="R93" s="46">
        <f>IF(F93&gt;0,IF(M93=$AG$23,0,IF($M93=$AF$23,DATEDIF($F93,Employee!$U$1,"D")-(DATEDIF($F93,Employee!$U$1,"D")*5/365)+1,DATEDIF($M93,Employee!$U$1,"D")-(DATEDIF($M93,Employee!$U$1,"D")*5/365)+1)),0)</f>
        <v>441.8767123287671</v>
      </c>
      <c r="S93" s="46">
        <f>IF($Q93&lt;=1800,($Q93/360*$K93)*0.5,($Q93-1800)/360*$K93+1800/360*$K93*0.5)</f>
        <v>64182.166666666664</v>
      </c>
      <c r="T93" s="46">
        <f>IF($P93=21,0.0583333333333333*$R93*$K93/30,0.0833333333333333*$R93*$K93/30)</f>
        <v>5608.0291971080624</v>
      </c>
      <c r="U93" s="46">
        <f>IFERROR(IF($R93&gt;=360,IF(O93&gt;4,IF($N93=$AH$23,VLOOKUP($E93,$AF$4:$AG$22,2,0)*4,VLOOKUP($E93,$AF$4:$AG$22,2,0)),IF($N93=$AH$23,VLOOKUP($E93,$AF$4:$AG$22,2,0)*O93,VLOOKUP($E93,$AF$4:$AG$22,2,0))),(IF(O93&gt;4,IF($N93=$AH$23,VLOOKUP($E93,$AF$4:$AG$22,2,0)*4,VLOOKUP($E93,$AF$4:$AG$22,2,0)),IF($N93=$AH$23,VLOOKUP($E93,$AF$4:$AG$22,2,0)*O93,VLOOKUP($E93,$AF$4:$AG$22,2,0))))/360*$R93),0)</f>
        <v>1500</v>
      </c>
      <c r="V93" s="46">
        <f>IF(F93&gt;0,DATEDIF($F93,Employee!$Z$1,"Y")*12*30+DATEDIF($F93,Employee!$Z$1,"YM")*30+DATEDIF($F93,Employee!$Z$1,"MD")+1,0)</f>
        <v>4471</v>
      </c>
      <c r="W93" s="46">
        <f>IF(F93&gt;0,IF(M93=$AG$23,0,IF($M93=$AF$23,DATEDIF($F93,Employee!$Z$1,"D")-(DATEDIF($F93,Employee!$Z$1,"D")*5/365)+1,DATEDIF($M93,Employee!$Z$1,"D")-(DATEDIF($M93,Employee!$Z$1,"D")*5/365)+1)),0)</f>
        <v>472.45205479452056</v>
      </c>
      <c r="X93" s="46">
        <f>IF($V93&lt;=1800,($V93/360*$K93)*0.5,($V93-1800)/360*$K93+1800/360*$K93*0.5)</f>
        <v>64744.213888888888</v>
      </c>
      <c r="Y93" s="46">
        <f>IF($P93=21,0.0583333333333333*$W93*$K93/30,0.0833333333333333*$W93*$K93/30)</f>
        <v>5996.0727587518986</v>
      </c>
      <c r="Z93" s="46">
        <f>IFERROR(IF($W93&gt;=360,IF(O93&gt;4,IF($N93=$AH$23,VLOOKUP($E93,$AF$4:$AG$22,2,0)*4,VLOOKUP($E93,$AF$4:$AG$22,2,0)),IF($N93=$AH$23,VLOOKUP($E93,$AF$4:$AG$22,2,0)*O93,VLOOKUP($E93,$AF$4:$AG$22,2,0))),(IF(O93&gt;4,IF($N93=$AH$23,VLOOKUP($E93,$AF$4:$AG$22,2,0)*4,VLOOKUP($E93,$AF$4:$AG$22,2,0)),IF($N93=$AH$23,VLOOKUP($E93,$AF$4:$AG$22,2,0)*O93,VLOOKUP($E93,$AF$4:$AG$22,2,0))))/360*$W93),0)</f>
        <v>1500</v>
      </c>
      <c r="AA93" s="49">
        <f>Table1[[#This Row],[نهاية الخدمة2]]-Table1[[#This Row],[نهاية الخدمة]]</f>
        <v>562.04722222222335</v>
      </c>
      <c r="AB93" s="49">
        <f>Table1[[#This Row],[رصيد اجازات2]]-Table1[[#This Row],[رصيد اجازات]]</f>
        <v>388.04356164383626</v>
      </c>
      <c r="AC93" s="49">
        <f>Table1[[#This Row],[تذاكر سفر2]]-Table1[[#This Row],[تذاكر سفر]]</f>
        <v>0</v>
      </c>
      <c r="AD93" s="5"/>
      <c r="AE93" s="5"/>
      <c r="AF93" s="5"/>
      <c r="AG93" s="5"/>
    </row>
    <row r="94" spans="1:33" ht="21.95" customHeight="1" x14ac:dyDescent="0.35">
      <c r="A94" s="32">
        <f>SUBTOTAL(3,C$3:$C94)</f>
        <v>92</v>
      </c>
      <c r="B94" s="30" t="s">
        <v>168</v>
      </c>
      <c r="C94" s="33" t="s">
        <v>73</v>
      </c>
      <c r="D94" s="50">
        <v>101201101102</v>
      </c>
      <c r="E94" s="51" t="s">
        <v>28</v>
      </c>
      <c r="F94" s="52">
        <v>40179</v>
      </c>
      <c r="G94" s="51">
        <v>35201</v>
      </c>
      <c r="H94" s="51">
        <v>5032</v>
      </c>
      <c r="I94" s="51">
        <v>252</v>
      </c>
      <c r="J94" s="51">
        <v>0</v>
      </c>
      <c r="K94" s="51">
        <f t="shared" si="2"/>
        <v>40485</v>
      </c>
      <c r="L94" s="52">
        <v>44305</v>
      </c>
      <c r="M94" s="52">
        <v>44443</v>
      </c>
      <c r="N94" s="51" t="s">
        <v>24</v>
      </c>
      <c r="O94" s="51">
        <v>0</v>
      </c>
      <c r="P94" s="53">
        <v>30</v>
      </c>
      <c r="Q94" s="54">
        <f>IF(F94&gt;0,DATEDIF($F94,Employee!$U$1,"Y")*12*30+DATEDIF($F94,Employee!$U$1,"YM")*30+DATEDIF($F94,Employee!$U$1,"MD")+1,0)</f>
        <v>4440</v>
      </c>
      <c r="R94" s="51">
        <f>IF(F94&gt;0,IF(M94=$AG$23,0,IF($M94=$AF$23,DATEDIF($F94,Employee!$U$1,"D")-(DATEDIF($F94,Employee!$U$1,"D")*5/365)+1,DATEDIF($M94,Employee!$U$1,"D")-(DATEDIF($M94,Employee!$U$1,"D")*5/365)+1)),0)</f>
        <v>235.73972602739727</v>
      </c>
      <c r="S94" s="51">
        <f>IF($Q94&lt;=1800,($Q94/360*$K94)*0.5,($Q94-1800)/360*$K94+1800/360*$K94*0.5)</f>
        <v>398102.5</v>
      </c>
      <c r="T94" s="51">
        <f>IF($P94=21,0.0583333333333333*$R94*$K94/30,0.0833333333333333*$R94*$K94/30)</f>
        <v>26510.896689497706</v>
      </c>
      <c r="U94" s="55">
        <f>IFERROR(IF($R94&gt;=360,IF(O94&gt;4,IF($N94=$AH$23,VLOOKUP($E94,$AF$4:$AG$22,2,0)*4,VLOOKUP($E94,$AF$4:$AG$22,2,0)),IF($N94=$AH$23,VLOOKUP($E94,$AF$4:$AG$22,2,0)*O94,VLOOKUP($E94,$AF$4:$AG$22,2,0))),(IF(O94&gt;4,IF($N94=$AH$23,VLOOKUP($E94,$AF$4:$AG$22,2,0)*4,VLOOKUP($E94,$AF$4:$AG$22,2,0)),IF($N94=$AH$23,VLOOKUP($E94,$AF$4:$AG$22,2,0)*O94,VLOOKUP($E94,$AF$4:$AG$22,2,0))))/360*$R94),0)</f>
        <v>1178.6986301369864</v>
      </c>
      <c r="V94" s="56">
        <f>IF(F94&gt;0,DATEDIF($F94,Employee!$Z$1,"Y")*12*30+DATEDIF($F94,Employee!$Z$1,"YM")*30+DATEDIF($F94,Employee!$Z$1,"MD")+1,0)</f>
        <v>4471</v>
      </c>
      <c r="W94" s="51">
        <f>IF(F94&gt;0,IF(M94=$AG$23,0,IF($M94=$AF$23,DATEDIF($F94,Employee!$Z$1,"D")-(DATEDIF($F94,Employee!$Z$1,"D")*5/365)+1,DATEDIF($M94,Employee!$Z$1,"D")-(DATEDIF($M94,Employee!$Z$1,"D")*5/365)+1)),0)</f>
        <v>266.3150684931507</v>
      </c>
      <c r="X94" s="51">
        <f>IF($V94&lt;=1800,($V94/360*$K94)*0.5,($V94-1800)/360*$K94+1800/360*$K94*0.5)</f>
        <v>401588.70833333331</v>
      </c>
      <c r="Y94" s="51">
        <f>IF($P94=21,0.0583333333333333*$W94*$K94/30,0.0833333333333333*$W94*$K94/30)</f>
        <v>29949.348744292227</v>
      </c>
      <c r="Z94" s="51">
        <f>IFERROR(IF($W94&gt;=360,IF(O94&gt;4,IF($N94=$AH$23,VLOOKUP($E94,$AF$4:$AG$22,2,0)*4,VLOOKUP($E94,$AF$4:$AG$22,2,0)),IF($N94=$AH$23,VLOOKUP($E94,$AF$4:$AG$22,2,0)*O94,VLOOKUP($E94,$AF$4:$AG$22,2,0))),(IF(O94&gt;4,IF($N94=$AH$23,VLOOKUP($E94,$AF$4:$AG$22,2,0)*4,VLOOKUP($E94,$AF$4:$AG$22,2,0)),IF($N94=$AH$23,VLOOKUP($E94,$AF$4:$AG$22,2,0)*O94,VLOOKUP($E94,$AF$4:$AG$22,2,0))))/360*$W94),0)</f>
        <v>1331.5753424657535</v>
      </c>
      <c r="AA94" s="57">
        <f>Table1[[#This Row],[نهاية الخدمة2]]-Table1[[#This Row],[نهاية الخدمة]]</f>
        <v>3486.2083333333139</v>
      </c>
      <c r="AB94" s="57">
        <f>Table1[[#This Row],[رصيد اجازات2]]-Table1[[#This Row],[رصيد اجازات]]</f>
        <v>3438.4520547945212</v>
      </c>
      <c r="AC94" s="58">
        <f>Table1[[#This Row],[تذاكر سفر2]]-Table1[[#This Row],[تذاكر سفر]]</f>
        <v>152.8767123287671</v>
      </c>
      <c r="AD94" s="5"/>
      <c r="AE94" s="5"/>
      <c r="AF94" s="5"/>
      <c r="AG94" s="5"/>
    </row>
    <row r="95" spans="1:33" ht="21.95" customHeight="1" x14ac:dyDescent="0.35">
      <c r="A95" s="32">
        <f>SUBTOTAL(3,C$3:$C95)</f>
        <v>93</v>
      </c>
      <c r="B95" s="30" t="s">
        <v>169</v>
      </c>
      <c r="C95" s="33" t="s">
        <v>74</v>
      </c>
      <c r="D95" s="45">
        <v>102301101102</v>
      </c>
      <c r="E95" s="46" t="s">
        <v>27</v>
      </c>
      <c r="F95" s="47">
        <v>40179</v>
      </c>
      <c r="G95" s="46">
        <v>5026</v>
      </c>
      <c r="H95" s="46">
        <v>1001</v>
      </c>
      <c r="I95" s="46">
        <v>500</v>
      </c>
      <c r="J95" s="46">
        <v>1000</v>
      </c>
      <c r="K95" s="46">
        <f t="shared" si="2"/>
        <v>7527</v>
      </c>
      <c r="L95" s="47">
        <v>44476</v>
      </c>
      <c r="M95" s="47">
        <v>44539</v>
      </c>
      <c r="N95" s="46" t="s">
        <v>24</v>
      </c>
      <c r="O95" s="46">
        <v>0</v>
      </c>
      <c r="P95" s="48">
        <v>30</v>
      </c>
      <c r="Q95" s="46">
        <f>IF(F95&gt;0,DATEDIF($F95,Employee!$U$1,"Y")*12*30+DATEDIF($F95,Employee!$U$1,"YM")*30+DATEDIF($F95,Employee!$U$1,"MD")+1,0)</f>
        <v>4440</v>
      </c>
      <c r="R95" s="46">
        <f>IF(F95&gt;0,IF(M95=$AG$23,0,IF($M95=$AF$23,DATEDIF($F95,Employee!$U$1,"D")-(DATEDIF($F95,Employee!$U$1,"D")*5/365)+1,DATEDIF($M95,Employee!$U$1,"D")-(DATEDIF($M95,Employee!$U$1,"D")*5/365)+1)),0)</f>
        <v>141.05479452054794</v>
      </c>
      <c r="S95" s="46">
        <f>IF($Q95&lt;=1800,($Q95/360*$K95)*0.5,($Q95-1800)/360*$K95+1800/360*$K95*0.5)</f>
        <v>74015.5</v>
      </c>
      <c r="T95" s="46">
        <f>IF($P95=21,0.0583333333333333*$R95*$K95/30,0.0833333333333333*$R95*$K95/30)</f>
        <v>2949.2206621004557</v>
      </c>
      <c r="U95" s="46">
        <f>IFERROR(IF($R95&gt;=360,IF(O95&gt;4,IF($N95=$AH$23,VLOOKUP($E95,$AF$4:$AG$22,2,0)*4,VLOOKUP($E95,$AF$4:$AG$22,2,0)),IF($N95=$AH$23,VLOOKUP($E95,$AF$4:$AG$22,2,0)*O95,VLOOKUP($E95,$AF$4:$AG$22,2,0))),(IF(O95&gt;4,IF($N95=$AH$23,VLOOKUP($E95,$AF$4:$AG$22,2,0)*4,VLOOKUP($E95,$AF$4:$AG$22,2,0)),IF($N95=$AH$23,VLOOKUP($E95,$AF$4:$AG$22,2,0)*O95,VLOOKUP($E95,$AF$4:$AG$22,2,0))))/360*$R95),0)</f>
        <v>783.6377473363774</v>
      </c>
      <c r="V95" s="46">
        <f>IF(F95&gt;0,DATEDIF($F95,Employee!$Z$1,"Y")*12*30+DATEDIF($F95,Employee!$Z$1,"YM")*30+DATEDIF($F95,Employee!$Z$1,"MD")+1,0)</f>
        <v>4471</v>
      </c>
      <c r="W95" s="46">
        <f>IF(F95&gt;0,IF(M95=$AG$23,0,IF($M95=$AF$23,DATEDIF($F95,Employee!$Z$1,"D")-(DATEDIF($F95,Employee!$Z$1,"D")*5/365)+1,DATEDIF($M95,Employee!$Z$1,"D")-(DATEDIF($M95,Employee!$Z$1,"D")*5/365)+1)),0)</f>
        <v>171.63013698630138</v>
      </c>
      <c r="X95" s="46">
        <f>IF($V95&lt;=1800,($V95/360*$K95)*0.5,($V95-1800)/360*$K95+1800/360*$K95*0.5)</f>
        <v>74663.658333333326</v>
      </c>
      <c r="Y95" s="46">
        <f>IF($P95=21,0.0583333333333333*$W95*$K95/30,0.0833333333333333*$W95*$K95/30)</f>
        <v>3588.5001141552502</v>
      </c>
      <c r="Z95" s="46">
        <f>IFERROR(IF($W95&gt;=360,IF(O95&gt;4,IF($N95=$AH$23,VLOOKUP($E95,$AF$4:$AG$22,2,0)*4,VLOOKUP($E95,$AF$4:$AG$22,2,0)),IF($N95=$AH$23,VLOOKUP($E95,$AF$4:$AG$22,2,0)*O95,VLOOKUP($E95,$AF$4:$AG$22,2,0))),(IF(O95&gt;4,IF($N95=$AH$23,VLOOKUP($E95,$AF$4:$AG$22,2,0)*4,VLOOKUP($E95,$AF$4:$AG$22,2,0)),IF($N95=$AH$23,VLOOKUP($E95,$AF$4:$AG$22,2,0)*O95,VLOOKUP($E95,$AF$4:$AG$22,2,0))))/360*$W95),0)</f>
        <v>953.5007610350076</v>
      </c>
      <c r="AA95" s="49">
        <f>Table1[[#This Row],[نهاية الخدمة2]]-Table1[[#This Row],[نهاية الخدمة]]</f>
        <v>648.15833333332557</v>
      </c>
      <c r="AB95" s="49">
        <f>Table1[[#This Row],[رصيد اجازات2]]-Table1[[#This Row],[رصيد اجازات]]</f>
        <v>639.27945205479455</v>
      </c>
      <c r="AC95" s="49">
        <f>Table1[[#This Row],[تذاكر سفر2]]-Table1[[#This Row],[تذاكر سفر]]</f>
        <v>169.8630136986302</v>
      </c>
      <c r="AD95" s="5"/>
      <c r="AE95" s="5"/>
      <c r="AF95" s="5"/>
      <c r="AG95" s="5"/>
    </row>
    <row r="96" spans="1:33" ht="21.95" customHeight="1" x14ac:dyDescent="0.35">
      <c r="A96" s="32">
        <f>SUBTOTAL(3,C$3:$C96)</f>
        <v>94</v>
      </c>
      <c r="B96" s="30" t="s">
        <v>170</v>
      </c>
      <c r="C96" s="34" t="s">
        <v>75</v>
      </c>
      <c r="D96" s="50">
        <v>103401101102</v>
      </c>
      <c r="E96" s="51" t="s">
        <v>40</v>
      </c>
      <c r="F96" s="52">
        <v>40179</v>
      </c>
      <c r="G96" s="51">
        <v>35201</v>
      </c>
      <c r="H96" s="51">
        <v>5032</v>
      </c>
      <c r="I96" s="51">
        <v>252</v>
      </c>
      <c r="J96" s="51">
        <v>0</v>
      </c>
      <c r="K96" s="51">
        <f t="shared" si="2"/>
        <v>40485</v>
      </c>
      <c r="L96" s="52" t="s">
        <v>21</v>
      </c>
      <c r="M96" s="52" t="s">
        <v>21</v>
      </c>
      <c r="N96" s="51" t="s">
        <v>24</v>
      </c>
      <c r="O96" s="51">
        <v>0</v>
      </c>
      <c r="P96" s="53">
        <v>30</v>
      </c>
      <c r="Q96" s="54">
        <f>IF(F96&gt;0,DATEDIF($F96,Employee!$U$1,"Y")*12*30+DATEDIF($F96,Employee!$U$1,"YM")*30+DATEDIF($F96,Employee!$U$1,"MD")+1,0)</f>
        <v>4440</v>
      </c>
      <c r="R96" s="51">
        <f>IF(F96&gt;0,IF(M96=$AG$23,0,IF($M96=$AF$23,DATEDIF($F96,Employee!$U$1,"D")-(DATEDIF($F96,Employee!$U$1,"D")*5/365)+1,DATEDIF($M96,Employee!$U$1,"D")-(DATEDIF($M96,Employee!$U$1,"D")*5/365)+1)),0)</f>
        <v>4441.3287671232874</v>
      </c>
      <c r="S96" s="51">
        <f>IF($Q96&lt;=1800,($Q96/360*$K96)*0.5,($Q96-1800)/360*$K96+1800/360*$K96*0.5)</f>
        <v>398102.5</v>
      </c>
      <c r="T96" s="51">
        <f>IF($P96=21,0.0583333333333333*$R96*$K96/30,0.0833333333333333*$R96*$K96/30)</f>
        <v>499464.43093607284</v>
      </c>
      <c r="U96" s="55">
        <f>IFERROR(IF($R96&gt;=360,IF(O96&gt;4,IF($N96=$AH$23,VLOOKUP($E96,$AF$4:$AG$22,2,0)*4,VLOOKUP($E96,$AF$4:$AG$22,2,0)),IF($N96=$AH$23,VLOOKUP($E96,$AF$4:$AG$22,2,0)*O96,VLOOKUP($E96,$AF$4:$AG$22,2,0))),(IF(O96&gt;4,IF($N96=$AH$23,VLOOKUP($E96,$AF$4:$AG$22,2,0)*4,VLOOKUP($E96,$AF$4:$AG$22,2,0)),IF($N96=$AH$23,VLOOKUP($E96,$AF$4:$AG$22,2,0)*O96,VLOOKUP($E96,$AF$4:$AG$22,2,0))))/360*$R96),0)</f>
        <v>1000</v>
      </c>
      <c r="V96" s="56">
        <f>IF(F96&gt;0,DATEDIF($F96,Employee!$Z$1,"Y")*12*30+DATEDIF($F96,Employee!$Z$1,"YM")*30+DATEDIF($F96,Employee!$Z$1,"MD")+1,0)</f>
        <v>4471</v>
      </c>
      <c r="W96" s="51">
        <f>IF(F96&gt;0,IF(M96=$AG$23,0,IF($M96=$AF$23,DATEDIF($F96,Employee!$Z$1,"D")-(DATEDIF($F96,Employee!$Z$1,"D")*5/365)+1,DATEDIF($M96,Employee!$Z$1,"D")-(DATEDIF($M96,Employee!$Z$1,"D")*5/365)+1)),0)</f>
        <v>4471.9041095890407</v>
      </c>
      <c r="X96" s="51">
        <f>IF($V96&lt;=1800,($V96/360*$K96)*0.5,($V96-1800)/360*$K96+1800/360*$K96*0.5)</f>
        <v>401588.70833333331</v>
      </c>
      <c r="Y96" s="51">
        <f>IF($P96=21,0.0583333333333333*$W96*$K96/30,0.0833333333333333*$W96*$K96/30)</f>
        <v>502902.88299086725</v>
      </c>
      <c r="Z96" s="51">
        <f>IFERROR(IF($W96&gt;=360,IF(O96&gt;4,IF($N96=$AH$23,VLOOKUP($E96,$AF$4:$AG$22,2,0)*4,VLOOKUP($E96,$AF$4:$AG$22,2,0)),IF($N96=$AH$23,VLOOKUP($E96,$AF$4:$AG$22,2,0)*O96,VLOOKUP($E96,$AF$4:$AG$22,2,0))),(IF(O96&gt;4,IF($N96=$AH$23,VLOOKUP($E96,$AF$4:$AG$22,2,0)*4,VLOOKUP($E96,$AF$4:$AG$22,2,0)),IF($N96=$AH$23,VLOOKUP($E96,$AF$4:$AG$22,2,0)*O96,VLOOKUP($E96,$AF$4:$AG$22,2,0))))/360*$W96),0)</f>
        <v>1000</v>
      </c>
      <c r="AA96" s="57">
        <f>Table1[[#This Row],[نهاية الخدمة2]]-Table1[[#This Row],[نهاية الخدمة]]</f>
        <v>3486.2083333333139</v>
      </c>
      <c r="AB96" s="57">
        <f>Table1[[#This Row],[رصيد اجازات2]]-Table1[[#This Row],[رصيد اجازات]]</f>
        <v>3438.4520547944121</v>
      </c>
      <c r="AC96" s="58">
        <f>Table1[[#This Row],[تذاكر سفر2]]-Table1[[#This Row],[تذاكر سفر]]</f>
        <v>0</v>
      </c>
      <c r="AD96" s="5"/>
      <c r="AE96" s="5"/>
      <c r="AF96" s="5"/>
      <c r="AG96" s="5"/>
    </row>
    <row r="97" spans="1:33" ht="21.95" customHeight="1" x14ac:dyDescent="0.35">
      <c r="A97" s="32">
        <f>SUBTOTAL(3,C$3:$C97)</f>
        <v>95</v>
      </c>
      <c r="B97" s="30" t="s">
        <v>171</v>
      </c>
      <c r="C97" s="33" t="s">
        <v>76</v>
      </c>
      <c r="D97" s="45">
        <v>104501101102</v>
      </c>
      <c r="E97" s="46" t="s">
        <v>27</v>
      </c>
      <c r="F97" s="47">
        <v>40179</v>
      </c>
      <c r="G97" s="46">
        <v>5026</v>
      </c>
      <c r="H97" s="46">
        <v>1001</v>
      </c>
      <c r="I97" s="46">
        <v>500</v>
      </c>
      <c r="J97" s="46">
        <v>0</v>
      </c>
      <c r="K97" s="46">
        <f t="shared" si="2"/>
        <v>6527</v>
      </c>
      <c r="L97" s="47">
        <v>44288</v>
      </c>
      <c r="M97" s="47">
        <v>44496</v>
      </c>
      <c r="N97" s="46" t="s">
        <v>24</v>
      </c>
      <c r="O97" s="46">
        <v>0</v>
      </c>
      <c r="P97" s="48">
        <v>21</v>
      </c>
      <c r="Q97" s="46">
        <f>IF(F97&gt;0,DATEDIF($F97,Employee!$U$1,"Y")*12*30+DATEDIF($F97,Employee!$U$1,"YM")*30+DATEDIF($F97,Employee!$U$1,"MD")+1,0)</f>
        <v>4440</v>
      </c>
      <c r="R97" s="46">
        <f>IF(F97&gt;0,IF(M97=$AG$23,0,IF($M97=$AF$23,DATEDIF($F97,Employee!$U$1,"D")-(DATEDIF($F97,Employee!$U$1,"D")*5/365)+1,DATEDIF($M97,Employee!$U$1,"D")-(DATEDIF($M97,Employee!$U$1,"D")*5/365)+1)),0)</f>
        <v>183.46575342465752</v>
      </c>
      <c r="S97" s="46">
        <f>IF($Q97&lt;=1800,($Q97/360*$K97)*0.5,($Q97-1800)/360*$K97+1800/360*$K97*0.5)</f>
        <v>64182.166666666664</v>
      </c>
      <c r="T97" s="46">
        <f>IF($P97=21,0.0583333333333333*$R97*$K97/30,0.0833333333333333*$R97*$K97/30)</f>
        <v>2328.4352245053256</v>
      </c>
      <c r="U97" s="46">
        <f>IFERROR(IF($R97&gt;=360,IF(O97&gt;4,IF($N97=$AH$23,VLOOKUP($E97,$AF$4:$AG$22,2,0)*4,VLOOKUP($E97,$AF$4:$AG$22,2,0)),IF($N97=$AH$23,VLOOKUP($E97,$AF$4:$AG$22,2,0)*O97,VLOOKUP($E97,$AF$4:$AG$22,2,0))),(IF(O97&gt;4,IF($N97=$AH$23,VLOOKUP($E97,$AF$4:$AG$22,2,0)*4,VLOOKUP($E97,$AF$4:$AG$22,2,0)),IF($N97=$AH$23,VLOOKUP($E97,$AF$4:$AG$22,2,0)*O97,VLOOKUP($E97,$AF$4:$AG$22,2,0))))/360*$R97),0)</f>
        <v>1019.2541856925418</v>
      </c>
      <c r="V97" s="46">
        <f>IF(F97&gt;0,DATEDIF($F97,Employee!$Z$1,"Y")*12*30+DATEDIF($F97,Employee!$Z$1,"YM")*30+DATEDIF($F97,Employee!$Z$1,"MD")+1,0)</f>
        <v>4471</v>
      </c>
      <c r="W97" s="46">
        <f>IF(F97&gt;0,IF(M97=$AG$23,0,IF($M97=$AF$23,DATEDIF($F97,Employee!$Z$1,"D")-(DATEDIF($F97,Employee!$Z$1,"D")*5/365)+1,DATEDIF($M97,Employee!$Z$1,"D")-(DATEDIF($M97,Employee!$Z$1,"D")*5/365)+1)),0)</f>
        <v>214.04109589041096</v>
      </c>
      <c r="X97" s="46">
        <f>IF($V97&lt;=1800,($V97/360*$K97)*0.5,($V97-1800)/360*$K97+1800/360*$K97*0.5)</f>
        <v>64744.213888888888</v>
      </c>
      <c r="Y97" s="46">
        <f>IF($P97=21,0.0583333333333333*$W97*$K97/30,0.0833333333333333*$W97*$K97/30)</f>
        <v>2716.4787861491614</v>
      </c>
      <c r="Z97" s="46">
        <f>IFERROR(IF($W97&gt;=360,IF(O97&gt;4,IF($N97=$AH$23,VLOOKUP($E97,$AF$4:$AG$22,2,0)*4,VLOOKUP($E97,$AF$4:$AG$22,2,0)),IF($N97=$AH$23,VLOOKUP($E97,$AF$4:$AG$22,2,0)*O97,VLOOKUP($E97,$AF$4:$AG$22,2,0))),(IF(O97&gt;4,IF($N97=$AH$23,VLOOKUP($E97,$AF$4:$AG$22,2,0)*4,VLOOKUP($E97,$AF$4:$AG$22,2,0)),IF($N97=$AH$23,VLOOKUP($E97,$AF$4:$AG$22,2,0)*O97,VLOOKUP($E97,$AF$4:$AG$22,2,0))))/360*$W97),0)</f>
        <v>1189.1171993911719</v>
      </c>
      <c r="AA97" s="49">
        <f>Table1[[#This Row],[نهاية الخدمة2]]-Table1[[#This Row],[نهاية الخدمة]]</f>
        <v>562.04722222222335</v>
      </c>
      <c r="AB97" s="49">
        <f>Table1[[#This Row],[رصيد اجازات2]]-Table1[[#This Row],[رصيد اجازات]]</f>
        <v>388.0435616438358</v>
      </c>
      <c r="AC97" s="49">
        <f>Table1[[#This Row],[تذاكر سفر2]]-Table1[[#This Row],[تذاكر سفر]]</f>
        <v>169.86301369863008</v>
      </c>
      <c r="AD97" s="5"/>
      <c r="AE97" s="5"/>
      <c r="AF97" s="5"/>
      <c r="AG97" s="5"/>
    </row>
    <row r="98" spans="1:33" ht="21.95" customHeight="1" x14ac:dyDescent="0.35">
      <c r="A98" s="32">
        <f>SUBTOTAL(3,C$3:$C98)</f>
        <v>96</v>
      </c>
      <c r="B98" s="30" t="s">
        <v>172</v>
      </c>
      <c r="C98" s="31" t="s">
        <v>72</v>
      </c>
      <c r="D98" s="50">
        <v>105601101102</v>
      </c>
      <c r="E98" s="51" t="s">
        <v>26</v>
      </c>
      <c r="F98" s="52">
        <v>40179</v>
      </c>
      <c r="G98" s="51">
        <v>35201</v>
      </c>
      <c r="H98" s="51">
        <v>5032</v>
      </c>
      <c r="I98" s="51">
        <v>252</v>
      </c>
      <c r="J98" s="51">
        <v>0</v>
      </c>
      <c r="K98" s="51">
        <f t="shared" si="2"/>
        <v>40485</v>
      </c>
      <c r="L98" s="52">
        <v>44592</v>
      </c>
      <c r="M98" s="52" t="s">
        <v>63</v>
      </c>
      <c r="N98" s="51" t="s">
        <v>24</v>
      </c>
      <c r="O98" s="51">
        <v>0</v>
      </c>
      <c r="P98" s="53">
        <v>21</v>
      </c>
      <c r="Q98" s="54">
        <f>IF(F98&gt;0,DATEDIF($F98,Employee!$U$1,"Y")*12*30+DATEDIF($F98,Employee!$U$1,"YM")*30+DATEDIF($F98,Employee!$U$1,"MD")+1,0)</f>
        <v>4440</v>
      </c>
      <c r="R98" s="51">
        <f>IF(F98&gt;0,IF(M98=$AG$23,0,IF($M98=$AF$23,DATEDIF($F98,Employee!$U$1,"D")-(DATEDIF($F98,Employee!$U$1,"D")*5/365)+1,DATEDIF($M98,Employee!$U$1,"D")-(DATEDIF($M98,Employee!$U$1,"D")*5/365)+1)),0)</f>
        <v>0</v>
      </c>
      <c r="S98" s="51">
        <f>IF($Q98&lt;=1800,($Q98/360*$K98)*0.5,($Q98-1800)/360*$K98+1800/360*$K98*0.5)</f>
        <v>398102.5</v>
      </c>
      <c r="T98" s="51">
        <f>IF($P98=21,0.0583333333333333*$R98*$K98/30,0.0833333333333333*$R98*$K98/30)</f>
        <v>0</v>
      </c>
      <c r="U98" s="55">
        <f>IFERROR(IF($R98&gt;=360,IF(O98&gt;4,IF($N98=$AH$23,VLOOKUP($E98,$AF$4:$AG$22,2,0)*4,VLOOKUP($E98,$AF$4:$AG$22,2,0)),IF($N98=$AH$23,VLOOKUP($E98,$AF$4:$AG$22,2,0)*O98,VLOOKUP($E98,$AF$4:$AG$22,2,0))),(IF(O98&gt;4,IF($N98=$AH$23,VLOOKUP($E98,$AF$4:$AG$22,2,0)*4,VLOOKUP($E98,$AF$4:$AG$22,2,0)),IF($N98=$AH$23,VLOOKUP($E98,$AF$4:$AG$22,2,0)*O98,VLOOKUP($E98,$AF$4:$AG$22,2,0))))/360*$R98),0)</f>
        <v>0</v>
      </c>
      <c r="V98" s="56">
        <f>IF(F98&gt;0,DATEDIF($F98,Employee!$Z$1,"Y")*12*30+DATEDIF($F98,Employee!$Z$1,"YM")*30+DATEDIF($F98,Employee!$Z$1,"MD")+1,0)</f>
        <v>4471</v>
      </c>
      <c r="W98" s="51">
        <f>IF(F98&gt;0,IF(M98=$AG$23,0,IF($M98=$AF$23,DATEDIF($F98,Employee!$Z$1,"D")-(DATEDIF($F98,Employee!$Z$1,"D")*5/365)+1,DATEDIF($M98,Employee!$Z$1,"D")-(DATEDIF($M98,Employee!$Z$1,"D")*5/365)+1)),0)</f>
        <v>0</v>
      </c>
      <c r="X98" s="51">
        <f>IF($V98&lt;=1800,($V98/360*$K98)*0.5,($V98-1800)/360*$K98+1800/360*$K98*0.5)</f>
        <v>401588.70833333331</v>
      </c>
      <c r="Y98" s="51">
        <f>IF($P98=21,0.0583333333333333*$W98*$K98/30,0.0833333333333333*$W98*$K98/30)</f>
        <v>0</v>
      </c>
      <c r="Z98" s="51">
        <f>IFERROR(IF($W98&gt;=360,IF(O98&gt;4,IF($N98=$AH$23,VLOOKUP($E98,$AF$4:$AG$22,2,0)*4,VLOOKUP($E98,$AF$4:$AG$22,2,0)),IF($N98=$AH$23,VLOOKUP($E98,$AF$4:$AG$22,2,0)*O98,VLOOKUP($E98,$AF$4:$AG$22,2,0))),(IF(O98&gt;4,IF($N98=$AH$23,VLOOKUP($E98,$AF$4:$AG$22,2,0)*4,VLOOKUP($E98,$AF$4:$AG$22,2,0)),IF($N98=$AH$23,VLOOKUP($E98,$AF$4:$AG$22,2,0)*O98,VLOOKUP($E98,$AF$4:$AG$22,2,0))))/360*$W98),0)</f>
        <v>0</v>
      </c>
      <c r="AA98" s="57">
        <f>Table1[[#This Row],[نهاية الخدمة2]]-Table1[[#This Row],[نهاية الخدمة]]</f>
        <v>3486.2083333333139</v>
      </c>
      <c r="AB98" s="57">
        <f>Table1[[#This Row],[رصيد اجازات2]]-Table1[[#This Row],[رصيد اجازات]]</f>
        <v>0</v>
      </c>
      <c r="AC98" s="58">
        <f>Table1[[#This Row],[تذاكر سفر2]]-Table1[[#This Row],[تذاكر سفر]]</f>
        <v>0</v>
      </c>
      <c r="AD98" s="5"/>
      <c r="AE98" s="5"/>
      <c r="AF98" s="5"/>
      <c r="AG98" s="5"/>
    </row>
    <row r="99" spans="1:33" ht="21.95" customHeight="1" x14ac:dyDescent="0.35">
      <c r="A99" s="32">
        <f>SUBTOTAL(3,C$3:$C99)</f>
        <v>97</v>
      </c>
      <c r="B99" s="30" t="s">
        <v>173</v>
      </c>
      <c r="C99" s="33" t="s">
        <v>73</v>
      </c>
      <c r="D99" s="45">
        <v>106701101102</v>
      </c>
      <c r="E99" s="46" t="s">
        <v>31</v>
      </c>
      <c r="F99" s="47">
        <v>40179</v>
      </c>
      <c r="G99" s="46">
        <v>5026</v>
      </c>
      <c r="H99" s="46">
        <v>1001</v>
      </c>
      <c r="I99" s="46">
        <v>500</v>
      </c>
      <c r="J99" s="46">
        <v>0</v>
      </c>
      <c r="K99" s="46">
        <f t="shared" ref="K99:K119" si="3">G99+H99+I99+J99</f>
        <v>6527</v>
      </c>
      <c r="L99" s="47" t="s">
        <v>21</v>
      </c>
      <c r="M99" s="47" t="s">
        <v>21</v>
      </c>
      <c r="N99" s="46" t="s">
        <v>24</v>
      </c>
      <c r="O99" s="46">
        <v>0</v>
      </c>
      <c r="P99" s="48">
        <v>21</v>
      </c>
      <c r="Q99" s="46">
        <f>IF(F99&gt;0,DATEDIF($F99,Employee!$U$1,"Y")*12*30+DATEDIF($F99,Employee!$U$1,"YM")*30+DATEDIF($F99,Employee!$U$1,"MD")+1,0)</f>
        <v>4440</v>
      </c>
      <c r="R99" s="46">
        <f>IF(F99&gt;0,IF(M99=$AG$23,0,IF($M99=$AF$23,DATEDIF($F99,Employee!$U$1,"D")-(DATEDIF($F99,Employee!$U$1,"D")*5/365)+1,DATEDIF($M99,Employee!$U$1,"D")-(DATEDIF($M99,Employee!$U$1,"D")*5/365)+1)),0)</f>
        <v>4441.3287671232874</v>
      </c>
      <c r="S99" s="46">
        <f>IF($Q99&lt;=1800,($Q99/360*$K99)*0.5,($Q99-1800)/360*$K99+1800/360*$K99*0.5)</f>
        <v>64182.166666666664</v>
      </c>
      <c r="T99" s="46">
        <f>IF($P99=21,0.0583333333333333*$R99*$K99/30,0.0833333333333333*$R99*$K99/30)</f>
        <v>56366.630566971042</v>
      </c>
      <c r="U99" s="46">
        <f>IFERROR(IF($R99&gt;=360,IF(O99&gt;4,IF($N99=$AH$23,VLOOKUP($E99,$AF$4:$AG$22,2,0)*4,VLOOKUP($E99,$AF$4:$AG$22,2,0)),IF($N99=$AH$23,VLOOKUP($E99,$AF$4:$AG$22,2,0)*O99,VLOOKUP($E99,$AF$4:$AG$22,2,0))),(IF(O99&gt;4,IF($N99=$AH$23,VLOOKUP($E99,$AF$4:$AG$22,2,0)*4,VLOOKUP($E99,$AF$4:$AG$22,2,0)),IF($N99=$AH$23,VLOOKUP($E99,$AF$4:$AG$22,2,0)*O99,VLOOKUP($E99,$AF$4:$AG$22,2,0))))/360*$R99),0)</f>
        <v>2000</v>
      </c>
      <c r="V99" s="46">
        <f>IF(F99&gt;0,DATEDIF($F99,Employee!$Z$1,"Y")*12*30+DATEDIF($F99,Employee!$Z$1,"YM")*30+DATEDIF($F99,Employee!$Z$1,"MD")+1,0)</f>
        <v>4471</v>
      </c>
      <c r="W99" s="46">
        <f>IF(F99&gt;0,IF(M99=$AG$23,0,IF($M99=$AF$23,DATEDIF($F99,Employee!$Z$1,"D")-(DATEDIF($F99,Employee!$Z$1,"D")*5/365)+1,DATEDIF($M99,Employee!$Z$1,"D")-(DATEDIF($M99,Employee!$Z$1,"D")*5/365)+1)),0)</f>
        <v>4471.9041095890407</v>
      </c>
      <c r="X99" s="46">
        <f>IF($V99&lt;=1800,($V99/360*$K99)*0.5,($V99-1800)/360*$K99+1800/360*$K99*0.5)</f>
        <v>64744.213888888888</v>
      </c>
      <c r="Y99" s="46">
        <f>IF($P99=21,0.0583333333333333*$W99*$K99/30,0.0833333333333333*$W99*$K99/30)</f>
        <v>56754.674128614868</v>
      </c>
      <c r="Z99" s="46">
        <f>IFERROR(IF($W99&gt;=360,IF(O99&gt;4,IF($N99=$AH$23,VLOOKUP($E99,$AF$4:$AG$22,2,0)*4,VLOOKUP($E99,$AF$4:$AG$22,2,0)),IF($N99=$AH$23,VLOOKUP($E99,$AF$4:$AG$22,2,0)*O99,VLOOKUP($E99,$AF$4:$AG$22,2,0))),(IF(O99&gt;4,IF($N99=$AH$23,VLOOKUP($E99,$AF$4:$AG$22,2,0)*4,VLOOKUP($E99,$AF$4:$AG$22,2,0)),IF($N99=$AH$23,VLOOKUP($E99,$AF$4:$AG$22,2,0)*O99,VLOOKUP($E99,$AF$4:$AG$22,2,0))))/360*$W99),0)</f>
        <v>2000</v>
      </c>
      <c r="AA99" s="49">
        <f>Table1[[#This Row],[نهاية الخدمة2]]-Table1[[#This Row],[نهاية الخدمة]]</f>
        <v>562.04722222222335</v>
      </c>
      <c r="AB99" s="49">
        <f>Table1[[#This Row],[رصيد اجازات2]]-Table1[[#This Row],[رصيد اجازات]]</f>
        <v>388.04356164382625</v>
      </c>
      <c r="AC99" s="49">
        <f>Table1[[#This Row],[تذاكر سفر2]]-Table1[[#This Row],[تذاكر سفر]]</f>
        <v>0</v>
      </c>
      <c r="AD99" s="5"/>
      <c r="AE99" s="5"/>
      <c r="AF99" s="5"/>
      <c r="AG99" s="5"/>
    </row>
    <row r="100" spans="1:33" ht="21.95" customHeight="1" x14ac:dyDescent="0.35">
      <c r="A100" s="32">
        <f>SUBTOTAL(3,C$3:$C100)</f>
        <v>98</v>
      </c>
      <c r="B100" s="30" t="s">
        <v>174</v>
      </c>
      <c r="C100" s="33" t="s">
        <v>74</v>
      </c>
      <c r="D100" s="50">
        <v>107801101102</v>
      </c>
      <c r="E100" s="51" t="s">
        <v>23</v>
      </c>
      <c r="F100" s="52">
        <v>40179</v>
      </c>
      <c r="G100" s="51">
        <v>35201</v>
      </c>
      <c r="H100" s="51">
        <v>5032</v>
      </c>
      <c r="I100" s="51">
        <v>252</v>
      </c>
      <c r="J100" s="51">
        <v>0</v>
      </c>
      <c r="K100" s="51">
        <f t="shared" si="3"/>
        <v>40485</v>
      </c>
      <c r="L100" s="52" t="s">
        <v>21</v>
      </c>
      <c r="M100" s="52" t="s">
        <v>21</v>
      </c>
      <c r="N100" s="51" t="s">
        <v>24</v>
      </c>
      <c r="O100" s="51">
        <v>0</v>
      </c>
      <c r="P100" s="53">
        <v>21</v>
      </c>
      <c r="Q100" s="54">
        <f>IF(F100&gt;0,DATEDIF($F100,Employee!$U$1,"Y")*12*30+DATEDIF($F100,Employee!$U$1,"YM")*30+DATEDIF($F100,Employee!$U$1,"MD")+1,0)</f>
        <v>4440</v>
      </c>
      <c r="R100" s="51">
        <f>IF(F100&gt;0,IF(M100=$AG$23,0,IF($M100=$AF$23,DATEDIF($F100,Employee!$U$1,"D")-(DATEDIF($F100,Employee!$U$1,"D")*5/365)+1,DATEDIF($M100,Employee!$U$1,"D")-(DATEDIF($M100,Employee!$U$1,"D")*5/365)+1)),0)</f>
        <v>4441.3287671232874</v>
      </c>
      <c r="S100" s="51">
        <f>IF($Q100&lt;=1800,($Q100/360*$K100)*0.5,($Q100-1800)/360*$K100+1800/360*$K100*0.5)</f>
        <v>398102.5</v>
      </c>
      <c r="T100" s="51">
        <f>IF($P100=21,0.0583333333333333*$R100*$K100/30,0.0833333333333333*$R100*$K100/30)</f>
        <v>349625.10165525094</v>
      </c>
      <c r="U100" s="55">
        <f>IFERROR(IF($R100&gt;=360,IF(O100&gt;4,IF($N100=$AH$23,VLOOKUP($E100,$AF$4:$AG$22,2,0)*4,VLOOKUP($E100,$AF$4:$AG$22,2,0)),IF($N100=$AH$23,VLOOKUP($E100,$AF$4:$AG$22,2,0)*O100,VLOOKUP($E100,$AF$4:$AG$22,2,0))),(IF(O100&gt;4,IF($N100=$AH$23,VLOOKUP($E100,$AF$4:$AG$22,2,0)*4,VLOOKUP($E100,$AF$4:$AG$22,2,0)),IF($N100=$AH$23,VLOOKUP($E100,$AF$4:$AG$22,2,0)*O100,VLOOKUP($E100,$AF$4:$AG$22,2,0))))/360*$R100),0)</f>
        <v>2250</v>
      </c>
      <c r="V100" s="56">
        <f>IF(F100&gt;0,DATEDIF($F100,Employee!$Z$1,"Y")*12*30+DATEDIF($F100,Employee!$Z$1,"YM")*30+DATEDIF($F100,Employee!$Z$1,"MD")+1,0)</f>
        <v>4471</v>
      </c>
      <c r="W100" s="51">
        <f>IF(F100&gt;0,IF(M100=$AG$23,0,IF($M100=$AF$23,DATEDIF($F100,Employee!$Z$1,"D")-(DATEDIF($F100,Employee!$Z$1,"D")*5/365)+1,DATEDIF($M100,Employee!$Z$1,"D")-(DATEDIF($M100,Employee!$Z$1,"D")*5/365)+1)),0)</f>
        <v>4471.9041095890407</v>
      </c>
      <c r="X100" s="51">
        <f>IF($V100&lt;=1800,($V100/360*$K100)*0.5,($V100-1800)/360*$K100+1800/360*$K100*0.5)</f>
        <v>401588.70833333331</v>
      </c>
      <c r="Y100" s="51">
        <f>IF($P100=21,0.0583333333333333*$W100*$K100/30,0.0833333333333333*$W100*$K100/30)</f>
        <v>352032.01809360704</v>
      </c>
      <c r="Z100" s="51">
        <f>IFERROR(IF($W100&gt;=360,IF(O100&gt;4,IF($N100=$AH$23,VLOOKUP($E100,$AF$4:$AG$22,2,0)*4,VLOOKUP($E100,$AF$4:$AG$22,2,0)),IF($N100=$AH$23,VLOOKUP($E100,$AF$4:$AG$22,2,0)*O100,VLOOKUP($E100,$AF$4:$AG$22,2,0))),(IF(O100&gt;4,IF($N100=$AH$23,VLOOKUP($E100,$AF$4:$AG$22,2,0)*4,VLOOKUP($E100,$AF$4:$AG$22,2,0)),IF($N100=$AH$23,VLOOKUP($E100,$AF$4:$AG$22,2,0)*O100,VLOOKUP($E100,$AF$4:$AG$22,2,0))))/360*$W100),0)</f>
        <v>2250</v>
      </c>
      <c r="AA100" s="57">
        <f>Table1[[#This Row],[نهاية الخدمة2]]-Table1[[#This Row],[نهاية الخدمة]]</f>
        <v>3486.2083333333139</v>
      </c>
      <c r="AB100" s="57">
        <f>Table1[[#This Row],[رصيد اجازات2]]-Table1[[#This Row],[رصيد اجازات]]</f>
        <v>2406.9164383561001</v>
      </c>
      <c r="AC100" s="58">
        <f>Table1[[#This Row],[تذاكر سفر2]]-Table1[[#This Row],[تذاكر سفر]]</f>
        <v>0</v>
      </c>
      <c r="AD100" s="5"/>
      <c r="AE100" s="5"/>
      <c r="AF100" s="5"/>
      <c r="AG100" s="5"/>
    </row>
    <row r="101" spans="1:33" ht="21.95" customHeight="1" x14ac:dyDescent="0.35">
      <c r="A101" s="32">
        <f>SUBTOTAL(3,C$3:$C101)</f>
        <v>99</v>
      </c>
      <c r="B101" s="30" t="s">
        <v>175</v>
      </c>
      <c r="C101" s="34" t="s">
        <v>75</v>
      </c>
      <c r="D101" s="45">
        <v>108901101102</v>
      </c>
      <c r="E101" s="46" t="s">
        <v>27</v>
      </c>
      <c r="F101" s="47">
        <v>40179</v>
      </c>
      <c r="G101" s="46">
        <v>5026</v>
      </c>
      <c r="H101" s="46">
        <v>1001</v>
      </c>
      <c r="I101" s="46">
        <v>500</v>
      </c>
      <c r="J101" s="46">
        <v>0</v>
      </c>
      <c r="K101" s="46">
        <f t="shared" si="3"/>
        <v>6527</v>
      </c>
      <c r="L101" s="47">
        <v>43498</v>
      </c>
      <c r="M101" s="47">
        <v>43519</v>
      </c>
      <c r="N101" s="46" t="s">
        <v>24</v>
      </c>
      <c r="O101" s="46">
        <v>0</v>
      </c>
      <c r="P101" s="48">
        <v>21</v>
      </c>
      <c r="Q101" s="46">
        <f>IF(F101&gt;0,DATEDIF($F101,Employee!$U$1,"Y")*12*30+DATEDIF($F101,Employee!$U$1,"YM")*30+DATEDIF($F101,Employee!$U$1,"MD")+1,0)</f>
        <v>4440</v>
      </c>
      <c r="R101" s="46">
        <f>IF(F101&gt;0,IF(M101=$AG$23,0,IF($M101=$AF$23,DATEDIF($F101,Employee!$U$1,"D")-(DATEDIF($F101,Employee!$U$1,"D")*5/365)+1,DATEDIF($M101,Employee!$U$1,"D")-(DATEDIF($M101,Employee!$U$1,"D")*5/365)+1)),0)</f>
        <v>1147.0821917808219</v>
      </c>
      <c r="S101" s="46">
        <f>IF($Q101&lt;=1800,($Q101/360*$K101)*0.5,($Q101-1800)/360*$K101+1800/360*$K101*0.5)</f>
        <v>64182.166666666664</v>
      </c>
      <c r="T101" s="46">
        <f>IF($P101=21,0.0583333333333333*$R101*$K101/30,0.0833333333333333*$R101*$K101/30)</f>
        <v>14558.066183409426</v>
      </c>
      <c r="U101" s="46">
        <f>IFERROR(IF($R101&gt;=360,IF(O101&gt;4,IF($N101=$AH$23,VLOOKUP($E101,$AF$4:$AG$22,2,0)*4,VLOOKUP($E101,$AF$4:$AG$22,2,0)),IF($N101=$AH$23,VLOOKUP($E101,$AF$4:$AG$22,2,0)*O101,VLOOKUP($E101,$AF$4:$AG$22,2,0))),(IF(O101&gt;4,IF($N101=$AH$23,VLOOKUP($E101,$AF$4:$AG$22,2,0)*4,VLOOKUP($E101,$AF$4:$AG$22,2,0)),IF($N101=$AH$23,VLOOKUP($E101,$AF$4:$AG$22,2,0)*O101,VLOOKUP($E101,$AF$4:$AG$22,2,0))))/360*$R101),0)</f>
        <v>2000</v>
      </c>
      <c r="V101" s="46">
        <f>IF(F101&gt;0,DATEDIF($F101,Employee!$Z$1,"Y")*12*30+DATEDIF($F101,Employee!$Z$1,"YM")*30+DATEDIF($F101,Employee!$Z$1,"MD")+1,0)</f>
        <v>4471</v>
      </c>
      <c r="W101" s="46">
        <f>IF(F101&gt;0,IF(M101=$AG$23,0,IF($M101=$AF$23,DATEDIF($F101,Employee!$Z$1,"D")-(DATEDIF($F101,Employee!$Z$1,"D")*5/365)+1,DATEDIF($M101,Employee!$Z$1,"D")-(DATEDIF($M101,Employee!$Z$1,"D")*5/365)+1)),0)</f>
        <v>1177.6575342465753</v>
      </c>
      <c r="X101" s="46">
        <f>IF($V101&lt;=1800,($V101/360*$K101)*0.5,($V101-1800)/360*$K101+1800/360*$K101*0.5)</f>
        <v>64744.213888888888</v>
      </c>
      <c r="Y101" s="46">
        <f>IF($P101=21,0.0583333333333333*$W101*$K101/30,0.0833333333333333*$W101*$K101/30)</f>
        <v>14946.109745053265</v>
      </c>
      <c r="Z101" s="46">
        <f>IFERROR(IF($W101&gt;=360,IF(O101&gt;4,IF($N101=$AH$23,VLOOKUP($E101,$AF$4:$AG$22,2,0)*4,VLOOKUP($E101,$AF$4:$AG$22,2,0)),IF($N101=$AH$23,VLOOKUP($E101,$AF$4:$AG$22,2,0)*O101,VLOOKUP($E101,$AF$4:$AG$22,2,0))),(IF(O101&gt;4,IF($N101=$AH$23,VLOOKUP($E101,$AF$4:$AG$22,2,0)*4,VLOOKUP($E101,$AF$4:$AG$22,2,0)),IF($N101=$AH$23,VLOOKUP($E101,$AF$4:$AG$22,2,0)*O101,VLOOKUP($E101,$AF$4:$AG$22,2,0))))/360*$W101),0)</f>
        <v>2000</v>
      </c>
      <c r="AA101" s="49">
        <f>Table1[[#This Row],[نهاية الخدمة2]]-Table1[[#This Row],[نهاية الخدمة]]</f>
        <v>562.04722222222335</v>
      </c>
      <c r="AB101" s="49">
        <f>Table1[[#This Row],[رصيد اجازات2]]-Table1[[#This Row],[رصيد اجازات]]</f>
        <v>388.04356164383898</v>
      </c>
      <c r="AC101" s="49">
        <f>Table1[[#This Row],[تذاكر سفر2]]-Table1[[#This Row],[تذاكر سفر]]</f>
        <v>0</v>
      </c>
      <c r="AD101" s="5"/>
      <c r="AE101" s="5"/>
      <c r="AF101" s="5"/>
      <c r="AG101" s="5"/>
    </row>
    <row r="102" spans="1:33" ht="21.95" customHeight="1" x14ac:dyDescent="0.35">
      <c r="A102" s="32">
        <f>SUBTOTAL(3,C$3:$C102)</f>
        <v>100</v>
      </c>
      <c r="B102" s="30" t="s">
        <v>176</v>
      </c>
      <c r="C102" s="33" t="s">
        <v>76</v>
      </c>
      <c r="D102" s="50">
        <v>110001101102</v>
      </c>
      <c r="E102" s="51" t="s">
        <v>27</v>
      </c>
      <c r="F102" s="52">
        <v>40179</v>
      </c>
      <c r="G102" s="51">
        <v>35201</v>
      </c>
      <c r="H102" s="51">
        <v>5032</v>
      </c>
      <c r="I102" s="51">
        <v>252</v>
      </c>
      <c r="J102" s="51">
        <v>0</v>
      </c>
      <c r="K102" s="51">
        <f t="shared" si="3"/>
        <v>40485</v>
      </c>
      <c r="L102" s="52">
        <v>44475</v>
      </c>
      <c r="M102" s="52">
        <v>44506</v>
      </c>
      <c r="N102" s="51" t="s">
        <v>24</v>
      </c>
      <c r="O102" s="51">
        <v>0</v>
      </c>
      <c r="P102" s="53">
        <v>21</v>
      </c>
      <c r="Q102" s="54">
        <f>IF(F102&gt;0,DATEDIF($F102,Employee!$U$1,"Y")*12*30+DATEDIF($F102,Employee!$U$1,"YM")*30+DATEDIF($F102,Employee!$U$1,"MD")+1,0)</f>
        <v>4440</v>
      </c>
      <c r="R102" s="51">
        <f>IF(F102&gt;0,IF(M102=$AG$23,0,IF($M102=$AF$23,DATEDIF($F102,Employee!$U$1,"D")-(DATEDIF($F102,Employee!$U$1,"D")*5/365)+1,DATEDIF($M102,Employee!$U$1,"D")-(DATEDIF($M102,Employee!$U$1,"D")*5/365)+1)),0)</f>
        <v>173.60273972602741</v>
      </c>
      <c r="S102" s="51">
        <f>IF($Q102&lt;=1800,($Q102/360*$K102)*0.5,($Q102-1800)/360*$K102+1800/360*$K102*0.5)</f>
        <v>398102.5</v>
      </c>
      <c r="T102" s="51">
        <f>IF($P102=21,0.0583333333333333*$R102*$K102/30,0.0833333333333333*$R102*$K102/30)</f>
        <v>13666.15234018264</v>
      </c>
      <c r="U102" s="55">
        <f>IFERROR(IF($R102&gt;=360,IF(O102&gt;4,IF($N102=$AH$23,VLOOKUP($E102,$AF$4:$AG$22,2,0)*4,VLOOKUP($E102,$AF$4:$AG$22,2,0)),IF($N102=$AH$23,VLOOKUP($E102,$AF$4:$AG$22,2,0)*O102,VLOOKUP($E102,$AF$4:$AG$22,2,0))),(IF(O102&gt;4,IF($N102=$AH$23,VLOOKUP($E102,$AF$4:$AG$22,2,0)*4,VLOOKUP($E102,$AF$4:$AG$22,2,0)),IF($N102=$AH$23,VLOOKUP($E102,$AF$4:$AG$22,2,0)*O102,VLOOKUP($E102,$AF$4:$AG$22,2,0))))/360*$R102),0)</f>
        <v>964.45966514459667</v>
      </c>
      <c r="V102" s="56">
        <f>IF(F102&gt;0,DATEDIF($F102,Employee!$Z$1,"Y")*12*30+DATEDIF($F102,Employee!$Z$1,"YM")*30+DATEDIF($F102,Employee!$Z$1,"MD")+1,0)</f>
        <v>4471</v>
      </c>
      <c r="W102" s="51">
        <f>IF(F102&gt;0,IF(M102=$AG$23,0,IF($M102=$AF$23,DATEDIF($F102,Employee!$Z$1,"D")-(DATEDIF($F102,Employee!$Z$1,"D")*5/365)+1,DATEDIF($M102,Employee!$Z$1,"D")-(DATEDIF($M102,Employee!$Z$1,"D")*5/365)+1)),0)</f>
        <v>204.17808219178082</v>
      </c>
      <c r="X102" s="51">
        <f>IF($V102&lt;=1800,($V102/360*$K102)*0.5,($V102-1800)/360*$K102+1800/360*$K102*0.5)</f>
        <v>401588.70833333331</v>
      </c>
      <c r="Y102" s="51">
        <f>IF($P102=21,0.0583333333333333*$W102*$K102/30,0.0833333333333333*$W102*$K102/30)</f>
        <v>16073.068778538804</v>
      </c>
      <c r="Z102" s="51">
        <f>IFERROR(IF($W102&gt;=360,IF(O102&gt;4,IF($N102=$AH$23,VLOOKUP($E102,$AF$4:$AG$22,2,0)*4,VLOOKUP($E102,$AF$4:$AG$22,2,0)),IF($N102=$AH$23,VLOOKUP($E102,$AF$4:$AG$22,2,0)*O102,VLOOKUP($E102,$AF$4:$AG$22,2,0))),(IF(O102&gt;4,IF($N102=$AH$23,VLOOKUP($E102,$AF$4:$AG$22,2,0)*4,VLOOKUP($E102,$AF$4:$AG$22,2,0)),IF($N102=$AH$23,VLOOKUP($E102,$AF$4:$AG$22,2,0)*O102,VLOOKUP($E102,$AF$4:$AG$22,2,0))))/360*$W102),0)</f>
        <v>1134.3226788432266</v>
      </c>
      <c r="AA102" s="57">
        <f>Table1[[#This Row],[نهاية الخدمة2]]-Table1[[#This Row],[نهاية الخدمة]]</f>
        <v>3486.2083333333139</v>
      </c>
      <c r="AB102" s="57">
        <f>Table1[[#This Row],[رصيد اجازات2]]-Table1[[#This Row],[رصيد اجازات]]</f>
        <v>2406.9164383561638</v>
      </c>
      <c r="AC102" s="58">
        <f>Table1[[#This Row],[تذاكر سفر2]]-Table1[[#This Row],[تذاكر سفر]]</f>
        <v>169.86301369862997</v>
      </c>
      <c r="AD102" s="5"/>
      <c r="AE102" s="5"/>
      <c r="AF102" s="5"/>
      <c r="AG102" s="5"/>
    </row>
    <row r="103" spans="1:33" ht="21.95" customHeight="1" x14ac:dyDescent="0.35">
      <c r="A103" s="32">
        <f>SUBTOTAL(3,C$3:$C103)</f>
        <v>101</v>
      </c>
      <c r="B103" s="30" t="s">
        <v>177</v>
      </c>
      <c r="C103" s="31" t="s">
        <v>72</v>
      </c>
      <c r="D103" s="45">
        <v>111101101102</v>
      </c>
      <c r="E103" s="46" t="s">
        <v>27</v>
      </c>
      <c r="F103" s="47">
        <v>40179</v>
      </c>
      <c r="G103" s="46">
        <v>5026</v>
      </c>
      <c r="H103" s="46">
        <v>1001</v>
      </c>
      <c r="I103" s="46">
        <v>500</v>
      </c>
      <c r="J103" s="46">
        <v>0</v>
      </c>
      <c r="K103" s="46">
        <f t="shared" si="3"/>
        <v>6527</v>
      </c>
      <c r="L103" s="47">
        <v>44165</v>
      </c>
      <c r="M103" s="47">
        <v>44256</v>
      </c>
      <c r="N103" s="46" t="s">
        <v>24</v>
      </c>
      <c r="O103" s="46">
        <v>0</v>
      </c>
      <c r="P103" s="48">
        <v>21</v>
      </c>
      <c r="Q103" s="46">
        <f>IF(F103&gt;0,DATEDIF($F103,Employee!$U$1,"Y")*12*30+DATEDIF($F103,Employee!$U$1,"YM")*30+DATEDIF($F103,Employee!$U$1,"MD")+1,0)</f>
        <v>4440</v>
      </c>
      <c r="R103" s="46">
        <f>IF(F103&gt;0,IF(M103=$AG$23,0,IF($M103=$AF$23,DATEDIF($F103,Employee!$U$1,"D")-(DATEDIF($F103,Employee!$U$1,"D")*5/365)+1,DATEDIF($M103,Employee!$U$1,"D")-(DATEDIF($M103,Employee!$U$1,"D")*5/365)+1)),0)</f>
        <v>420.17808219178085</v>
      </c>
      <c r="S103" s="46">
        <f>IF($Q103&lt;=1800,($Q103/360*$K103)*0.5,($Q103-1800)/360*$K103+1800/360*$K103*0.5)</f>
        <v>64182.166666666664</v>
      </c>
      <c r="T103" s="46">
        <f>IF($P103=21,0.0583333333333333*$R103*$K103/30,0.0833333333333333*$R103*$K103/30)</f>
        <v>5332.643443683407</v>
      </c>
      <c r="U103" s="46">
        <f>IFERROR(IF($R103&gt;=360,IF(O103&gt;4,IF($N103=$AH$23,VLOOKUP($E103,$AF$4:$AG$22,2,0)*4,VLOOKUP($E103,$AF$4:$AG$22,2,0)),IF($N103=$AH$23,VLOOKUP($E103,$AF$4:$AG$22,2,0)*O103,VLOOKUP($E103,$AF$4:$AG$22,2,0))),(IF(O103&gt;4,IF($N103=$AH$23,VLOOKUP($E103,$AF$4:$AG$22,2,0)*4,VLOOKUP($E103,$AF$4:$AG$22,2,0)),IF($N103=$AH$23,VLOOKUP($E103,$AF$4:$AG$22,2,0)*O103,VLOOKUP($E103,$AF$4:$AG$22,2,0))))/360*$R103),0)</f>
        <v>2000</v>
      </c>
      <c r="V103" s="46">
        <f>IF(F103&gt;0,DATEDIF($F103,Employee!$Z$1,"Y")*12*30+DATEDIF($F103,Employee!$Z$1,"YM")*30+DATEDIF($F103,Employee!$Z$1,"MD")+1,0)</f>
        <v>4471</v>
      </c>
      <c r="W103" s="46">
        <f>IF(F103&gt;0,IF(M103=$AG$23,0,IF($M103=$AF$23,DATEDIF($F103,Employee!$Z$1,"D")-(DATEDIF($F103,Employee!$Z$1,"D")*5/365)+1,DATEDIF($M103,Employee!$Z$1,"D")-(DATEDIF($M103,Employee!$Z$1,"D")*5/365)+1)),0)</f>
        <v>450.75342465753425</v>
      </c>
      <c r="X103" s="46">
        <f>IF($V103&lt;=1800,($V103/360*$K103)*0.5,($V103-1800)/360*$K103+1800/360*$K103*0.5)</f>
        <v>64744.213888888888</v>
      </c>
      <c r="Y103" s="46">
        <f>IF($P103=21,0.0583333333333333*$W103*$K103/30,0.0833333333333333*$W103*$K103/30)</f>
        <v>5720.6870053272423</v>
      </c>
      <c r="Z103" s="46">
        <f>IFERROR(IF($W103&gt;=360,IF(O103&gt;4,IF($N103=$AH$23,VLOOKUP($E103,$AF$4:$AG$22,2,0)*4,VLOOKUP($E103,$AF$4:$AG$22,2,0)),IF($N103=$AH$23,VLOOKUP($E103,$AF$4:$AG$22,2,0)*O103,VLOOKUP($E103,$AF$4:$AG$22,2,0))),(IF(O103&gt;4,IF($N103=$AH$23,VLOOKUP($E103,$AF$4:$AG$22,2,0)*4,VLOOKUP($E103,$AF$4:$AG$22,2,0)),IF($N103=$AH$23,VLOOKUP($E103,$AF$4:$AG$22,2,0)*O103,VLOOKUP($E103,$AF$4:$AG$22,2,0))))/360*$W103),0)</f>
        <v>2000</v>
      </c>
      <c r="AA103" s="49">
        <f>Table1[[#This Row],[نهاية الخدمة2]]-Table1[[#This Row],[نهاية الخدمة]]</f>
        <v>562.04722222222335</v>
      </c>
      <c r="AB103" s="49">
        <f>Table1[[#This Row],[رصيد اجازات2]]-Table1[[#This Row],[رصيد اجازات]]</f>
        <v>388.04356164383535</v>
      </c>
      <c r="AC103" s="49">
        <f>Table1[[#This Row],[تذاكر سفر2]]-Table1[[#This Row],[تذاكر سفر]]</f>
        <v>0</v>
      </c>
      <c r="AD103" s="5"/>
      <c r="AE103" s="5"/>
      <c r="AF103" s="5"/>
      <c r="AG103" s="5"/>
    </row>
    <row r="104" spans="1:33" ht="21.95" customHeight="1" x14ac:dyDescent="0.35">
      <c r="A104" s="32">
        <f>SUBTOTAL(3,C$3:$C104)</f>
        <v>102</v>
      </c>
      <c r="B104" s="30" t="s">
        <v>178</v>
      </c>
      <c r="C104" s="33" t="s">
        <v>73</v>
      </c>
      <c r="D104" s="50">
        <v>112201101102</v>
      </c>
      <c r="E104" s="51" t="s">
        <v>44</v>
      </c>
      <c r="F104" s="52">
        <v>40179</v>
      </c>
      <c r="G104" s="51">
        <v>35201</v>
      </c>
      <c r="H104" s="51">
        <v>5032</v>
      </c>
      <c r="I104" s="51">
        <v>252</v>
      </c>
      <c r="J104" s="51"/>
      <c r="K104" s="51">
        <f t="shared" si="3"/>
        <v>40485</v>
      </c>
      <c r="L104" s="52">
        <v>44401</v>
      </c>
      <c r="M104" s="52">
        <v>44432</v>
      </c>
      <c r="N104" s="51" t="s">
        <v>24</v>
      </c>
      <c r="O104" s="51">
        <v>0</v>
      </c>
      <c r="P104" s="53">
        <v>30</v>
      </c>
      <c r="Q104" s="54">
        <f>IF(F104&gt;0,DATEDIF($F104,Employee!$U$1,"Y")*12*30+DATEDIF($F104,Employee!$U$1,"YM")*30+DATEDIF($F104,Employee!$U$1,"MD")+1,0)</f>
        <v>4440</v>
      </c>
      <c r="R104" s="51">
        <f>IF(F104&gt;0,IF(M104=$AG$23,0,IF($M104=$AF$23,DATEDIF($F104,Employee!$U$1,"D")-(DATEDIF($F104,Employee!$U$1,"D")*5/365)+1,DATEDIF($M104,Employee!$U$1,"D")-(DATEDIF($M104,Employee!$U$1,"D")*5/365)+1)),0)</f>
        <v>246.58904109589042</v>
      </c>
      <c r="S104" s="51">
        <f>IF($Q104&lt;=1800,($Q104/360*$K104)*0.5,($Q104-1800)/360*$K104+1800/360*$K104*0.5)</f>
        <v>398102.5</v>
      </c>
      <c r="T104" s="51">
        <f>IF($P104=21,0.0583333333333333*$R104*$K104/30,0.0833333333333333*$R104*$K104/30)</f>
        <v>27730.992579908667</v>
      </c>
      <c r="U104" s="55">
        <f>IFERROR(IF($R104&gt;=360,IF(O104&gt;4,IF($N104=$AH$23,VLOOKUP($E104,$AF$4:$AG$22,2,0)*4,VLOOKUP($E104,$AF$4:$AG$22,2,0)),IF($N104=$AH$23,VLOOKUP($E104,$AF$4:$AG$22,2,0)*O104,VLOOKUP($E104,$AF$4:$AG$22,2,0))),(IF(O104&gt;4,IF($N104=$AH$23,VLOOKUP($E104,$AF$4:$AG$22,2,0)*4,VLOOKUP($E104,$AF$4:$AG$22,2,0)),IF($N104=$AH$23,VLOOKUP($E104,$AF$4:$AG$22,2,0)*O104,VLOOKUP($E104,$AF$4:$AG$22,2,0))))/360*$R104),0)</f>
        <v>0</v>
      </c>
      <c r="V104" s="56">
        <f>IF(F104&gt;0,DATEDIF($F104,Employee!$Z$1,"Y")*12*30+DATEDIF($F104,Employee!$Z$1,"YM")*30+DATEDIF($F104,Employee!$Z$1,"MD")+1,0)</f>
        <v>4471</v>
      </c>
      <c r="W104" s="51">
        <f>IF(F104&gt;0,IF(M104=$AG$23,0,IF($M104=$AF$23,DATEDIF($F104,Employee!$Z$1,"D")-(DATEDIF($F104,Employee!$Z$1,"D")*5/365)+1,DATEDIF($M104,Employee!$Z$1,"D")-(DATEDIF($M104,Employee!$Z$1,"D")*5/365)+1)),0)</f>
        <v>277.16438356164383</v>
      </c>
      <c r="X104" s="51">
        <f>IF($V104&lt;=1800,($V104/360*$K104)*0.5,($V104-1800)/360*$K104+1800/360*$K104*0.5)</f>
        <v>401588.70833333331</v>
      </c>
      <c r="Y104" s="51">
        <f>IF($P104=21,0.0583333333333333*$W104*$K104/30,0.0833333333333333*$W104*$K104/30)</f>
        <v>31169.444634703184</v>
      </c>
      <c r="Z104" s="51">
        <f>IFERROR(IF($W104&gt;=360,IF(O104&gt;4,IF($N104=$AH$23,VLOOKUP($E104,$AF$4:$AG$22,2,0)*4,VLOOKUP($E104,$AF$4:$AG$22,2,0)),IF($N104=$AH$23,VLOOKUP($E104,$AF$4:$AG$22,2,0)*O104,VLOOKUP($E104,$AF$4:$AG$22,2,0))),(IF(O104&gt;4,IF($N104=$AH$23,VLOOKUP($E104,$AF$4:$AG$22,2,0)*4,VLOOKUP($E104,$AF$4:$AG$22,2,0)),IF($N104=$AH$23,VLOOKUP($E104,$AF$4:$AG$22,2,0)*O104,VLOOKUP($E104,$AF$4:$AG$22,2,0))))/360*$W104),0)</f>
        <v>0</v>
      </c>
      <c r="AA104" s="57">
        <f>Table1[[#This Row],[نهاية الخدمة2]]-Table1[[#This Row],[نهاية الخدمة]]</f>
        <v>3486.2083333333139</v>
      </c>
      <c r="AB104" s="57">
        <f>Table1[[#This Row],[رصيد اجازات2]]-Table1[[#This Row],[رصيد اجازات]]</f>
        <v>3438.4520547945176</v>
      </c>
      <c r="AC104" s="58">
        <f>Table1[[#This Row],[تذاكر سفر2]]-Table1[[#This Row],[تذاكر سفر]]</f>
        <v>0</v>
      </c>
      <c r="AD104" s="5"/>
      <c r="AE104" s="5"/>
      <c r="AF104" s="5"/>
      <c r="AG104" s="5"/>
    </row>
    <row r="105" spans="1:33" ht="21.95" customHeight="1" x14ac:dyDescent="0.35">
      <c r="A105" s="32">
        <f>SUBTOTAL(3,C$3:$C105)</f>
        <v>103</v>
      </c>
      <c r="B105" s="30" t="s">
        <v>179</v>
      </c>
      <c r="C105" s="33" t="s">
        <v>74</v>
      </c>
      <c r="D105" s="45">
        <v>113301101102</v>
      </c>
      <c r="E105" s="46" t="s">
        <v>31</v>
      </c>
      <c r="F105" s="47">
        <v>40179</v>
      </c>
      <c r="G105" s="46">
        <v>5026</v>
      </c>
      <c r="H105" s="46">
        <v>1001</v>
      </c>
      <c r="I105" s="46">
        <v>500</v>
      </c>
      <c r="J105" s="46"/>
      <c r="K105" s="46">
        <f t="shared" si="3"/>
        <v>6527</v>
      </c>
      <c r="L105" s="47" t="s">
        <v>21</v>
      </c>
      <c r="M105" s="47" t="s">
        <v>21</v>
      </c>
      <c r="N105" s="46" t="s">
        <v>24</v>
      </c>
      <c r="O105" s="46">
        <v>0</v>
      </c>
      <c r="P105" s="48">
        <v>30</v>
      </c>
      <c r="Q105" s="46">
        <f>IF(F105&gt;0,DATEDIF($F105,Employee!$U$1,"Y")*12*30+DATEDIF($F105,Employee!$U$1,"YM")*30+DATEDIF($F105,Employee!$U$1,"MD")+1,0)</f>
        <v>4440</v>
      </c>
      <c r="R105" s="46">
        <f>IF(F105&gt;0,IF(M105=$AG$23,0,IF($M105=$AF$23,DATEDIF($F105,Employee!$U$1,"D")-(DATEDIF($F105,Employee!$U$1,"D")*5/365)+1,DATEDIF($M105,Employee!$U$1,"D")-(DATEDIF($M105,Employee!$U$1,"D")*5/365)+1)),0)</f>
        <v>4441.3287671232874</v>
      </c>
      <c r="S105" s="46">
        <f>IF($Q105&lt;=1800,($Q105/360*$K105)*0.5,($Q105-1800)/360*$K105+1800/360*$K105*0.5)</f>
        <v>64182.166666666664</v>
      </c>
      <c r="T105" s="46">
        <f>IF($P105=21,0.0583333333333333*$R105*$K105/30,0.0833333333333333*$R105*$K105/30)</f>
        <v>80523.757952815795</v>
      </c>
      <c r="U105" s="46">
        <f>IFERROR(IF($R105&gt;=360,IF(O105&gt;4,IF($N105=$AH$23,VLOOKUP($E105,$AF$4:$AG$22,2,0)*4,VLOOKUP($E105,$AF$4:$AG$22,2,0)),IF($N105=$AH$23,VLOOKUP($E105,$AF$4:$AG$22,2,0)*O105,VLOOKUP($E105,$AF$4:$AG$22,2,0))),(IF(O105&gt;4,IF($N105=$AH$23,VLOOKUP($E105,$AF$4:$AG$22,2,0)*4,VLOOKUP($E105,$AF$4:$AG$22,2,0)),IF($N105=$AH$23,VLOOKUP($E105,$AF$4:$AG$22,2,0)*O105,VLOOKUP($E105,$AF$4:$AG$22,2,0))))/360*$R105),0)</f>
        <v>2000</v>
      </c>
      <c r="V105" s="46">
        <f>IF(F105&gt;0,DATEDIF($F105,Employee!$Z$1,"Y")*12*30+DATEDIF($F105,Employee!$Z$1,"YM")*30+DATEDIF($F105,Employee!$Z$1,"MD")+1,0)</f>
        <v>4471</v>
      </c>
      <c r="W105" s="46">
        <f>IF(F105&gt;0,IF(M105=$AG$23,0,IF($M105=$AF$23,DATEDIF($F105,Employee!$Z$1,"D")-(DATEDIF($F105,Employee!$Z$1,"D")*5/365)+1,DATEDIF($M105,Employee!$Z$1,"D")-(DATEDIF($M105,Employee!$Z$1,"D")*5/365)+1)),0)</f>
        <v>4471.9041095890407</v>
      </c>
      <c r="X105" s="46">
        <f>IF($V105&lt;=1800,($V105/360*$K105)*0.5,($V105-1800)/360*$K105+1800/360*$K105*0.5)</f>
        <v>64744.213888888888</v>
      </c>
      <c r="Y105" s="46">
        <f>IF($P105=21,0.0583333333333333*$W105*$K105/30,0.0833333333333333*$W105*$K105/30)</f>
        <v>81078.105898021269</v>
      </c>
      <c r="Z105" s="46">
        <f>IFERROR(IF($W105&gt;=360,IF(O105&gt;4,IF($N105=$AH$23,VLOOKUP($E105,$AF$4:$AG$22,2,0)*4,VLOOKUP($E105,$AF$4:$AG$22,2,0)),IF($N105=$AH$23,VLOOKUP($E105,$AF$4:$AG$22,2,0)*O105,VLOOKUP($E105,$AF$4:$AG$22,2,0))),(IF(O105&gt;4,IF($N105=$AH$23,VLOOKUP($E105,$AF$4:$AG$22,2,0)*4,VLOOKUP($E105,$AF$4:$AG$22,2,0)),IF($N105=$AH$23,VLOOKUP($E105,$AF$4:$AG$22,2,0)*O105,VLOOKUP($E105,$AF$4:$AG$22,2,0))))/360*$W105),0)</f>
        <v>2000</v>
      </c>
      <c r="AA105" s="49">
        <f>Table1[[#This Row],[نهاية الخدمة2]]-Table1[[#This Row],[نهاية الخدمة]]</f>
        <v>562.04722222222335</v>
      </c>
      <c r="AB105" s="49">
        <f>Table1[[#This Row],[رصيد اجازات2]]-Table1[[#This Row],[رصيد اجازات]]</f>
        <v>554.34794520547439</v>
      </c>
      <c r="AC105" s="49">
        <f>Table1[[#This Row],[تذاكر سفر2]]-Table1[[#This Row],[تذاكر سفر]]</f>
        <v>0</v>
      </c>
      <c r="AD105" s="5"/>
      <c r="AE105" s="5"/>
      <c r="AF105" s="5"/>
      <c r="AG105" s="5"/>
    </row>
    <row r="106" spans="1:33" ht="21.95" customHeight="1" x14ac:dyDescent="0.35">
      <c r="A106" s="32">
        <f>SUBTOTAL(3,C$3:$C106)</f>
        <v>104</v>
      </c>
      <c r="B106" s="30" t="s">
        <v>180</v>
      </c>
      <c r="C106" s="34" t="s">
        <v>75</v>
      </c>
      <c r="D106" s="50">
        <v>114401101102</v>
      </c>
      <c r="E106" s="51" t="s">
        <v>28</v>
      </c>
      <c r="F106" s="52">
        <v>40179</v>
      </c>
      <c r="G106" s="51">
        <v>35201</v>
      </c>
      <c r="H106" s="51">
        <v>5032</v>
      </c>
      <c r="I106" s="51">
        <v>252</v>
      </c>
      <c r="J106" s="51">
        <v>0</v>
      </c>
      <c r="K106" s="51">
        <f t="shared" si="3"/>
        <v>40485</v>
      </c>
      <c r="L106" s="52" t="s">
        <v>21</v>
      </c>
      <c r="M106" s="52" t="s">
        <v>21</v>
      </c>
      <c r="N106" s="51" t="s">
        <v>24</v>
      </c>
      <c r="O106" s="51">
        <v>0</v>
      </c>
      <c r="P106" s="53">
        <v>21</v>
      </c>
      <c r="Q106" s="54">
        <f>IF(F106&gt;0,DATEDIF($F106,Employee!$U$1,"Y")*12*30+DATEDIF($F106,Employee!$U$1,"YM")*30+DATEDIF($F106,Employee!$U$1,"MD")+1,0)</f>
        <v>4440</v>
      </c>
      <c r="R106" s="51">
        <f>IF(F106&gt;0,IF(M106=$AG$23,0,IF($M106=$AF$23,DATEDIF($F106,Employee!$U$1,"D")-(DATEDIF($F106,Employee!$U$1,"D")*5/365)+1,DATEDIF($M106,Employee!$U$1,"D")-(DATEDIF($M106,Employee!$U$1,"D")*5/365)+1)),0)</f>
        <v>4441.3287671232874</v>
      </c>
      <c r="S106" s="51">
        <f>IF($Q106&lt;=1800,($Q106/360*$K106)*0.5,($Q106-1800)/360*$K106+1800/360*$K106*0.5)</f>
        <v>398102.5</v>
      </c>
      <c r="T106" s="51">
        <f>IF($P106=21,0.0583333333333333*$R106*$K106/30,0.0833333333333333*$R106*$K106/30)</f>
        <v>349625.10165525094</v>
      </c>
      <c r="U106" s="55">
        <f>IFERROR(IF($R106&gt;=360,IF(O106&gt;4,IF($N106=$AH$23,VLOOKUP($E106,$AF$4:$AG$22,2,0)*4,VLOOKUP($E106,$AF$4:$AG$22,2,0)),IF($N106=$AH$23,VLOOKUP($E106,$AF$4:$AG$22,2,0)*O106,VLOOKUP($E106,$AF$4:$AG$22,2,0))),(IF(O106&gt;4,IF($N106=$AH$23,VLOOKUP($E106,$AF$4:$AG$22,2,0)*4,VLOOKUP($E106,$AF$4:$AG$22,2,0)),IF($N106=$AH$23,VLOOKUP($E106,$AF$4:$AG$22,2,0)*O106,VLOOKUP($E106,$AF$4:$AG$22,2,0))))/360*$R106),0)</f>
        <v>1800</v>
      </c>
      <c r="V106" s="56">
        <f>IF(F106&gt;0,DATEDIF($F106,Employee!$Z$1,"Y")*12*30+DATEDIF($F106,Employee!$Z$1,"YM")*30+DATEDIF($F106,Employee!$Z$1,"MD")+1,0)</f>
        <v>4471</v>
      </c>
      <c r="W106" s="51">
        <f>IF(F106&gt;0,IF(M106=$AG$23,0,IF($M106=$AF$23,DATEDIF($F106,Employee!$Z$1,"D")-(DATEDIF($F106,Employee!$Z$1,"D")*5/365)+1,DATEDIF($M106,Employee!$Z$1,"D")-(DATEDIF($M106,Employee!$Z$1,"D")*5/365)+1)),0)</f>
        <v>4471.9041095890407</v>
      </c>
      <c r="X106" s="51">
        <f>IF($V106&lt;=1800,($V106/360*$K106)*0.5,($V106-1800)/360*$K106+1800/360*$K106*0.5)</f>
        <v>401588.70833333331</v>
      </c>
      <c r="Y106" s="51">
        <f>IF($P106=21,0.0583333333333333*$W106*$K106/30,0.0833333333333333*$W106*$K106/30)</f>
        <v>352032.01809360704</v>
      </c>
      <c r="Z106" s="51">
        <f>IFERROR(IF($W106&gt;=360,IF(O106&gt;4,IF($N106=$AH$23,VLOOKUP($E106,$AF$4:$AG$22,2,0)*4,VLOOKUP($E106,$AF$4:$AG$22,2,0)),IF($N106=$AH$23,VLOOKUP($E106,$AF$4:$AG$22,2,0)*O106,VLOOKUP($E106,$AF$4:$AG$22,2,0))),(IF(O106&gt;4,IF($N106=$AH$23,VLOOKUP($E106,$AF$4:$AG$22,2,0)*4,VLOOKUP($E106,$AF$4:$AG$22,2,0)),IF($N106=$AH$23,VLOOKUP($E106,$AF$4:$AG$22,2,0)*O106,VLOOKUP($E106,$AF$4:$AG$22,2,0))))/360*$W106),0)</f>
        <v>1800</v>
      </c>
      <c r="AA106" s="57">
        <f>Table1[[#This Row],[نهاية الخدمة2]]-Table1[[#This Row],[نهاية الخدمة]]</f>
        <v>3486.2083333333139</v>
      </c>
      <c r="AB106" s="57">
        <f>Table1[[#This Row],[رصيد اجازات2]]-Table1[[#This Row],[رصيد اجازات]]</f>
        <v>2406.9164383561001</v>
      </c>
      <c r="AC106" s="58">
        <f>Table1[[#This Row],[تذاكر سفر2]]-Table1[[#This Row],[تذاكر سفر]]</f>
        <v>0</v>
      </c>
      <c r="AD106" s="5"/>
      <c r="AE106" s="5"/>
      <c r="AF106" s="5"/>
      <c r="AG106" s="5"/>
    </row>
    <row r="107" spans="1:33" ht="21.95" customHeight="1" x14ac:dyDescent="0.35">
      <c r="A107" s="32">
        <f>SUBTOTAL(3,C$3:$C107)</f>
        <v>105</v>
      </c>
      <c r="B107" s="30" t="s">
        <v>181</v>
      </c>
      <c r="C107" s="33" t="s">
        <v>76</v>
      </c>
      <c r="D107" s="45">
        <v>115501101102</v>
      </c>
      <c r="E107" s="46" t="s">
        <v>45</v>
      </c>
      <c r="F107" s="47">
        <v>40179</v>
      </c>
      <c r="G107" s="46">
        <v>5026</v>
      </c>
      <c r="H107" s="46">
        <v>1001</v>
      </c>
      <c r="I107" s="46">
        <v>500</v>
      </c>
      <c r="J107" s="46">
        <v>0</v>
      </c>
      <c r="K107" s="46">
        <f t="shared" si="3"/>
        <v>6527</v>
      </c>
      <c r="L107" s="47" t="s">
        <v>21</v>
      </c>
      <c r="M107" s="47" t="s">
        <v>21</v>
      </c>
      <c r="N107" s="46" t="s">
        <v>24</v>
      </c>
      <c r="O107" s="46">
        <v>0</v>
      </c>
      <c r="P107" s="48">
        <v>30</v>
      </c>
      <c r="Q107" s="46">
        <f>IF(F107&gt;0,DATEDIF($F107,Employee!$U$1,"Y")*12*30+DATEDIF($F107,Employee!$U$1,"YM")*30+DATEDIF($F107,Employee!$U$1,"MD")+1,0)</f>
        <v>4440</v>
      </c>
      <c r="R107" s="46">
        <f>IF(F107&gt;0,IF(M107=$AG$23,0,IF($M107=$AF$23,DATEDIF($F107,Employee!$U$1,"D")-(DATEDIF($F107,Employee!$U$1,"D")*5/365)+1,DATEDIF($M107,Employee!$U$1,"D")-(DATEDIF($M107,Employee!$U$1,"D")*5/365)+1)),0)</f>
        <v>4441.3287671232874</v>
      </c>
      <c r="S107" s="46">
        <f>IF($Q107&lt;=1800,($Q107/360*$K107)*0.5,($Q107-1800)/360*$K107+1800/360*$K107*0.5)</f>
        <v>64182.166666666664</v>
      </c>
      <c r="T107" s="46">
        <f>IF($P107=21,0.0583333333333333*$R107*$K107/30,0.0833333333333333*$R107*$K107/30)</f>
        <v>80523.757952815795</v>
      </c>
      <c r="U107" s="46">
        <f>IFERROR(IF($R107&gt;=360,IF(O107&gt;4,IF($N107=$AH$23,VLOOKUP($E107,$AF$4:$AG$22,2,0)*4,VLOOKUP($E107,$AF$4:$AG$22,2,0)),IF($N107=$AH$23,VLOOKUP($E107,$AF$4:$AG$22,2,0)*O107,VLOOKUP($E107,$AF$4:$AG$22,2,0))),(IF(O107&gt;4,IF($N107=$AH$23,VLOOKUP($E107,$AF$4:$AG$22,2,0)*4,VLOOKUP($E107,$AF$4:$AG$22,2,0)),IF($N107=$AH$23,VLOOKUP($E107,$AF$4:$AG$22,2,0)*O107,VLOOKUP($E107,$AF$4:$AG$22,2,0))))/360*$R107),0)</f>
        <v>1500</v>
      </c>
      <c r="V107" s="46">
        <f>IF(F107&gt;0,DATEDIF($F107,Employee!$Z$1,"Y")*12*30+DATEDIF($F107,Employee!$Z$1,"YM")*30+DATEDIF($F107,Employee!$Z$1,"MD")+1,0)</f>
        <v>4471</v>
      </c>
      <c r="W107" s="46">
        <f>IF(F107&gt;0,IF(M107=$AG$23,0,IF($M107=$AF$23,DATEDIF($F107,Employee!$Z$1,"D")-(DATEDIF($F107,Employee!$Z$1,"D")*5/365)+1,DATEDIF($M107,Employee!$Z$1,"D")-(DATEDIF($M107,Employee!$Z$1,"D")*5/365)+1)),0)</f>
        <v>4471.9041095890407</v>
      </c>
      <c r="X107" s="46">
        <f>IF($V107&lt;=1800,($V107/360*$K107)*0.5,($V107-1800)/360*$K107+1800/360*$K107*0.5)</f>
        <v>64744.213888888888</v>
      </c>
      <c r="Y107" s="46">
        <f>IF($P107=21,0.0583333333333333*$W107*$K107/30,0.0833333333333333*$W107*$K107/30)</f>
        <v>81078.105898021269</v>
      </c>
      <c r="Z107" s="46">
        <f>IFERROR(IF($W107&gt;=360,IF(O107&gt;4,IF($N107=$AH$23,VLOOKUP($E107,$AF$4:$AG$22,2,0)*4,VLOOKUP($E107,$AF$4:$AG$22,2,0)),IF($N107=$AH$23,VLOOKUP($E107,$AF$4:$AG$22,2,0)*O107,VLOOKUP($E107,$AF$4:$AG$22,2,0))),(IF(O107&gt;4,IF($N107=$AH$23,VLOOKUP($E107,$AF$4:$AG$22,2,0)*4,VLOOKUP($E107,$AF$4:$AG$22,2,0)),IF($N107=$AH$23,VLOOKUP($E107,$AF$4:$AG$22,2,0)*O107,VLOOKUP($E107,$AF$4:$AG$22,2,0))))/360*$W107),0)</f>
        <v>1500</v>
      </c>
      <c r="AA107" s="49">
        <f>Table1[[#This Row],[نهاية الخدمة2]]-Table1[[#This Row],[نهاية الخدمة]]</f>
        <v>562.04722222222335</v>
      </c>
      <c r="AB107" s="49">
        <f>Table1[[#This Row],[رصيد اجازات2]]-Table1[[#This Row],[رصيد اجازات]]</f>
        <v>554.34794520547439</v>
      </c>
      <c r="AC107" s="49">
        <f>Table1[[#This Row],[تذاكر سفر2]]-Table1[[#This Row],[تذاكر سفر]]</f>
        <v>0</v>
      </c>
      <c r="AD107" s="5"/>
      <c r="AE107" s="5"/>
      <c r="AF107" s="5"/>
      <c r="AG107" s="5"/>
    </row>
    <row r="108" spans="1:33" ht="21.95" customHeight="1" x14ac:dyDescent="0.35">
      <c r="A108" s="32">
        <f>SUBTOTAL(3,C$3:$C108)</f>
        <v>106</v>
      </c>
      <c r="B108" s="30" t="s">
        <v>182</v>
      </c>
      <c r="C108" s="31" t="s">
        <v>72</v>
      </c>
      <c r="D108" s="50">
        <v>116601101102</v>
      </c>
      <c r="E108" s="51" t="s">
        <v>30</v>
      </c>
      <c r="F108" s="52">
        <v>40179</v>
      </c>
      <c r="G108" s="51">
        <v>35201</v>
      </c>
      <c r="H108" s="51">
        <v>5032</v>
      </c>
      <c r="I108" s="51">
        <v>252</v>
      </c>
      <c r="J108" s="51">
        <v>0</v>
      </c>
      <c r="K108" s="51">
        <f t="shared" si="3"/>
        <v>40485</v>
      </c>
      <c r="L108" s="52" t="s">
        <v>21</v>
      </c>
      <c r="M108" s="52" t="s">
        <v>21</v>
      </c>
      <c r="N108" s="51" t="s">
        <v>24</v>
      </c>
      <c r="O108" s="51">
        <v>0</v>
      </c>
      <c r="P108" s="53">
        <v>21</v>
      </c>
      <c r="Q108" s="54">
        <f>IF(F108&gt;0,DATEDIF($F108,Employee!$U$1,"Y")*12*30+DATEDIF($F108,Employee!$U$1,"YM")*30+DATEDIF($F108,Employee!$U$1,"MD")+1,0)</f>
        <v>4440</v>
      </c>
      <c r="R108" s="51">
        <f>IF(F108&gt;0,IF(M108=$AG$23,0,IF($M108=$AF$23,DATEDIF($F108,Employee!$U$1,"D")-(DATEDIF($F108,Employee!$U$1,"D")*5/365)+1,DATEDIF($M108,Employee!$U$1,"D")-(DATEDIF($M108,Employee!$U$1,"D")*5/365)+1)),0)</f>
        <v>4441.3287671232874</v>
      </c>
      <c r="S108" s="51">
        <f>IF($Q108&lt;=1800,($Q108/360*$K108)*0.5,($Q108-1800)/360*$K108+1800/360*$K108*0.5)</f>
        <v>398102.5</v>
      </c>
      <c r="T108" s="51">
        <f>IF($P108=21,0.0583333333333333*$R108*$K108/30,0.0833333333333333*$R108*$K108/30)</f>
        <v>349625.10165525094</v>
      </c>
      <c r="U108" s="55">
        <f>IFERROR(IF($R108&gt;=360,IF(O108&gt;4,IF($N108=$AH$23,VLOOKUP($E108,$AF$4:$AG$22,2,0)*4,VLOOKUP($E108,$AF$4:$AG$22,2,0)),IF($N108=$AH$23,VLOOKUP($E108,$AF$4:$AG$22,2,0)*O108,VLOOKUP($E108,$AF$4:$AG$22,2,0))),(IF(O108&gt;4,IF($N108=$AH$23,VLOOKUP($E108,$AF$4:$AG$22,2,0)*4,VLOOKUP($E108,$AF$4:$AG$22,2,0)),IF($N108=$AH$23,VLOOKUP($E108,$AF$4:$AG$22,2,0)*O108,VLOOKUP($E108,$AF$4:$AG$22,2,0))))/360*$R108),0)</f>
        <v>0</v>
      </c>
      <c r="V108" s="56">
        <f>IF(F108&gt;0,DATEDIF($F108,Employee!$Z$1,"Y")*12*30+DATEDIF($F108,Employee!$Z$1,"YM")*30+DATEDIF($F108,Employee!$Z$1,"MD")+1,0)</f>
        <v>4471</v>
      </c>
      <c r="W108" s="51">
        <f>IF(F108&gt;0,IF(M108=$AG$23,0,IF($M108=$AF$23,DATEDIF($F108,Employee!$Z$1,"D")-(DATEDIF($F108,Employee!$Z$1,"D")*5/365)+1,DATEDIF($M108,Employee!$Z$1,"D")-(DATEDIF($M108,Employee!$Z$1,"D")*5/365)+1)),0)</f>
        <v>4471.9041095890407</v>
      </c>
      <c r="X108" s="51">
        <f>IF($V108&lt;=1800,($V108/360*$K108)*0.5,($V108-1800)/360*$K108+1800/360*$K108*0.5)</f>
        <v>401588.70833333331</v>
      </c>
      <c r="Y108" s="51">
        <f>IF($P108=21,0.0583333333333333*$W108*$K108/30,0.0833333333333333*$W108*$K108/30)</f>
        <v>352032.01809360704</v>
      </c>
      <c r="Z108" s="51">
        <f>IFERROR(IF($W108&gt;=360,IF(O108&gt;4,IF($N108=$AH$23,VLOOKUP($E108,$AF$4:$AG$22,2,0)*4,VLOOKUP($E108,$AF$4:$AG$22,2,0)),IF($N108=$AH$23,VLOOKUP($E108,$AF$4:$AG$22,2,0)*O108,VLOOKUP($E108,$AF$4:$AG$22,2,0))),(IF(O108&gt;4,IF($N108=$AH$23,VLOOKUP($E108,$AF$4:$AG$22,2,0)*4,VLOOKUP($E108,$AF$4:$AG$22,2,0)),IF($N108=$AH$23,VLOOKUP($E108,$AF$4:$AG$22,2,0)*O108,VLOOKUP($E108,$AF$4:$AG$22,2,0))))/360*$W108),0)</f>
        <v>0</v>
      </c>
      <c r="AA108" s="57">
        <f>Table1[[#This Row],[نهاية الخدمة2]]-Table1[[#This Row],[نهاية الخدمة]]</f>
        <v>3486.2083333333139</v>
      </c>
      <c r="AB108" s="57">
        <f>Table1[[#This Row],[رصيد اجازات2]]-Table1[[#This Row],[رصيد اجازات]]</f>
        <v>2406.9164383561001</v>
      </c>
      <c r="AC108" s="58">
        <f>Table1[[#This Row],[تذاكر سفر2]]-Table1[[#This Row],[تذاكر سفر]]</f>
        <v>0</v>
      </c>
      <c r="AD108" s="5"/>
      <c r="AE108" s="5"/>
      <c r="AF108" s="5"/>
      <c r="AG108" s="5"/>
    </row>
    <row r="109" spans="1:33" ht="21.95" customHeight="1" x14ac:dyDescent="0.35">
      <c r="A109" s="32">
        <f>SUBTOTAL(3,C$3:$C109)</f>
        <v>107</v>
      </c>
      <c r="B109" s="30" t="s">
        <v>183</v>
      </c>
      <c r="C109" s="33" t="s">
        <v>73</v>
      </c>
      <c r="D109" s="45">
        <v>117701101102</v>
      </c>
      <c r="E109" s="46" t="s">
        <v>23</v>
      </c>
      <c r="F109" s="47">
        <v>40179</v>
      </c>
      <c r="G109" s="46">
        <v>5026</v>
      </c>
      <c r="H109" s="46">
        <v>1001</v>
      </c>
      <c r="I109" s="46">
        <v>500</v>
      </c>
      <c r="J109" s="46">
        <v>0</v>
      </c>
      <c r="K109" s="46">
        <f t="shared" si="3"/>
        <v>6527</v>
      </c>
      <c r="L109" s="47">
        <v>43891</v>
      </c>
      <c r="M109" s="47">
        <v>43891</v>
      </c>
      <c r="N109" s="46" t="s">
        <v>24</v>
      </c>
      <c r="O109" s="46">
        <v>0</v>
      </c>
      <c r="P109" s="48">
        <v>21</v>
      </c>
      <c r="Q109" s="46">
        <f>IF(F109&gt;0,DATEDIF($F109,Employee!$U$1,"Y")*12*30+DATEDIF($F109,Employee!$U$1,"YM")*30+DATEDIF($F109,Employee!$U$1,"MD")+1,0)</f>
        <v>4440</v>
      </c>
      <c r="R109" s="46">
        <f>IF(F109&gt;0,IF(M109=$AG$23,0,IF($M109=$AF$23,DATEDIF($F109,Employee!$U$1,"D")-(DATEDIF($F109,Employee!$U$1,"D")*5/365)+1,DATEDIF($M109,Employee!$U$1,"D")-(DATEDIF($M109,Employee!$U$1,"D")*5/365)+1)),0)</f>
        <v>780.17808219178085</v>
      </c>
      <c r="S109" s="46">
        <f>IF($Q109&lt;=1800,($Q109/360*$K109)*0.5,($Q109-1800)/360*$K109+1800/360*$K109*0.5)</f>
        <v>64182.166666666664</v>
      </c>
      <c r="T109" s="46">
        <f>IF($P109=21,0.0583333333333333*$R109*$K109/30,0.0833333333333333*$R109*$K109/30)</f>
        <v>9901.5434436834057</v>
      </c>
      <c r="U109" s="46">
        <f>IFERROR(IF($R109&gt;=360,IF(O109&gt;4,IF($N109=$AH$23,VLOOKUP($E109,$AF$4:$AG$22,2,0)*4,VLOOKUP($E109,$AF$4:$AG$22,2,0)),IF($N109=$AH$23,VLOOKUP($E109,$AF$4:$AG$22,2,0)*O109,VLOOKUP($E109,$AF$4:$AG$22,2,0))),(IF(O109&gt;4,IF($N109=$AH$23,VLOOKUP($E109,$AF$4:$AG$22,2,0)*4,VLOOKUP($E109,$AF$4:$AG$22,2,0)),IF($N109=$AH$23,VLOOKUP($E109,$AF$4:$AG$22,2,0)*O109,VLOOKUP($E109,$AF$4:$AG$22,2,0))))/360*$R109),0)</f>
        <v>2250</v>
      </c>
      <c r="V109" s="46">
        <f>IF(F109&gt;0,DATEDIF($F109,Employee!$Z$1,"Y")*12*30+DATEDIF($F109,Employee!$Z$1,"YM")*30+DATEDIF($F109,Employee!$Z$1,"MD")+1,0)</f>
        <v>4471</v>
      </c>
      <c r="W109" s="46">
        <f>IF(F109&gt;0,IF(M109=$AG$23,0,IF($M109=$AF$23,DATEDIF($F109,Employee!$Z$1,"D")-(DATEDIF($F109,Employee!$Z$1,"D")*5/365)+1,DATEDIF($M109,Employee!$Z$1,"D")-(DATEDIF($M109,Employee!$Z$1,"D")*5/365)+1)),0)</f>
        <v>810.7534246575342</v>
      </c>
      <c r="X109" s="46">
        <f>IF($V109&lt;=1800,($V109/360*$K109)*0.5,($V109-1800)/360*$K109+1800/360*$K109*0.5)</f>
        <v>64744.213888888888</v>
      </c>
      <c r="Y109" s="46">
        <f>IF($P109=21,0.0583333333333333*$W109*$K109/30,0.0833333333333333*$W109*$K109/30)</f>
        <v>10289.587005327239</v>
      </c>
      <c r="Z109" s="46">
        <f>IFERROR(IF($W109&gt;=360,IF(O109&gt;4,IF($N109=$AH$23,VLOOKUP($E109,$AF$4:$AG$22,2,0)*4,VLOOKUP($E109,$AF$4:$AG$22,2,0)),IF($N109=$AH$23,VLOOKUP($E109,$AF$4:$AG$22,2,0)*O109,VLOOKUP($E109,$AF$4:$AG$22,2,0))),(IF(O109&gt;4,IF($N109=$AH$23,VLOOKUP($E109,$AF$4:$AG$22,2,0)*4,VLOOKUP($E109,$AF$4:$AG$22,2,0)),IF($N109=$AH$23,VLOOKUP($E109,$AF$4:$AG$22,2,0)*O109,VLOOKUP($E109,$AF$4:$AG$22,2,0))))/360*$W109),0)</f>
        <v>2250</v>
      </c>
      <c r="AA109" s="49">
        <f>Table1[[#This Row],[نهاية الخدمة2]]-Table1[[#This Row],[نهاية الخدمة]]</f>
        <v>562.04722222222335</v>
      </c>
      <c r="AB109" s="49">
        <f>Table1[[#This Row],[رصيد اجازات2]]-Table1[[#This Row],[رصيد اجازات]]</f>
        <v>388.04356164383353</v>
      </c>
      <c r="AC109" s="49">
        <f>Table1[[#This Row],[تذاكر سفر2]]-Table1[[#This Row],[تذاكر سفر]]</f>
        <v>0</v>
      </c>
      <c r="AD109" s="5"/>
      <c r="AE109" s="5"/>
      <c r="AF109" s="5"/>
      <c r="AG109" s="5"/>
    </row>
    <row r="110" spans="1:33" ht="21.95" customHeight="1" x14ac:dyDescent="0.35">
      <c r="A110" s="32">
        <f>SUBTOTAL(3,C$3:$C110)</f>
        <v>108</v>
      </c>
      <c r="B110" s="30" t="s">
        <v>184</v>
      </c>
      <c r="C110" s="33" t="s">
        <v>74</v>
      </c>
      <c r="D110" s="50">
        <v>118801101102</v>
      </c>
      <c r="E110" s="51" t="s">
        <v>23</v>
      </c>
      <c r="F110" s="52">
        <v>40179</v>
      </c>
      <c r="G110" s="51">
        <v>35201</v>
      </c>
      <c r="H110" s="51">
        <v>5032</v>
      </c>
      <c r="I110" s="51">
        <v>252</v>
      </c>
      <c r="J110" s="51"/>
      <c r="K110" s="51">
        <f t="shared" si="3"/>
        <v>40485</v>
      </c>
      <c r="L110" s="52" t="s">
        <v>21</v>
      </c>
      <c r="M110" s="52" t="s">
        <v>21</v>
      </c>
      <c r="N110" s="51" t="s">
        <v>24</v>
      </c>
      <c r="O110" s="51">
        <v>0</v>
      </c>
      <c r="P110" s="53">
        <v>21</v>
      </c>
      <c r="Q110" s="54">
        <f>IF(F110&gt;0,DATEDIF($F110,Employee!$U$1,"Y")*12*30+DATEDIF($F110,Employee!$U$1,"YM")*30+DATEDIF($F110,Employee!$U$1,"MD")+1,0)</f>
        <v>4440</v>
      </c>
      <c r="R110" s="51">
        <f>IF(F110&gt;0,IF(M110=$AG$23,0,IF($M110=$AF$23,DATEDIF($F110,Employee!$U$1,"D")-(DATEDIF($F110,Employee!$U$1,"D")*5/365)+1,DATEDIF($M110,Employee!$U$1,"D")-(DATEDIF($M110,Employee!$U$1,"D")*5/365)+1)),0)</f>
        <v>4441.3287671232874</v>
      </c>
      <c r="S110" s="51">
        <f>IF($Q110&lt;=1800,($Q110/360*$K110)*0.5,($Q110-1800)/360*$K110+1800/360*$K110*0.5)</f>
        <v>398102.5</v>
      </c>
      <c r="T110" s="51">
        <f>IF($P110=21,0.0583333333333333*$R110*$K110/30,0.0833333333333333*$R110*$K110/30)</f>
        <v>349625.10165525094</v>
      </c>
      <c r="U110" s="55">
        <f>IFERROR(IF($R110&gt;=360,IF(O110&gt;4,IF($N110=$AH$23,VLOOKUP($E110,$AF$4:$AG$22,2,0)*4,VLOOKUP($E110,$AF$4:$AG$22,2,0)),IF($N110=$AH$23,VLOOKUP($E110,$AF$4:$AG$22,2,0)*O110,VLOOKUP($E110,$AF$4:$AG$22,2,0))),(IF(O110&gt;4,IF($N110=$AH$23,VLOOKUP($E110,$AF$4:$AG$22,2,0)*4,VLOOKUP($E110,$AF$4:$AG$22,2,0)),IF($N110=$AH$23,VLOOKUP($E110,$AF$4:$AG$22,2,0)*O110,VLOOKUP($E110,$AF$4:$AG$22,2,0))))/360*$R110),0)</f>
        <v>2250</v>
      </c>
      <c r="V110" s="56">
        <f>IF(F110&gt;0,DATEDIF($F110,Employee!$Z$1,"Y")*12*30+DATEDIF($F110,Employee!$Z$1,"YM")*30+DATEDIF($F110,Employee!$Z$1,"MD")+1,0)</f>
        <v>4471</v>
      </c>
      <c r="W110" s="51">
        <f>IF(F110&gt;0,IF(M110=$AG$23,0,IF($M110=$AF$23,DATEDIF($F110,Employee!$Z$1,"D")-(DATEDIF($F110,Employee!$Z$1,"D")*5/365)+1,DATEDIF($M110,Employee!$Z$1,"D")-(DATEDIF($M110,Employee!$Z$1,"D")*5/365)+1)),0)</f>
        <v>4471.9041095890407</v>
      </c>
      <c r="X110" s="51">
        <f>IF($V110&lt;=1800,($V110/360*$K110)*0.5,($V110-1800)/360*$K110+1800/360*$K110*0.5)</f>
        <v>401588.70833333331</v>
      </c>
      <c r="Y110" s="51">
        <f>IF($P110=21,0.0583333333333333*$W110*$K110/30,0.0833333333333333*$W110*$K110/30)</f>
        <v>352032.01809360704</v>
      </c>
      <c r="Z110" s="51">
        <f>IFERROR(IF($W110&gt;=360,IF(O110&gt;4,IF($N110=$AH$23,VLOOKUP($E110,$AF$4:$AG$22,2,0)*4,VLOOKUP($E110,$AF$4:$AG$22,2,0)),IF($N110=$AH$23,VLOOKUP($E110,$AF$4:$AG$22,2,0)*O110,VLOOKUP($E110,$AF$4:$AG$22,2,0))),(IF(O110&gt;4,IF($N110=$AH$23,VLOOKUP($E110,$AF$4:$AG$22,2,0)*4,VLOOKUP($E110,$AF$4:$AG$22,2,0)),IF($N110=$AH$23,VLOOKUP($E110,$AF$4:$AG$22,2,0)*O110,VLOOKUP($E110,$AF$4:$AG$22,2,0))))/360*$W110),0)</f>
        <v>2250</v>
      </c>
      <c r="AA110" s="57">
        <f>Table1[[#This Row],[نهاية الخدمة2]]-Table1[[#This Row],[نهاية الخدمة]]</f>
        <v>3486.2083333333139</v>
      </c>
      <c r="AB110" s="57">
        <f>Table1[[#This Row],[رصيد اجازات2]]-Table1[[#This Row],[رصيد اجازات]]</f>
        <v>2406.9164383561001</v>
      </c>
      <c r="AC110" s="58">
        <f>Table1[[#This Row],[تذاكر سفر2]]-Table1[[#This Row],[تذاكر سفر]]</f>
        <v>0</v>
      </c>
      <c r="AD110" s="5"/>
      <c r="AE110" s="5"/>
      <c r="AF110" s="5"/>
      <c r="AG110" s="5"/>
    </row>
    <row r="111" spans="1:33" ht="21.95" customHeight="1" x14ac:dyDescent="0.35">
      <c r="A111" s="32">
        <f>SUBTOTAL(3,C$3:$C111)</f>
        <v>109</v>
      </c>
      <c r="B111" s="30" t="s">
        <v>185</v>
      </c>
      <c r="C111" s="34" t="s">
        <v>75</v>
      </c>
      <c r="D111" s="45">
        <v>119901101102</v>
      </c>
      <c r="E111" s="46" t="s">
        <v>26</v>
      </c>
      <c r="F111" s="47">
        <v>40179</v>
      </c>
      <c r="G111" s="46">
        <v>5026</v>
      </c>
      <c r="H111" s="46">
        <v>1001</v>
      </c>
      <c r="I111" s="46">
        <v>500</v>
      </c>
      <c r="J111" s="46">
        <v>0</v>
      </c>
      <c r="K111" s="46">
        <f t="shared" si="3"/>
        <v>6527</v>
      </c>
      <c r="L111" s="47">
        <v>44470</v>
      </c>
      <c r="M111" s="47">
        <v>44470</v>
      </c>
      <c r="N111" s="46" t="s">
        <v>24</v>
      </c>
      <c r="O111" s="46">
        <v>0</v>
      </c>
      <c r="P111" s="48">
        <v>30</v>
      </c>
      <c r="Q111" s="46">
        <f>IF(F111&gt;0,DATEDIF($F111,Employee!$U$1,"Y")*12*30+DATEDIF($F111,Employee!$U$1,"YM")*30+DATEDIF($F111,Employee!$U$1,"MD")+1,0)</f>
        <v>4440</v>
      </c>
      <c r="R111" s="46">
        <f>IF(F111&gt;0,IF(M111=$AG$23,0,IF($M111=$AF$23,DATEDIF($F111,Employee!$U$1,"D")-(DATEDIF($F111,Employee!$U$1,"D")*5/365)+1,DATEDIF($M111,Employee!$U$1,"D")-(DATEDIF($M111,Employee!$U$1,"D")*5/365)+1)),0)</f>
        <v>209.10958904109589</v>
      </c>
      <c r="S111" s="46">
        <f>IF($Q111&lt;=1800,($Q111/360*$K111)*0.5,($Q111-1800)/360*$K111+1800/360*$K111*0.5)</f>
        <v>64182.166666666664</v>
      </c>
      <c r="T111" s="46">
        <f>IF($P111=21,0.0583333333333333*$R111*$K111/30,0.0833333333333333*$R111*$K111/30)</f>
        <v>3791.273021308979</v>
      </c>
      <c r="U111" s="46">
        <f>IFERROR(IF($R111&gt;=360,IF(O111&gt;4,IF($N111=$AH$23,VLOOKUP($E111,$AF$4:$AG$22,2,0)*4,VLOOKUP($E111,$AF$4:$AG$22,2,0)),IF($N111=$AH$23,VLOOKUP($E111,$AF$4:$AG$22,2,0)*O111,VLOOKUP($E111,$AF$4:$AG$22,2,0))),(IF(O111&gt;4,IF($N111=$AH$23,VLOOKUP($E111,$AF$4:$AG$22,2,0)*4,VLOOKUP($E111,$AF$4:$AG$22,2,0)),IF($N111=$AH$23,VLOOKUP($E111,$AF$4:$AG$22,2,0)*O111,VLOOKUP($E111,$AF$4:$AG$22,2,0))))/360*$R111),0)</f>
        <v>871.28995433789964</v>
      </c>
      <c r="V111" s="46">
        <f>IF(F111&gt;0,DATEDIF($F111,Employee!$Z$1,"Y")*12*30+DATEDIF($F111,Employee!$Z$1,"YM")*30+DATEDIF($F111,Employee!$Z$1,"MD")+1,0)</f>
        <v>4471</v>
      </c>
      <c r="W111" s="46">
        <f>IF(F111&gt;0,IF(M111=$AG$23,0,IF($M111=$AF$23,DATEDIF($F111,Employee!$Z$1,"D")-(DATEDIF($F111,Employee!$Z$1,"D")*5/365)+1,DATEDIF($M111,Employee!$Z$1,"D")-(DATEDIF($M111,Employee!$Z$1,"D")*5/365)+1)),0)</f>
        <v>239.68493150684932</v>
      </c>
      <c r="X111" s="46">
        <f>IF($V111&lt;=1800,($V111/360*$K111)*0.5,($V111-1800)/360*$K111+1800/360*$K111*0.5)</f>
        <v>64744.213888888888</v>
      </c>
      <c r="Y111" s="46">
        <f>IF($P111=21,0.0583333333333333*$W111*$K111/30,0.0833333333333333*$W111*$K111/30)</f>
        <v>4345.6209665144579</v>
      </c>
      <c r="Z111" s="46">
        <f>IFERROR(IF($W111&gt;=360,IF(O111&gt;4,IF($N111=$AH$23,VLOOKUP($E111,$AF$4:$AG$22,2,0)*4,VLOOKUP($E111,$AF$4:$AG$22,2,0)),IF($N111=$AH$23,VLOOKUP($E111,$AF$4:$AG$22,2,0)*O111,VLOOKUP($E111,$AF$4:$AG$22,2,0))),(IF(O111&gt;4,IF($N111=$AH$23,VLOOKUP($E111,$AF$4:$AG$22,2,0)*4,VLOOKUP($E111,$AF$4:$AG$22,2,0)),IF($N111=$AH$23,VLOOKUP($E111,$AF$4:$AG$22,2,0)*O111,VLOOKUP($E111,$AF$4:$AG$22,2,0))))/360*$W111),0)</f>
        <v>998.68721461187226</v>
      </c>
      <c r="AA111" s="49">
        <f>Table1[[#This Row],[نهاية الخدمة2]]-Table1[[#This Row],[نهاية الخدمة]]</f>
        <v>562.04722222222335</v>
      </c>
      <c r="AB111" s="49">
        <f>Table1[[#This Row],[رصيد اجازات2]]-Table1[[#This Row],[رصيد اجازات]]</f>
        <v>554.34794520547894</v>
      </c>
      <c r="AC111" s="49">
        <f>Table1[[#This Row],[تذاكر سفر2]]-Table1[[#This Row],[تذاكر سفر]]</f>
        <v>127.39726027397262</v>
      </c>
      <c r="AD111" s="5"/>
      <c r="AE111" s="5"/>
      <c r="AF111" s="5"/>
      <c r="AG111" s="5"/>
    </row>
    <row r="112" spans="1:33" ht="21.95" customHeight="1" x14ac:dyDescent="0.35">
      <c r="A112" s="32">
        <f>SUBTOTAL(3,C$3:$C112)</f>
        <v>110</v>
      </c>
      <c r="B112" s="30" t="s">
        <v>186</v>
      </c>
      <c r="C112" s="33" t="s">
        <v>76</v>
      </c>
      <c r="D112" s="50">
        <v>121001101102</v>
      </c>
      <c r="E112" s="51" t="s">
        <v>23</v>
      </c>
      <c r="F112" s="52">
        <v>40179</v>
      </c>
      <c r="G112" s="51">
        <v>35201</v>
      </c>
      <c r="H112" s="51">
        <v>5032</v>
      </c>
      <c r="I112" s="51">
        <v>252</v>
      </c>
      <c r="J112" s="51">
        <v>0</v>
      </c>
      <c r="K112" s="51">
        <f t="shared" si="3"/>
        <v>40485</v>
      </c>
      <c r="L112" s="52">
        <v>43831</v>
      </c>
      <c r="M112" s="52">
        <v>43905</v>
      </c>
      <c r="N112" s="51" t="s">
        <v>24</v>
      </c>
      <c r="O112" s="51">
        <v>0</v>
      </c>
      <c r="P112" s="53">
        <v>21</v>
      </c>
      <c r="Q112" s="54">
        <f>IF(F112&gt;0,DATEDIF($F112,Employee!$U$1,"Y")*12*30+DATEDIF($F112,Employee!$U$1,"YM")*30+DATEDIF($F112,Employee!$U$1,"MD")+1,0)</f>
        <v>4440</v>
      </c>
      <c r="R112" s="51">
        <f>IF(F112&gt;0,IF(M112=$AG$23,0,IF($M112=$AF$23,DATEDIF($F112,Employee!$U$1,"D")-(DATEDIF($F112,Employee!$U$1,"D")*5/365)+1,DATEDIF($M112,Employee!$U$1,"D")-(DATEDIF($M112,Employee!$U$1,"D")*5/365)+1)),0)</f>
        <v>766.36986301369859</v>
      </c>
      <c r="S112" s="51">
        <f>IF($Q112&lt;=1800,($Q112/360*$K112)*0.5,($Q112-1800)/360*$K112+1800/360*$K112*0.5)</f>
        <v>398102.5</v>
      </c>
      <c r="T112" s="51">
        <f>IF($P112=21,0.0583333333333333*$R112*$K112/30,0.0833333333333333*$R112*$K112/30)</f>
        <v>60329.274257990837</v>
      </c>
      <c r="U112" s="55">
        <f>IFERROR(IF($R112&gt;=360,IF(O112&gt;4,IF($N112=$AH$23,VLOOKUP($E112,$AF$4:$AG$22,2,0)*4,VLOOKUP($E112,$AF$4:$AG$22,2,0)),IF($N112=$AH$23,VLOOKUP($E112,$AF$4:$AG$22,2,0)*O112,VLOOKUP($E112,$AF$4:$AG$22,2,0))),(IF(O112&gt;4,IF($N112=$AH$23,VLOOKUP($E112,$AF$4:$AG$22,2,0)*4,VLOOKUP($E112,$AF$4:$AG$22,2,0)),IF($N112=$AH$23,VLOOKUP($E112,$AF$4:$AG$22,2,0)*O112,VLOOKUP($E112,$AF$4:$AG$22,2,0))))/360*$R112),0)</f>
        <v>2250</v>
      </c>
      <c r="V112" s="56">
        <f>IF(F112&gt;0,DATEDIF($F112,Employee!$Z$1,"Y")*12*30+DATEDIF($F112,Employee!$Z$1,"YM")*30+DATEDIF($F112,Employee!$Z$1,"MD")+1,0)</f>
        <v>4471</v>
      </c>
      <c r="W112" s="51">
        <f>IF(F112&gt;0,IF(M112=$AG$23,0,IF($M112=$AF$23,DATEDIF($F112,Employee!$Z$1,"D")-(DATEDIF($F112,Employee!$Z$1,"D")*5/365)+1,DATEDIF($M112,Employee!$Z$1,"D")-(DATEDIF($M112,Employee!$Z$1,"D")*5/365)+1)),0)</f>
        <v>796.94520547945206</v>
      </c>
      <c r="X112" s="51">
        <f>IF($V112&lt;=1800,($V112/360*$K112)*0.5,($V112-1800)/360*$K112+1800/360*$K112*0.5)</f>
        <v>401588.70833333331</v>
      </c>
      <c r="Y112" s="51">
        <f>IF($P112=21,0.0583333333333333*$W112*$K112/30,0.0833333333333333*$W112*$K112/30)</f>
        <v>62736.190696347003</v>
      </c>
      <c r="Z112" s="51">
        <f>IFERROR(IF($W112&gt;=360,IF(O112&gt;4,IF($N112=$AH$23,VLOOKUP($E112,$AF$4:$AG$22,2,0)*4,VLOOKUP($E112,$AF$4:$AG$22,2,0)),IF($N112=$AH$23,VLOOKUP($E112,$AF$4:$AG$22,2,0)*O112,VLOOKUP($E112,$AF$4:$AG$22,2,0))),(IF(O112&gt;4,IF($N112=$AH$23,VLOOKUP($E112,$AF$4:$AG$22,2,0)*4,VLOOKUP($E112,$AF$4:$AG$22,2,0)),IF($N112=$AH$23,VLOOKUP($E112,$AF$4:$AG$22,2,0)*O112,VLOOKUP($E112,$AF$4:$AG$22,2,0))))/360*$W112),0)</f>
        <v>2250</v>
      </c>
      <c r="AA112" s="57">
        <f>Table1[[#This Row],[نهاية الخدمة2]]-Table1[[#This Row],[نهاية الخدمة]]</f>
        <v>3486.2083333333139</v>
      </c>
      <c r="AB112" s="57">
        <f>Table1[[#This Row],[رصيد اجازات2]]-Table1[[#This Row],[رصيد اجازات]]</f>
        <v>2406.9164383561656</v>
      </c>
      <c r="AC112" s="58">
        <f>Table1[[#This Row],[تذاكر سفر2]]-Table1[[#This Row],[تذاكر سفر]]</f>
        <v>0</v>
      </c>
      <c r="AD112" s="5"/>
      <c r="AE112" s="5"/>
      <c r="AF112" s="5"/>
      <c r="AG112" s="5"/>
    </row>
    <row r="113" spans="1:33" ht="21.95" customHeight="1" x14ac:dyDescent="0.35">
      <c r="A113" s="32">
        <f>SUBTOTAL(3,C$3:$C113)</f>
        <v>111</v>
      </c>
      <c r="B113" s="30" t="s">
        <v>187</v>
      </c>
      <c r="C113" s="31" t="s">
        <v>72</v>
      </c>
      <c r="D113" s="45">
        <v>122101101102</v>
      </c>
      <c r="E113" s="46" t="s">
        <v>26</v>
      </c>
      <c r="F113" s="47">
        <v>40179</v>
      </c>
      <c r="G113" s="46">
        <v>5026</v>
      </c>
      <c r="H113" s="46">
        <v>1001</v>
      </c>
      <c r="I113" s="46">
        <v>500</v>
      </c>
      <c r="J113" s="46">
        <v>0</v>
      </c>
      <c r="K113" s="46">
        <f t="shared" si="3"/>
        <v>6527</v>
      </c>
      <c r="L113" s="47">
        <v>44177</v>
      </c>
      <c r="M113" s="47">
        <v>44177</v>
      </c>
      <c r="N113" s="46" t="s">
        <v>24</v>
      </c>
      <c r="O113" s="46">
        <v>0</v>
      </c>
      <c r="P113" s="48">
        <v>30</v>
      </c>
      <c r="Q113" s="46">
        <f>IF(F113&gt;0,DATEDIF($F113,Employee!$U$1,"Y")*12*30+DATEDIF($F113,Employee!$U$1,"YM")*30+DATEDIF($F113,Employee!$U$1,"MD")+1,0)</f>
        <v>4440</v>
      </c>
      <c r="R113" s="46">
        <f>IF(F113&gt;0,IF(M113=$AG$23,0,IF($M113=$AF$23,DATEDIF($F113,Employee!$U$1,"D")-(DATEDIF($F113,Employee!$U$1,"D")*5/365)+1,DATEDIF($M113,Employee!$U$1,"D")-(DATEDIF($M113,Employee!$U$1,"D")*5/365)+1)),0)</f>
        <v>498.09589041095893</v>
      </c>
      <c r="S113" s="46">
        <f>IF($Q113&lt;=1800,($Q113/360*$K113)*0.5,($Q113-1800)/360*$K113+1800/360*$K113*0.5)</f>
        <v>64182.166666666664</v>
      </c>
      <c r="T113" s="46">
        <f>IF($P113=21,0.0583333333333333*$R113*$K113/30,0.0833333333333333*$R113*$K113/30)</f>
        <v>9030.7552130897984</v>
      </c>
      <c r="U113" s="46">
        <f>IFERROR(IF($R113&gt;=360,IF(O113&gt;4,IF($N113=$AH$23,VLOOKUP($E113,$AF$4:$AG$22,2,0)*4,VLOOKUP($E113,$AF$4:$AG$22,2,0)),IF($N113=$AH$23,VLOOKUP($E113,$AF$4:$AG$22,2,0)*O113,VLOOKUP($E113,$AF$4:$AG$22,2,0))),(IF(O113&gt;4,IF($N113=$AH$23,VLOOKUP($E113,$AF$4:$AG$22,2,0)*4,VLOOKUP($E113,$AF$4:$AG$22,2,0)),IF($N113=$AH$23,VLOOKUP($E113,$AF$4:$AG$22,2,0)*O113,VLOOKUP($E113,$AF$4:$AG$22,2,0))))/360*$R113),0)</f>
        <v>1500</v>
      </c>
      <c r="V113" s="46">
        <f>IF(F113&gt;0,DATEDIF($F113,Employee!$Z$1,"Y")*12*30+DATEDIF($F113,Employee!$Z$1,"YM")*30+DATEDIF($F113,Employee!$Z$1,"MD")+1,0)</f>
        <v>4471</v>
      </c>
      <c r="W113" s="46">
        <f>IF(F113&gt;0,IF(M113=$AG$23,0,IF($M113=$AF$23,DATEDIF($F113,Employee!$Z$1,"D")-(DATEDIF($F113,Employee!$Z$1,"D")*5/365)+1,DATEDIF($M113,Employee!$Z$1,"D")-(DATEDIF($M113,Employee!$Z$1,"D")*5/365)+1)),0)</f>
        <v>528.67123287671234</v>
      </c>
      <c r="X113" s="46">
        <f>IF($V113&lt;=1800,($V113/360*$K113)*0.5,($V113-1800)/360*$K113+1800/360*$K113*0.5)</f>
        <v>64744.213888888888</v>
      </c>
      <c r="Y113" s="46">
        <f>IF($P113=21,0.0583333333333333*$W113*$K113/30,0.0833333333333333*$W113*$K113/30)</f>
        <v>9585.1031582952764</v>
      </c>
      <c r="Z113" s="46">
        <f>IFERROR(IF($W113&gt;=360,IF(O113&gt;4,IF($N113=$AH$23,VLOOKUP($E113,$AF$4:$AG$22,2,0)*4,VLOOKUP($E113,$AF$4:$AG$22,2,0)),IF($N113=$AH$23,VLOOKUP($E113,$AF$4:$AG$22,2,0)*O113,VLOOKUP($E113,$AF$4:$AG$22,2,0))),(IF(O113&gt;4,IF($N113=$AH$23,VLOOKUP($E113,$AF$4:$AG$22,2,0)*4,VLOOKUP($E113,$AF$4:$AG$22,2,0)),IF($N113=$AH$23,VLOOKUP($E113,$AF$4:$AG$22,2,0)*O113,VLOOKUP($E113,$AF$4:$AG$22,2,0))))/360*$W113),0)</f>
        <v>1500</v>
      </c>
      <c r="AA113" s="49">
        <f>Table1[[#This Row],[نهاية الخدمة2]]-Table1[[#This Row],[نهاية الخدمة]]</f>
        <v>562.04722222222335</v>
      </c>
      <c r="AB113" s="49">
        <f>Table1[[#This Row],[رصيد اجازات2]]-Table1[[#This Row],[رصيد اجازات]]</f>
        <v>554.34794520547803</v>
      </c>
      <c r="AC113" s="49">
        <f>Table1[[#This Row],[تذاكر سفر2]]-Table1[[#This Row],[تذاكر سفر]]</f>
        <v>0</v>
      </c>
      <c r="AD113" s="5"/>
      <c r="AE113" s="5"/>
      <c r="AF113" s="5"/>
      <c r="AG113" s="5"/>
    </row>
    <row r="114" spans="1:33" ht="21.95" customHeight="1" x14ac:dyDescent="0.35">
      <c r="A114" s="32">
        <f>SUBTOTAL(3,C$3:$C114)</f>
        <v>112</v>
      </c>
      <c r="B114" s="30" t="s">
        <v>188</v>
      </c>
      <c r="C114" s="33" t="s">
        <v>73</v>
      </c>
      <c r="D114" s="50">
        <v>123201101102</v>
      </c>
      <c r="E114" s="51" t="s">
        <v>26</v>
      </c>
      <c r="F114" s="52">
        <v>40179</v>
      </c>
      <c r="G114" s="51">
        <v>35201</v>
      </c>
      <c r="H114" s="51">
        <v>5032</v>
      </c>
      <c r="I114" s="51">
        <v>252</v>
      </c>
      <c r="J114" s="51">
        <v>0</v>
      </c>
      <c r="K114" s="51">
        <f t="shared" si="3"/>
        <v>40485</v>
      </c>
      <c r="L114" s="52">
        <v>43240</v>
      </c>
      <c r="M114" s="52">
        <v>43301</v>
      </c>
      <c r="N114" s="51" t="s">
        <v>24</v>
      </c>
      <c r="O114" s="51">
        <v>0</v>
      </c>
      <c r="P114" s="53">
        <v>30</v>
      </c>
      <c r="Q114" s="54">
        <f>IF(F114&gt;0,DATEDIF($F114,Employee!$U$1,"Y")*12*30+DATEDIF($F114,Employee!$U$1,"YM")*30+DATEDIF($F114,Employee!$U$1,"MD")+1,0)</f>
        <v>4440</v>
      </c>
      <c r="R114" s="51">
        <f>IF(F114&gt;0,IF(M114=$AG$23,0,IF($M114=$AF$23,DATEDIF($F114,Employee!$U$1,"D")-(DATEDIF($F114,Employee!$U$1,"D")*5/365)+1,DATEDIF($M114,Employee!$U$1,"D")-(DATEDIF($M114,Employee!$U$1,"D")*5/365)+1)),0)</f>
        <v>1362.0958904109589</v>
      </c>
      <c r="S114" s="51">
        <f>IF($Q114&lt;=1800,($Q114/360*$K114)*0.5,($Q114-1800)/360*$K114+1800/360*$K114*0.5)</f>
        <v>398102.5</v>
      </c>
      <c r="T114" s="51">
        <f>IF($P114=21,0.0583333333333333*$R114*$K114/30,0.0833333333333333*$R114*$K114/30)</f>
        <v>153179.03367579903</v>
      </c>
      <c r="U114" s="55">
        <f>IFERROR(IF($R114&gt;=360,IF(O114&gt;4,IF($N114=$AH$23,VLOOKUP($E114,$AF$4:$AG$22,2,0)*4,VLOOKUP($E114,$AF$4:$AG$22,2,0)),IF($N114=$AH$23,VLOOKUP($E114,$AF$4:$AG$22,2,0)*O114,VLOOKUP($E114,$AF$4:$AG$22,2,0))),(IF(O114&gt;4,IF($N114=$AH$23,VLOOKUP($E114,$AF$4:$AG$22,2,0)*4,VLOOKUP($E114,$AF$4:$AG$22,2,0)),IF($N114=$AH$23,VLOOKUP($E114,$AF$4:$AG$22,2,0)*O114,VLOOKUP($E114,$AF$4:$AG$22,2,0))))/360*$R114),0)</f>
        <v>1500</v>
      </c>
      <c r="V114" s="56">
        <f>IF(F114&gt;0,DATEDIF($F114,Employee!$Z$1,"Y")*12*30+DATEDIF($F114,Employee!$Z$1,"YM")*30+DATEDIF($F114,Employee!$Z$1,"MD")+1,0)</f>
        <v>4471</v>
      </c>
      <c r="W114" s="51">
        <f>IF(F114&gt;0,IF(M114=$AG$23,0,IF($M114=$AF$23,DATEDIF($F114,Employee!$Z$1,"D")-(DATEDIF($F114,Employee!$Z$1,"D")*5/365)+1,DATEDIF($M114,Employee!$Z$1,"D")-(DATEDIF($M114,Employee!$Z$1,"D")*5/365)+1)),0)</f>
        <v>1392.6712328767123</v>
      </c>
      <c r="X114" s="51">
        <f>IF($V114&lt;=1800,($V114/360*$K114)*0.5,($V114-1800)/360*$K114+1800/360*$K114*0.5)</f>
        <v>401588.70833333331</v>
      </c>
      <c r="Y114" s="51">
        <f>IF($P114=21,0.0583333333333333*$W114*$K114/30,0.0833333333333333*$W114*$K114/30)</f>
        <v>156617.48573059356</v>
      </c>
      <c r="Z114" s="51">
        <f>IFERROR(IF($W114&gt;=360,IF(O114&gt;4,IF($N114=$AH$23,VLOOKUP($E114,$AF$4:$AG$22,2,0)*4,VLOOKUP($E114,$AF$4:$AG$22,2,0)),IF($N114=$AH$23,VLOOKUP($E114,$AF$4:$AG$22,2,0)*O114,VLOOKUP($E114,$AF$4:$AG$22,2,0))),(IF(O114&gt;4,IF($N114=$AH$23,VLOOKUP($E114,$AF$4:$AG$22,2,0)*4,VLOOKUP($E114,$AF$4:$AG$22,2,0)),IF($N114=$AH$23,VLOOKUP($E114,$AF$4:$AG$22,2,0)*O114,VLOOKUP($E114,$AF$4:$AG$22,2,0))))/360*$W114),0)</f>
        <v>1500</v>
      </c>
      <c r="AA114" s="57">
        <f>Table1[[#This Row],[نهاية الخدمة2]]-Table1[[#This Row],[نهاية الخدمة]]</f>
        <v>3486.2083333333139</v>
      </c>
      <c r="AB114" s="57">
        <f>Table1[[#This Row],[رصيد اجازات2]]-Table1[[#This Row],[رصيد اجازات]]</f>
        <v>3438.4520547945285</v>
      </c>
      <c r="AC114" s="58">
        <f>Table1[[#This Row],[تذاكر سفر2]]-Table1[[#This Row],[تذاكر سفر]]</f>
        <v>0</v>
      </c>
      <c r="AD114" s="5"/>
      <c r="AE114" s="5"/>
      <c r="AF114" s="5"/>
      <c r="AG114" s="5"/>
    </row>
    <row r="115" spans="1:33" ht="21.95" customHeight="1" x14ac:dyDescent="0.35">
      <c r="A115" s="32">
        <f>SUBTOTAL(3,C$3:$C115)</f>
        <v>113</v>
      </c>
      <c r="B115" s="30" t="s">
        <v>189</v>
      </c>
      <c r="C115" s="33" t="s">
        <v>74</v>
      </c>
      <c r="D115" s="45">
        <v>124301101102</v>
      </c>
      <c r="E115" s="46" t="s">
        <v>27</v>
      </c>
      <c r="F115" s="47">
        <v>40179</v>
      </c>
      <c r="G115" s="46">
        <v>5026</v>
      </c>
      <c r="H115" s="46">
        <v>1001</v>
      </c>
      <c r="I115" s="46">
        <v>500</v>
      </c>
      <c r="J115" s="46">
        <v>0</v>
      </c>
      <c r="K115" s="46">
        <f t="shared" si="3"/>
        <v>6527</v>
      </c>
      <c r="L115" s="47">
        <v>43625</v>
      </c>
      <c r="M115" s="47">
        <v>43663</v>
      </c>
      <c r="N115" s="46" t="s">
        <v>24</v>
      </c>
      <c r="O115" s="46">
        <v>0</v>
      </c>
      <c r="P115" s="48">
        <v>30</v>
      </c>
      <c r="Q115" s="46">
        <f>IF(F115&gt;0,DATEDIF($F115,Employee!$U$1,"Y")*12*30+DATEDIF($F115,Employee!$U$1,"YM")*30+DATEDIF($F115,Employee!$U$1,"MD")+1,0)</f>
        <v>4440</v>
      </c>
      <c r="R115" s="46">
        <f>IF(F115&gt;0,IF(M115=$AG$23,0,IF($M115=$AF$23,DATEDIF($F115,Employee!$U$1,"D")-(DATEDIF($F115,Employee!$U$1,"D")*5/365)+1,DATEDIF($M115,Employee!$U$1,"D")-(DATEDIF($M115,Employee!$U$1,"D")*5/365)+1)),0)</f>
        <v>1005.0547945205479</v>
      </c>
      <c r="S115" s="46">
        <f>IF($Q115&lt;=1800,($Q115/360*$K115)*0.5,($Q115-1800)/360*$K115+1800/360*$K115*0.5)</f>
        <v>64182.166666666664</v>
      </c>
      <c r="T115" s="46">
        <f>IF($P115=21,0.0583333333333333*$R115*$K115/30,0.0833333333333333*$R115*$K115/30)</f>
        <v>18222.201788432259</v>
      </c>
      <c r="U115" s="46">
        <f>IFERROR(IF($R115&gt;=360,IF(O115&gt;4,IF($N115=$AH$23,VLOOKUP($E115,$AF$4:$AG$22,2,0)*4,VLOOKUP($E115,$AF$4:$AG$22,2,0)),IF($N115=$AH$23,VLOOKUP($E115,$AF$4:$AG$22,2,0)*O115,VLOOKUP($E115,$AF$4:$AG$22,2,0))),(IF(O115&gt;4,IF($N115=$AH$23,VLOOKUP($E115,$AF$4:$AG$22,2,0)*4,VLOOKUP($E115,$AF$4:$AG$22,2,0)),IF($N115=$AH$23,VLOOKUP($E115,$AF$4:$AG$22,2,0)*O115,VLOOKUP($E115,$AF$4:$AG$22,2,0))))/360*$R115),0)</f>
        <v>2000</v>
      </c>
      <c r="V115" s="46">
        <f>IF(F115&gt;0,DATEDIF($F115,Employee!$Z$1,"Y")*12*30+DATEDIF($F115,Employee!$Z$1,"YM")*30+DATEDIF($F115,Employee!$Z$1,"MD")+1,0)</f>
        <v>4471</v>
      </c>
      <c r="W115" s="46">
        <f>IF(F115&gt;0,IF(M115=$AG$23,0,IF($M115=$AF$23,DATEDIF($F115,Employee!$Z$1,"D")-(DATEDIF($F115,Employee!$Z$1,"D")*5/365)+1,DATEDIF($M115,Employee!$Z$1,"D")-(DATEDIF($M115,Employee!$Z$1,"D")*5/365)+1)),0)</f>
        <v>1035.6301369863013</v>
      </c>
      <c r="X115" s="46">
        <f>IF($V115&lt;=1800,($V115/360*$K115)*0.5,($V115-1800)/360*$K115+1800/360*$K115*0.5)</f>
        <v>64744.213888888888</v>
      </c>
      <c r="Y115" s="46">
        <f>IF($P115=21,0.0583333333333333*$W115*$K115/30,0.0833333333333333*$W115*$K115/30)</f>
        <v>18776.549733637738</v>
      </c>
      <c r="Z115" s="46">
        <f>IFERROR(IF($W115&gt;=360,IF(O115&gt;4,IF($N115=$AH$23,VLOOKUP($E115,$AF$4:$AG$22,2,0)*4,VLOOKUP($E115,$AF$4:$AG$22,2,0)),IF($N115=$AH$23,VLOOKUP($E115,$AF$4:$AG$22,2,0)*O115,VLOOKUP($E115,$AF$4:$AG$22,2,0))),(IF(O115&gt;4,IF($N115=$AH$23,VLOOKUP($E115,$AF$4:$AG$22,2,0)*4,VLOOKUP($E115,$AF$4:$AG$22,2,0)),IF($N115=$AH$23,VLOOKUP($E115,$AF$4:$AG$22,2,0)*O115,VLOOKUP($E115,$AF$4:$AG$22,2,0))))/360*$W115),0)</f>
        <v>2000</v>
      </c>
      <c r="AA115" s="49">
        <f>Table1[[#This Row],[نهاية الخدمة2]]-Table1[[#This Row],[نهاية الخدمة]]</f>
        <v>562.04722222222335</v>
      </c>
      <c r="AB115" s="49">
        <f>Table1[[#This Row],[رصيد اجازات2]]-Table1[[#This Row],[رصيد اجازات]]</f>
        <v>554.34794520547803</v>
      </c>
      <c r="AC115" s="49">
        <f>Table1[[#This Row],[تذاكر سفر2]]-Table1[[#This Row],[تذاكر سفر]]</f>
        <v>0</v>
      </c>
      <c r="AD115" s="5"/>
      <c r="AE115" s="5"/>
      <c r="AF115" s="5"/>
      <c r="AG115" s="5"/>
    </row>
    <row r="116" spans="1:33" ht="21.95" customHeight="1" x14ac:dyDescent="0.35">
      <c r="A116" s="32">
        <f>SUBTOTAL(3,C$3:$C116)</f>
        <v>114</v>
      </c>
      <c r="B116" s="30" t="s">
        <v>190</v>
      </c>
      <c r="C116" s="34" t="s">
        <v>75</v>
      </c>
      <c r="D116" s="50">
        <v>125401101102</v>
      </c>
      <c r="E116" s="51" t="s">
        <v>27</v>
      </c>
      <c r="F116" s="52">
        <v>40179</v>
      </c>
      <c r="G116" s="51">
        <v>35201</v>
      </c>
      <c r="H116" s="51">
        <v>5032</v>
      </c>
      <c r="I116" s="51">
        <v>252</v>
      </c>
      <c r="J116" s="51">
        <v>0</v>
      </c>
      <c r="K116" s="51">
        <f t="shared" si="3"/>
        <v>40485</v>
      </c>
      <c r="L116" s="52">
        <v>44324</v>
      </c>
      <c r="M116" s="52">
        <v>44454</v>
      </c>
      <c r="N116" s="51" t="s">
        <v>22</v>
      </c>
      <c r="O116" s="51">
        <v>5</v>
      </c>
      <c r="P116" s="53">
        <v>30</v>
      </c>
      <c r="Q116" s="54">
        <f>IF(F116&gt;0,DATEDIF($F116,Employee!$U$1,"Y")*12*30+DATEDIF($F116,Employee!$U$1,"YM")*30+DATEDIF($F116,Employee!$U$1,"MD")+1,0)</f>
        <v>4440</v>
      </c>
      <c r="R116" s="51">
        <f>IF(F116&gt;0,IF(M116=$AG$23,0,IF($M116=$AF$23,DATEDIF($F116,Employee!$U$1,"D")-(DATEDIF($F116,Employee!$U$1,"D")*5/365)+1,DATEDIF($M116,Employee!$U$1,"D")-(DATEDIF($M116,Employee!$U$1,"D")*5/365)+1)),0)</f>
        <v>224.89041095890411</v>
      </c>
      <c r="S116" s="51">
        <f>IF($Q116&lt;=1800,($Q116/360*$K116)*0.5,($Q116-1800)/360*$K116+1800/360*$K116*0.5)</f>
        <v>398102.5</v>
      </c>
      <c r="T116" s="51">
        <f>IF($P116=21,0.0583333333333333*$R116*$K116/30,0.0833333333333333*$R116*$K116/30)</f>
        <v>25290.800799086752</v>
      </c>
      <c r="U116" s="55">
        <f>IFERROR(IF($R116&gt;=360,IF(O116&gt;4,IF($N116=$AH$23,VLOOKUP($E116,$AF$4:$AG$22,2,0)*4,VLOOKUP($E116,$AF$4:$AG$22,2,0)),IF($N116=$AH$23,VLOOKUP($E116,$AF$4:$AG$22,2,0)*O116,VLOOKUP($E116,$AF$4:$AG$22,2,0))),(IF(O116&gt;4,IF($N116=$AH$23,VLOOKUP($E116,$AF$4:$AG$22,2,0)*4,VLOOKUP($E116,$AF$4:$AG$22,2,0)),IF($N116=$AH$23,VLOOKUP($E116,$AF$4:$AG$22,2,0)*O116,VLOOKUP($E116,$AF$4:$AG$22,2,0))))/360*$R116),0)</f>
        <v>4997.5646879756468</v>
      </c>
      <c r="V116" s="56">
        <f>IF(F116&gt;0,DATEDIF($F116,Employee!$Z$1,"Y")*12*30+DATEDIF($F116,Employee!$Z$1,"YM")*30+DATEDIF($F116,Employee!$Z$1,"MD")+1,0)</f>
        <v>4471</v>
      </c>
      <c r="W116" s="51">
        <f>IF(F116&gt;0,IF(M116=$AG$23,0,IF($M116=$AF$23,DATEDIF($F116,Employee!$Z$1,"D")-(DATEDIF($F116,Employee!$Z$1,"D")*5/365)+1,DATEDIF($M116,Employee!$Z$1,"D")-(DATEDIF($M116,Employee!$Z$1,"D")*5/365)+1)),0)</f>
        <v>255.46575342465752</v>
      </c>
      <c r="X116" s="51">
        <f>IF($V116&lt;=1800,($V116/360*$K116)*0.5,($V116-1800)/360*$K116+1800/360*$K116*0.5)</f>
        <v>401588.70833333331</v>
      </c>
      <c r="Y116" s="51">
        <f>IF($P116=21,0.0583333333333333*$W116*$K116/30,0.0833333333333333*$W116*$K116/30)</f>
        <v>28729.252853881266</v>
      </c>
      <c r="Z116" s="51">
        <f>IFERROR(IF($W116&gt;=360,IF(O116&gt;4,IF($N116=$AH$23,VLOOKUP($E116,$AF$4:$AG$22,2,0)*4,VLOOKUP($E116,$AF$4:$AG$22,2,0)),IF($N116=$AH$23,VLOOKUP($E116,$AF$4:$AG$22,2,0)*O116,VLOOKUP($E116,$AF$4:$AG$22,2,0))),(IF(O116&gt;4,IF($N116=$AH$23,VLOOKUP($E116,$AF$4:$AG$22,2,0)*4,VLOOKUP($E116,$AF$4:$AG$22,2,0)),IF($N116=$AH$23,VLOOKUP($E116,$AF$4:$AG$22,2,0)*O116,VLOOKUP($E116,$AF$4:$AG$22,2,0))))/360*$W116),0)</f>
        <v>5677.0167427701672</v>
      </c>
      <c r="AA116" s="57">
        <f>Table1[[#This Row],[نهاية الخدمة2]]-Table1[[#This Row],[نهاية الخدمة]]</f>
        <v>3486.2083333333139</v>
      </c>
      <c r="AB116" s="57">
        <f>Table1[[#This Row],[رصيد اجازات2]]-Table1[[#This Row],[رصيد اجازات]]</f>
        <v>3438.452054794514</v>
      </c>
      <c r="AC116" s="58">
        <f>Table1[[#This Row],[تذاكر سفر2]]-Table1[[#This Row],[تذاكر سفر]]</f>
        <v>679.45205479452034</v>
      </c>
      <c r="AD116" s="5"/>
      <c r="AE116" s="5"/>
      <c r="AF116" s="5"/>
      <c r="AG116" s="5"/>
    </row>
    <row r="117" spans="1:33" ht="21.95" customHeight="1" x14ac:dyDescent="0.35">
      <c r="A117" s="32">
        <f>SUBTOTAL(3,C$3:$C117)</f>
        <v>115</v>
      </c>
      <c r="B117" s="30" t="s">
        <v>191</v>
      </c>
      <c r="C117" s="33" t="s">
        <v>76</v>
      </c>
      <c r="D117" s="45">
        <v>126501101102</v>
      </c>
      <c r="E117" s="46" t="s">
        <v>30</v>
      </c>
      <c r="F117" s="47">
        <v>40179</v>
      </c>
      <c r="G117" s="46">
        <v>5026</v>
      </c>
      <c r="H117" s="46">
        <v>1001</v>
      </c>
      <c r="I117" s="46">
        <v>500</v>
      </c>
      <c r="J117" s="46">
        <v>0</v>
      </c>
      <c r="K117" s="46">
        <f t="shared" si="3"/>
        <v>6527</v>
      </c>
      <c r="L117" s="47">
        <v>44576</v>
      </c>
      <c r="M117" s="47">
        <v>44593</v>
      </c>
      <c r="N117" s="46" t="s">
        <v>24</v>
      </c>
      <c r="O117" s="46">
        <v>0</v>
      </c>
      <c r="P117" s="48">
        <v>30</v>
      </c>
      <c r="Q117" s="46">
        <f>IF(F117&gt;0,DATEDIF($F117,Employee!$U$1,"Y")*12*30+DATEDIF($F117,Employee!$U$1,"YM")*30+DATEDIF($F117,Employee!$U$1,"MD")+1,0)</f>
        <v>4440</v>
      </c>
      <c r="R117" s="46">
        <f>IF(F117&gt;0,IF(M117=$AG$23,0,IF($M117=$AF$23,DATEDIF($F117,Employee!$U$1,"D")-(DATEDIF($F117,Employee!$U$1,"D")*5/365)+1,DATEDIF($M117,Employee!$U$1,"D")-(DATEDIF($M117,Employee!$U$1,"D")*5/365)+1)),0)</f>
        <v>87.794520547945211</v>
      </c>
      <c r="S117" s="46">
        <f>IF($Q117&lt;=1800,($Q117/360*$K117)*0.5,($Q117-1800)/360*$K117+1800/360*$K117*0.5)</f>
        <v>64182.166666666664</v>
      </c>
      <c r="T117" s="46">
        <f>IF($P117=21,0.0583333333333333*$R117*$K117/30,0.0833333333333333*$R117*$K117/30)</f>
        <v>1591.7634322678837</v>
      </c>
      <c r="U117" s="46">
        <f>IFERROR(IF($R117&gt;=360,IF(O117&gt;4,IF($N117=$AH$23,VLOOKUP($E117,$AF$4:$AG$22,2,0)*4,VLOOKUP($E117,$AF$4:$AG$22,2,0)),IF($N117=$AH$23,VLOOKUP($E117,$AF$4:$AG$22,2,0)*O117,VLOOKUP($E117,$AF$4:$AG$22,2,0))),(IF(O117&gt;4,IF($N117=$AH$23,VLOOKUP($E117,$AF$4:$AG$22,2,0)*4,VLOOKUP($E117,$AF$4:$AG$22,2,0)),IF($N117=$AH$23,VLOOKUP($E117,$AF$4:$AG$22,2,0)*O117,VLOOKUP($E117,$AF$4:$AG$22,2,0))))/360*$R117),0)</f>
        <v>0</v>
      </c>
      <c r="V117" s="46">
        <f>IF(F117&gt;0,DATEDIF($F117,Employee!$Z$1,"Y")*12*30+DATEDIF($F117,Employee!$Z$1,"YM")*30+DATEDIF($F117,Employee!$Z$1,"MD")+1,0)</f>
        <v>4471</v>
      </c>
      <c r="W117" s="46">
        <f>IF(F117&gt;0,IF(M117=$AG$23,0,IF($M117=$AF$23,DATEDIF($F117,Employee!$Z$1,"D")-(DATEDIF($F117,Employee!$Z$1,"D")*5/365)+1,DATEDIF($M117,Employee!$Z$1,"D")-(DATEDIF($M117,Employee!$Z$1,"D")*5/365)+1)),0)</f>
        <v>118.36986301369863</v>
      </c>
      <c r="X117" s="46">
        <f>IF($V117&lt;=1800,($V117/360*$K117)*0.5,($V117-1800)/360*$K117+1800/360*$K117*0.5)</f>
        <v>64744.213888888888</v>
      </c>
      <c r="Y117" s="46">
        <f>IF($P117=21,0.0583333333333333*$W117*$K117/30,0.0833333333333333*$W117*$K117/30)</f>
        <v>2146.1113774733631</v>
      </c>
      <c r="Z117" s="46">
        <f>IFERROR(IF($W117&gt;=360,IF(O117&gt;4,IF($N117=$AH$23,VLOOKUP($E117,$AF$4:$AG$22,2,0)*4,VLOOKUP($E117,$AF$4:$AG$22,2,0)),IF($N117=$AH$23,VLOOKUP($E117,$AF$4:$AG$22,2,0)*O117,VLOOKUP($E117,$AF$4:$AG$22,2,0))),(IF(O117&gt;4,IF($N117=$AH$23,VLOOKUP($E117,$AF$4:$AG$22,2,0)*4,VLOOKUP($E117,$AF$4:$AG$22,2,0)),IF($N117=$AH$23,VLOOKUP($E117,$AF$4:$AG$22,2,0)*O117,VLOOKUP($E117,$AF$4:$AG$22,2,0))))/360*$W117),0)</f>
        <v>0</v>
      </c>
      <c r="AA117" s="49">
        <f>Table1[[#This Row],[نهاية الخدمة2]]-Table1[[#This Row],[نهاية الخدمة]]</f>
        <v>562.04722222222335</v>
      </c>
      <c r="AB117" s="49">
        <f>Table1[[#This Row],[رصيد اجازات2]]-Table1[[#This Row],[رصيد اجازات]]</f>
        <v>554.34794520547939</v>
      </c>
      <c r="AC117" s="49">
        <f>Table1[[#This Row],[تذاكر سفر2]]-Table1[[#This Row],[تذاكر سفر]]</f>
        <v>0</v>
      </c>
      <c r="AD117" s="5"/>
      <c r="AE117" s="5"/>
      <c r="AF117" s="5"/>
      <c r="AG117" s="5"/>
    </row>
    <row r="118" spans="1:33" ht="21.95" customHeight="1" x14ac:dyDescent="0.35">
      <c r="A118" s="32">
        <f>SUBTOTAL(3,C$3:$C118)</f>
        <v>116</v>
      </c>
      <c r="B118" s="30" t="s">
        <v>192</v>
      </c>
      <c r="C118" s="31" t="s">
        <v>72</v>
      </c>
      <c r="D118" s="50">
        <v>127601101102</v>
      </c>
      <c r="E118" s="51" t="s">
        <v>30</v>
      </c>
      <c r="F118" s="52">
        <v>40179</v>
      </c>
      <c r="G118" s="51">
        <v>35201</v>
      </c>
      <c r="H118" s="51">
        <v>5032</v>
      </c>
      <c r="I118" s="51">
        <v>252</v>
      </c>
      <c r="J118" s="51">
        <v>0</v>
      </c>
      <c r="K118" s="51">
        <f t="shared" si="3"/>
        <v>40485</v>
      </c>
      <c r="L118" s="52" t="s">
        <v>21</v>
      </c>
      <c r="M118" s="52" t="s">
        <v>21</v>
      </c>
      <c r="N118" s="51" t="s">
        <v>24</v>
      </c>
      <c r="O118" s="51">
        <v>0</v>
      </c>
      <c r="P118" s="53">
        <v>21</v>
      </c>
      <c r="Q118" s="54">
        <f>IF(F118&gt;0,DATEDIF($F118,Employee!$U$1,"Y")*12*30+DATEDIF($F118,Employee!$U$1,"YM")*30+DATEDIF($F118,Employee!$U$1,"MD")+1,0)</f>
        <v>4440</v>
      </c>
      <c r="R118" s="51">
        <f>IF(F118&gt;0,IF(M118=$AG$23,0,IF($M118=$AF$23,DATEDIF($F118,Employee!$U$1,"D")-(DATEDIF($F118,Employee!$U$1,"D")*5/365)+1,DATEDIF($M118,Employee!$U$1,"D")-(DATEDIF($M118,Employee!$U$1,"D")*5/365)+1)),0)</f>
        <v>4441.3287671232874</v>
      </c>
      <c r="S118" s="51">
        <f>IF($Q118&lt;=1800,($Q118/360*$K118)*0.5,($Q118-1800)/360*$K118+1800/360*$K118*0.5)</f>
        <v>398102.5</v>
      </c>
      <c r="T118" s="51">
        <f>IF($P118=21,0.0583333333333333*$R118*$K118/30,0.0833333333333333*$R118*$K118/30)</f>
        <v>349625.10165525094</v>
      </c>
      <c r="U118" s="55">
        <f>IFERROR(IF($R118&gt;=360,IF(O118&gt;4,IF($N118=$AH$23,VLOOKUP($E118,$AF$4:$AG$22,2,0)*4,VLOOKUP($E118,$AF$4:$AG$22,2,0)),IF($N118=$AH$23,VLOOKUP($E118,$AF$4:$AG$22,2,0)*O118,VLOOKUP($E118,$AF$4:$AG$22,2,0))),(IF(O118&gt;4,IF($N118=$AH$23,VLOOKUP($E118,$AF$4:$AG$22,2,0)*4,VLOOKUP($E118,$AF$4:$AG$22,2,0)),IF($N118=$AH$23,VLOOKUP($E118,$AF$4:$AG$22,2,0)*O118,VLOOKUP($E118,$AF$4:$AG$22,2,0))))/360*$R118),0)</f>
        <v>0</v>
      </c>
      <c r="V118" s="56">
        <f>IF(F118&gt;0,DATEDIF($F118,Employee!$Z$1,"Y")*12*30+DATEDIF($F118,Employee!$Z$1,"YM")*30+DATEDIF($F118,Employee!$Z$1,"MD")+1,0)</f>
        <v>4471</v>
      </c>
      <c r="W118" s="51">
        <f>IF(F118&gt;0,IF(M118=$AG$23,0,IF($M118=$AF$23,DATEDIF($F118,Employee!$Z$1,"D")-(DATEDIF($F118,Employee!$Z$1,"D")*5/365)+1,DATEDIF($M118,Employee!$Z$1,"D")-(DATEDIF($M118,Employee!$Z$1,"D")*5/365)+1)),0)</f>
        <v>4471.9041095890407</v>
      </c>
      <c r="X118" s="51">
        <f>IF($V118&lt;=1800,($V118/360*$K118)*0.5,($V118-1800)/360*$K118+1800/360*$K118*0.5)</f>
        <v>401588.70833333331</v>
      </c>
      <c r="Y118" s="51">
        <f>IF($P118=21,0.0583333333333333*$W118*$K118/30,0.0833333333333333*$W118*$K118/30)</f>
        <v>352032.01809360704</v>
      </c>
      <c r="Z118" s="51">
        <f>IFERROR(IF($W118&gt;=360,IF(O118&gt;4,IF($N118=$AH$23,VLOOKUP($E118,$AF$4:$AG$22,2,0)*4,VLOOKUP($E118,$AF$4:$AG$22,2,0)),IF($N118=$AH$23,VLOOKUP($E118,$AF$4:$AG$22,2,0)*O118,VLOOKUP($E118,$AF$4:$AG$22,2,0))),(IF(O118&gt;4,IF($N118=$AH$23,VLOOKUP($E118,$AF$4:$AG$22,2,0)*4,VLOOKUP($E118,$AF$4:$AG$22,2,0)),IF($N118=$AH$23,VLOOKUP($E118,$AF$4:$AG$22,2,0)*O118,VLOOKUP($E118,$AF$4:$AG$22,2,0))))/360*$W118),0)</f>
        <v>0</v>
      </c>
      <c r="AA118" s="57">
        <f>Table1[[#This Row],[نهاية الخدمة2]]-Table1[[#This Row],[نهاية الخدمة]]</f>
        <v>3486.2083333333139</v>
      </c>
      <c r="AB118" s="57">
        <f>Table1[[#This Row],[رصيد اجازات2]]-Table1[[#This Row],[رصيد اجازات]]</f>
        <v>2406.9164383561001</v>
      </c>
      <c r="AC118" s="58">
        <f>Table1[[#This Row],[تذاكر سفر2]]-Table1[[#This Row],[تذاكر سفر]]</f>
        <v>0</v>
      </c>
      <c r="AD118" s="5"/>
      <c r="AE118" s="5"/>
      <c r="AF118" s="5"/>
      <c r="AG118" s="5"/>
    </row>
    <row r="119" spans="1:33" ht="21.95" customHeight="1" x14ac:dyDescent="0.35">
      <c r="A119" s="32">
        <f>SUBTOTAL(3,C$3:$C119)</f>
        <v>117</v>
      </c>
      <c r="B119" s="30" t="s">
        <v>193</v>
      </c>
      <c r="C119" s="33" t="s">
        <v>73</v>
      </c>
      <c r="D119" s="45">
        <v>128701101102</v>
      </c>
      <c r="E119" s="46" t="s">
        <v>27</v>
      </c>
      <c r="F119" s="47">
        <v>40179</v>
      </c>
      <c r="G119" s="46">
        <v>5026</v>
      </c>
      <c r="H119" s="46">
        <v>1001</v>
      </c>
      <c r="I119" s="46">
        <v>500</v>
      </c>
      <c r="J119" s="46">
        <v>0</v>
      </c>
      <c r="K119" s="46">
        <f t="shared" si="3"/>
        <v>6527</v>
      </c>
      <c r="L119" s="47">
        <v>43800</v>
      </c>
      <c r="M119" s="47">
        <v>43831</v>
      </c>
      <c r="N119" s="46" t="s">
        <v>24</v>
      </c>
      <c r="O119" s="46">
        <v>0</v>
      </c>
      <c r="P119" s="48">
        <v>21</v>
      </c>
      <c r="Q119" s="46">
        <f>IF(F119&gt;0,DATEDIF($F119,Employee!$U$1,"Y")*12*30+DATEDIF($F119,Employee!$U$1,"YM")*30+DATEDIF($F119,Employee!$U$1,"MD")+1,0)</f>
        <v>4440</v>
      </c>
      <c r="R119" s="46">
        <f>IF(F119&gt;0,IF(M119=$AG$23,0,IF($M119=$AF$23,DATEDIF($F119,Employee!$U$1,"D")-(DATEDIF($F119,Employee!$U$1,"D")*5/365)+1,DATEDIF($M119,Employee!$U$1,"D")-(DATEDIF($M119,Employee!$U$1,"D")*5/365)+1)),0)</f>
        <v>839.35616438356169</v>
      </c>
      <c r="S119" s="46">
        <f>IF($Q119&lt;=1800,($Q119/360*$K119)*0.5,($Q119-1800)/360*$K119+1800/360*$K119*0.5)</f>
        <v>64182.166666666664</v>
      </c>
      <c r="T119" s="46">
        <f>IF($P119=21,0.0583333333333333*$R119*$K119/30,0.0833333333333333*$R119*$K119/30)</f>
        <v>10652.595498477924</v>
      </c>
      <c r="U119" s="46">
        <f>IFERROR(IF($R119&gt;=360,IF(O119&gt;4,IF($N119=$AH$23,VLOOKUP($E119,$AF$4:$AG$22,2,0)*4,VLOOKUP($E119,$AF$4:$AG$22,2,0)),IF($N119=$AH$23,VLOOKUP($E119,$AF$4:$AG$22,2,0)*O119,VLOOKUP($E119,$AF$4:$AG$22,2,0))),(IF(O119&gt;4,IF($N119=$AH$23,VLOOKUP($E119,$AF$4:$AG$22,2,0)*4,VLOOKUP($E119,$AF$4:$AG$22,2,0)),IF($N119=$AH$23,VLOOKUP($E119,$AF$4:$AG$22,2,0)*O119,VLOOKUP($E119,$AF$4:$AG$22,2,0))))/360*$R119),0)</f>
        <v>2000</v>
      </c>
      <c r="V119" s="46">
        <f>IF(F119&gt;0,DATEDIF($F119,Employee!$Z$1,"Y")*12*30+DATEDIF($F119,Employee!$Z$1,"YM")*30+DATEDIF($F119,Employee!$Z$1,"MD")+1,0)</f>
        <v>4471</v>
      </c>
      <c r="W119" s="46">
        <f>IF(F119&gt;0,IF(M119=$AG$23,0,IF($M119=$AF$23,DATEDIF($F119,Employee!$Z$1,"D")-(DATEDIF($F119,Employee!$Z$1,"D")*5/365)+1,DATEDIF($M119,Employee!$Z$1,"D")-(DATEDIF($M119,Employee!$Z$1,"D")*5/365)+1)),0)</f>
        <v>869.93150684931504</v>
      </c>
      <c r="X119" s="46">
        <f>IF($V119&lt;=1800,($V119/360*$K119)*0.5,($V119-1800)/360*$K119+1800/360*$K119*0.5)</f>
        <v>64744.213888888888</v>
      </c>
      <c r="Y119" s="46">
        <f>IF($P119=21,0.0583333333333333*$W119*$K119/30,0.0833333333333333*$W119*$K119/30)</f>
        <v>11040.639060121757</v>
      </c>
      <c r="Z119" s="46">
        <f>IFERROR(IF($W119&gt;=360,IF(O119&gt;4,IF($N119=$AH$23,VLOOKUP($E119,$AF$4:$AG$22,2,0)*4,VLOOKUP($E119,$AF$4:$AG$22,2,0)),IF($N119=$AH$23,VLOOKUP($E119,$AF$4:$AG$22,2,0)*O119,VLOOKUP($E119,$AF$4:$AG$22,2,0))),(IF(O119&gt;4,IF($N119=$AH$23,VLOOKUP($E119,$AF$4:$AG$22,2,0)*4,VLOOKUP($E119,$AF$4:$AG$22,2,0)),IF($N119=$AH$23,VLOOKUP($E119,$AF$4:$AG$22,2,0)*O119,VLOOKUP($E119,$AF$4:$AG$22,2,0))))/360*$W119),0)</f>
        <v>2000</v>
      </c>
      <c r="AA119" s="49">
        <f>Table1[[#This Row],[نهاية الخدمة2]]-Table1[[#This Row],[نهاية الخدمة]]</f>
        <v>562.04722222222335</v>
      </c>
      <c r="AB119" s="49">
        <f>Table1[[#This Row],[رصيد اجازات2]]-Table1[[#This Row],[رصيد اجازات]]</f>
        <v>388.04356164383353</v>
      </c>
      <c r="AC119" s="49">
        <f>Table1[[#This Row],[تذاكر سفر2]]-Table1[[#This Row],[تذاكر سفر]]</f>
        <v>0</v>
      </c>
      <c r="AD119" s="5"/>
      <c r="AE119" s="5"/>
      <c r="AF119" s="5"/>
      <c r="AG119" s="5"/>
    </row>
    <row r="120" spans="1:33" ht="21.95" customHeight="1" x14ac:dyDescent="0.35">
      <c r="A120" s="32">
        <f>SUBTOTAL(3,C$3:$C120)</f>
        <v>118</v>
      </c>
      <c r="B120" s="30" t="s">
        <v>194</v>
      </c>
      <c r="C120" s="33" t="s">
        <v>74</v>
      </c>
      <c r="D120" s="50">
        <v>129801101102</v>
      </c>
      <c r="E120" s="51" t="s">
        <v>33</v>
      </c>
      <c r="F120" s="52">
        <v>40179</v>
      </c>
      <c r="G120" s="51">
        <v>35201</v>
      </c>
      <c r="H120" s="51">
        <v>5032</v>
      </c>
      <c r="I120" s="51">
        <v>252</v>
      </c>
      <c r="J120" s="51">
        <v>0</v>
      </c>
      <c r="K120" s="51">
        <f t="shared" ref="K120:K126" si="4">G120+H120+I120+J120</f>
        <v>40485</v>
      </c>
      <c r="L120" s="52">
        <v>43739</v>
      </c>
      <c r="M120" s="52">
        <v>43800</v>
      </c>
      <c r="N120" s="51" t="s">
        <v>24</v>
      </c>
      <c r="O120" s="51">
        <v>0</v>
      </c>
      <c r="P120" s="53">
        <v>21</v>
      </c>
      <c r="Q120" s="54">
        <f>IF(F120&gt;0,DATEDIF($F120,Employee!$U$1,"Y")*12*30+DATEDIF($F120,Employee!$U$1,"YM")*30+DATEDIF($F120,Employee!$U$1,"MD")+1,0)</f>
        <v>4440</v>
      </c>
      <c r="R120" s="51">
        <f>IF(F120&gt;0,IF(M120=$AG$23,0,IF($M120=$AF$23,DATEDIF($F120,Employee!$U$1,"D")-(DATEDIF($F120,Employee!$U$1,"D")*5/365)+1,DATEDIF($M120,Employee!$U$1,"D")-(DATEDIF($M120,Employee!$U$1,"D")*5/365)+1)),0)</f>
        <v>869.93150684931504</v>
      </c>
      <c r="S120" s="51">
        <f>IF($Q120&lt;=1800,($Q120/360*$K120)*0.5,($Q120-1800)/360*$K120+1800/360*$K120*0.5)</f>
        <v>398102.5</v>
      </c>
      <c r="T120" s="51">
        <f>IF($P120=21,0.0583333333333333*$R120*$K120/30,0.0833333333333333*$R120*$K120/30)</f>
        <v>68481.733162100412</v>
      </c>
      <c r="U120" s="55">
        <f>IFERROR(IF($R120&gt;=360,IF(O120&gt;4,IF($N120=$AH$23,VLOOKUP($E120,$AF$4:$AG$22,2,0)*4,VLOOKUP($E120,$AF$4:$AG$22,2,0)),IF($N120=$AH$23,VLOOKUP($E120,$AF$4:$AG$22,2,0)*O120,VLOOKUP($E120,$AF$4:$AG$22,2,0))),(IF(O120&gt;4,IF($N120=$AH$23,VLOOKUP($E120,$AF$4:$AG$22,2,0)*4,VLOOKUP($E120,$AF$4:$AG$22,2,0)),IF($N120=$AH$23,VLOOKUP($E120,$AF$4:$AG$22,2,0)*O120,VLOOKUP($E120,$AF$4:$AG$22,2,0))))/360*$R120),0)</f>
        <v>2000</v>
      </c>
      <c r="V120" s="56">
        <f>IF(F120&gt;0,DATEDIF($F120,Employee!$Z$1,"Y")*12*30+DATEDIF($F120,Employee!$Z$1,"YM")*30+DATEDIF($F120,Employee!$Z$1,"MD")+1,0)</f>
        <v>4471</v>
      </c>
      <c r="W120" s="51">
        <f>IF(F120&gt;0,IF(M120=$AG$23,0,IF($M120=$AF$23,DATEDIF($F120,Employee!$Z$1,"D")-(DATEDIF($F120,Employee!$Z$1,"D")*5/365)+1,DATEDIF($M120,Employee!$Z$1,"D")-(DATEDIF($M120,Employee!$Z$1,"D")*5/365)+1)),0)</f>
        <v>900.50684931506851</v>
      </c>
      <c r="X120" s="51">
        <f>IF($V120&lt;=1800,($V120/360*$K120)*0.5,($V120-1800)/360*$K120+1800/360*$K120*0.5)</f>
        <v>401588.70833333331</v>
      </c>
      <c r="Y120" s="51">
        <f>IF($P120=21,0.0583333333333333*$W120*$K120/30,0.0833333333333333*$W120*$K120/30)</f>
        <v>70888.649600456571</v>
      </c>
      <c r="Z120" s="51">
        <f>IFERROR(IF($W120&gt;=360,IF(O120&gt;4,IF($N120=$AH$23,VLOOKUP($E120,$AF$4:$AG$22,2,0)*4,VLOOKUP($E120,$AF$4:$AG$22,2,0)),IF($N120=$AH$23,VLOOKUP($E120,$AF$4:$AG$22,2,0)*O120,VLOOKUP($E120,$AF$4:$AG$22,2,0))),(IF(O120&gt;4,IF($N120=$AH$23,VLOOKUP($E120,$AF$4:$AG$22,2,0)*4,VLOOKUP($E120,$AF$4:$AG$22,2,0)),IF($N120=$AH$23,VLOOKUP($E120,$AF$4:$AG$22,2,0)*O120,VLOOKUP($E120,$AF$4:$AG$22,2,0))))/360*$W120),0)</f>
        <v>2000</v>
      </c>
      <c r="AA120" s="57">
        <f>Table1[[#This Row],[نهاية الخدمة2]]-Table1[[#This Row],[نهاية الخدمة]]</f>
        <v>3486.2083333333139</v>
      </c>
      <c r="AB120" s="57">
        <f>Table1[[#This Row],[رصيد اجازات2]]-Table1[[#This Row],[رصيد اجازات]]</f>
        <v>2406.9164383561583</v>
      </c>
      <c r="AC120" s="58">
        <f>Table1[[#This Row],[تذاكر سفر2]]-Table1[[#This Row],[تذاكر سفر]]</f>
        <v>0</v>
      </c>
      <c r="AD120" s="5"/>
      <c r="AE120" s="5"/>
      <c r="AF120" s="5"/>
      <c r="AG120" s="5"/>
    </row>
    <row r="121" spans="1:33" ht="21.95" customHeight="1" x14ac:dyDescent="0.35">
      <c r="A121" s="32">
        <f>SUBTOTAL(3,C$3:$C121)</f>
        <v>119</v>
      </c>
      <c r="B121" s="30" t="s">
        <v>195</v>
      </c>
      <c r="C121" s="34" t="s">
        <v>75</v>
      </c>
      <c r="D121" s="45">
        <v>130901101102</v>
      </c>
      <c r="E121" s="46" t="s">
        <v>30</v>
      </c>
      <c r="F121" s="47">
        <v>40179</v>
      </c>
      <c r="G121" s="46">
        <v>5026</v>
      </c>
      <c r="H121" s="46">
        <v>1001</v>
      </c>
      <c r="I121" s="46">
        <v>500</v>
      </c>
      <c r="J121" s="46">
        <v>0</v>
      </c>
      <c r="K121" s="46">
        <f t="shared" si="4"/>
        <v>6527</v>
      </c>
      <c r="L121" s="47" t="s">
        <v>21</v>
      </c>
      <c r="M121" s="47" t="s">
        <v>21</v>
      </c>
      <c r="N121" s="46" t="s">
        <v>24</v>
      </c>
      <c r="O121" s="46">
        <v>0</v>
      </c>
      <c r="P121" s="48">
        <v>21</v>
      </c>
      <c r="Q121" s="46">
        <f>IF(F121&gt;0,DATEDIF($F121,Employee!$U$1,"Y")*12*30+DATEDIF($F121,Employee!$U$1,"YM")*30+DATEDIF($F121,Employee!$U$1,"MD")+1,0)</f>
        <v>4440</v>
      </c>
      <c r="R121" s="46">
        <f>IF(F121&gt;0,IF(M121=$AG$23,0,IF($M121=$AF$23,DATEDIF($F121,Employee!$U$1,"D")-(DATEDIF($F121,Employee!$U$1,"D")*5/365)+1,DATEDIF($M121,Employee!$U$1,"D")-(DATEDIF($M121,Employee!$U$1,"D")*5/365)+1)),0)</f>
        <v>4441.3287671232874</v>
      </c>
      <c r="S121" s="46">
        <f>IF($Q121&lt;=1800,($Q121/360*$K121)*0.5,($Q121-1800)/360*$K121+1800/360*$K121*0.5)</f>
        <v>64182.166666666664</v>
      </c>
      <c r="T121" s="46">
        <f>IF($P121=21,0.0583333333333333*$R121*$K121/30,0.0833333333333333*$R121*$K121/30)</f>
        <v>56366.630566971042</v>
      </c>
      <c r="U121" s="46">
        <f>IFERROR(IF($R121&gt;=360,IF(O121&gt;4,IF($N121=$AH$23,VLOOKUP($E121,$AF$4:$AG$22,2,0)*4,VLOOKUP($E121,$AF$4:$AG$22,2,0)),IF($N121=$AH$23,VLOOKUP($E121,$AF$4:$AG$22,2,0)*O121,VLOOKUP($E121,$AF$4:$AG$22,2,0))),(IF(O121&gt;4,IF($N121=$AH$23,VLOOKUP($E121,$AF$4:$AG$22,2,0)*4,VLOOKUP($E121,$AF$4:$AG$22,2,0)),IF($N121=$AH$23,VLOOKUP($E121,$AF$4:$AG$22,2,0)*O121,VLOOKUP($E121,$AF$4:$AG$22,2,0))))/360*$R121),0)</f>
        <v>0</v>
      </c>
      <c r="V121" s="46">
        <f>IF(F121&gt;0,DATEDIF($F121,Employee!$Z$1,"Y")*12*30+DATEDIF($F121,Employee!$Z$1,"YM")*30+DATEDIF($F121,Employee!$Z$1,"MD")+1,0)</f>
        <v>4471</v>
      </c>
      <c r="W121" s="46">
        <f>IF(F121&gt;0,IF(M121=$AG$23,0,IF($M121=$AF$23,DATEDIF($F121,Employee!$Z$1,"D")-(DATEDIF($F121,Employee!$Z$1,"D")*5/365)+1,DATEDIF($M121,Employee!$Z$1,"D")-(DATEDIF($M121,Employee!$Z$1,"D")*5/365)+1)),0)</f>
        <v>4471.9041095890407</v>
      </c>
      <c r="X121" s="46">
        <f>IF($V121&lt;=1800,($V121/360*$K121)*0.5,($V121-1800)/360*$K121+1800/360*$K121*0.5)</f>
        <v>64744.213888888888</v>
      </c>
      <c r="Y121" s="46">
        <f>IF($P121=21,0.0583333333333333*$W121*$K121/30,0.0833333333333333*$W121*$K121/30)</f>
        <v>56754.674128614868</v>
      </c>
      <c r="Z121" s="46">
        <f>IFERROR(IF($W121&gt;=360,IF(O121&gt;4,IF($N121=$AH$23,VLOOKUP($E121,$AF$4:$AG$22,2,0)*4,VLOOKUP($E121,$AF$4:$AG$22,2,0)),IF($N121=$AH$23,VLOOKUP($E121,$AF$4:$AG$22,2,0)*O121,VLOOKUP($E121,$AF$4:$AG$22,2,0))),(IF(O121&gt;4,IF($N121=$AH$23,VLOOKUP($E121,$AF$4:$AG$22,2,0)*4,VLOOKUP($E121,$AF$4:$AG$22,2,0)),IF($N121=$AH$23,VLOOKUP($E121,$AF$4:$AG$22,2,0)*O121,VLOOKUP($E121,$AF$4:$AG$22,2,0))))/360*$W121),0)</f>
        <v>0</v>
      </c>
      <c r="AA121" s="49">
        <f>Table1[[#This Row],[نهاية الخدمة2]]-Table1[[#This Row],[نهاية الخدمة]]</f>
        <v>562.04722222222335</v>
      </c>
      <c r="AB121" s="49">
        <f>Table1[[#This Row],[رصيد اجازات2]]-Table1[[#This Row],[رصيد اجازات]]</f>
        <v>388.04356164382625</v>
      </c>
      <c r="AC121" s="49">
        <f>Table1[[#This Row],[تذاكر سفر2]]-Table1[[#This Row],[تذاكر سفر]]</f>
        <v>0</v>
      </c>
      <c r="AD121" s="5"/>
      <c r="AE121" s="5"/>
      <c r="AF121" s="5"/>
      <c r="AG121" s="5"/>
    </row>
    <row r="122" spans="1:33" ht="21.95" customHeight="1" x14ac:dyDescent="0.35">
      <c r="A122" s="32">
        <f>SUBTOTAL(3,C$3:$C122)</f>
        <v>120</v>
      </c>
      <c r="B122" s="30" t="s">
        <v>196</v>
      </c>
      <c r="C122" s="33" t="s">
        <v>76</v>
      </c>
      <c r="D122" s="50">
        <v>132001101102</v>
      </c>
      <c r="E122" s="51" t="s">
        <v>30</v>
      </c>
      <c r="F122" s="52">
        <v>40179</v>
      </c>
      <c r="G122" s="51">
        <v>35201</v>
      </c>
      <c r="H122" s="51">
        <v>5032</v>
      </c>
      <c r="I122" s="51">
        <v>252</v>
      </c>
      <c r="J122" s="51">
        <v>0</v>
      </c>
      <c r="K122" s="51">
        <f t="shared" si="4"/>
        <v>40485</v>
      </c>
      <c r="L122" s="52" t="s">
        <v>21</v>
      </c>
      <c r="M122" s="52" t="s">
        <v>21</v>
      </c>
      <c r="N122" s="51" t="s">
        <v>24</v>
      </c>
      <c r="O122" s="51">
        <v>0</v>
      </c>
      <c r="P122" s="53">
        <v>21</v>
      </c>
      <c r="Q122" s="54">
        <f>IF(F122&gt;0,DATEDIF($F122,Employee!$U$1,"Y")*12*30+DATEDIF($F122,Employee!$U$1,"YM")*30+DATEDIF($F122,Employee!$U$1,"MD")+1,0)</f>
        <v>4440</v>
      </c>
      <c r="R122" s="51">
        <f>IF(F122&gt;0,IF(M122=$AG$23,0,IF($M122=$AF$23,DATEDIF($F122,Employee!$U$1,"D")-(DATEDIF($F122,Employee!$U$1,"D")*5/365)+1,DATEDIF($M122,Employee!$U$1,"D")-(DATEDIF($M122,Employee!$U$1,"D")*5/365)+1)),0)</f>
        <v>4441.3287671232874</v>
      </c>
      <c r="S122" s="51">
        <f>IF($Q122&lt;=1800,($Q122/360*$K122)*0.5,($Q122-1800)/360*$K122+1800/360*$K122*0.5)</f>
        <v>398102.5</v>
      </c>
      <c r="T122" s="51">
        <f>IF($P122=21,0.0583333333333333*$R122*$K122/30,0.0833333333333333*$R122*$K122/30)</f>
        <v>349625.10165525094</v>
      </c>
      <c r="U122" s="55">
        <f>IFERROR(IF($R122&gt;=360,IF(O122&gt;4,IF($N122=$AH$23,VLOOKUP($E122,$AF$4:$AG$22,2,0)*4,VLOOKUP($E122,$AF$4:$AG$22,2,0)),IF($N122=$AH$23,VLOOKUP($E122,$AF$4:$AG$22,2,0)*O122,VLOOKUP($E122,$AF$4:$AG$22,2,0))),(IF(O122&gt;4,IF($N122=$AH$23,VLOOKUP($E122,$AF$4:$AG$22,2,0)*4,VLOOKUP($E122,$AF$4:$AG$22,2,0)),IF($N122=$AH$23,VLOOKUP($E122,$AF$4:$AG$22,2,0)*O122,VLOOKUP($E122,$AF$4:$AG$22,2,0))))/360*$R122),0)</f>
        <v>0</v>
      </c>
      <c r="V122" s="56">
        <f>IF(F122&gt;0,DATEDIF($F122,Employee!$Z$1,"Y")*12*30+DATEDIF($F122,Employee!$Z$1,"YM")*30+DATEDIF($F122,Employee!$Z$1,"MD")+1,0)</f>
        <v>4471</v>
      </c>
      <c r="W122" s="51">
        <f>IF(F122&gt;0,IF(M122=$AG$23,0,IF($M122=$AF$23,DATEDIF($F122,Employee!$Z$1,"D")-(DATEDIF($F122,Employee!$Z$1,"D")*5/365)+1,DATEDIF($M122,Employee!$Z$1,"D")-(DATEDIF($M122,Employee!$Z$1,"D")*5/365)+1)),0)</f>
        <v>4471.9041095890407</v>
      </c>
      <c r="X122" s="51">
        <f>IF($V122&lt;=1800,($V122/360*$K122)*0.5,($V122-1800)/360*$K122+1800/360*$K122*0.5)</f>
        <v>401588.70833333331</v>
      </c>
      <c r="Y122" s="51">
        <f>IF($P122=21,0.0583333333333333*$W122*$K122/30,0.0833333333333333*$W122*$K122/30)</f>
        <v>352032.01809360704</v>
      </c>
      <c r="Z122" s="51">
        <f>IFERROR(IF($W122&gt;=360,IF(O122&gt;4,IF($N122=$AH$23,VLOOKUP($E122,$AF$4:$AG$22,2,0)*4,VLOOKUP($E122,$AF$4:$AG$22,2,0)),IF($N122=$AH$23,VLOOKUP($E122,$AF$4:$AG$22,2,0)*O122,VLOOKUP($E122,$AF$4:$AG$22,2,0))),(IF(O122&gt;4,IF($N122=$AH$23,VLOOKUP($E122,$AF$4:$AG$22,2,0)*4,VLOOKUP($E122,$AF$4:$AG$22,2,0)),IF($N122=$AH$23,VLOOKUP($E122,$AF$4:$AG$22,2,0)*O122,VLOOKUP($E122,$AF$4:$AG$22,2,0))))/360*$W122),0)</f>
        <v>0</v>
      </c>
      <c r="AA122" s="57">
        <f>Table1[[#This Row],[نهاية الخدمة2]]-Table1[[#This Row],[نهاية الخدمة]]</f>
        <v>3486.2083333333139</v>
      </c>
      <c r="AB122" s="57">
        <f>Table1[[#This Row],[رصيد اجازات2]]-Table1[[#This Row],[رصيد اجازات]]</f>
        <v>2406.9164383561001</v>
      </c>
      <c r="AC122" s="58">
        <f>Table1[[#This Row],[تذاكر سفر2]]-Table1[[#This Row],[تذاكر سفر]]</f>
        <v>0</v>
      </c>
      <c r="AD122" s="5"/>
      <c r="AE122" s="5"/>
      <c r="AF122" s="5"/>
      <c r="AG122" s="5"/>
    </row>
    <row r="123" spans="1:33" ht="22.5" customHeight="1" x14ac:dyDescent="0.35">
      <c r="A123" s="32">
        <f>SUBTOTAL(3,C$3:$C123)</f>
        <v>121</v>
      </c>
      <c r="B123" s="30" t="s">
        <v>197</v>
      </c>
      <c r="C123" s="31" t="s">
        <v>72</v>
      </c>
      <c r="D123" s="45">
        <v>133101101102</v>
      </c>
      <c r="E123" s="46" t="s">
        <v>30</v>
      </c>
      <c r="F123" s="47">
        <v>40179</v>
      </c>
      <c r="G123" s="46">
        <v>5026</v>
      </c>
      <c r="H123" s="46">
        <v>1001</v>
      </c>
      <c r="I123" s="46">
        <v>500</v>
      </c>
      <c r="J123" s="46">
        <v>0</v>
      </c>
      <c r="K123" s="46">
        <f t="shared" si="4"/>
        <v>6527</v>
      </c>
      <c r="L123" s="47" t="s">
        <v>21</v>
      </c>
      <c r="M123" s="47" t="s">
        <v>21</v>
      </c>
      <c r="N123" s="46" t="s">
        <v>24</v>
      </c>
      <c r="O123" s="46">
        <v>0</v>
      </c>
      <c r="P123" s="48">
        <v>21</v>
      </c>
      <c r="Q123" s="46">
        <f>IF(F123&gt;0,DATEDIF($F123,Employee!$U$1,"Y")*12*30+DATEDIF($F123,Employee!$U$1,"YM")*30+DATEDIF($F123,Employee!$U$1,"MD")+1,0)</f>
        <v>4440</v>
      </c>
      <c r="R123" s="46">
        <f>IF(F123&gt;0,IF(M123=$AG$23,0,IF($M123=$AF$23,DATEDIF($F123,Employee!$U$1,"D")-(DATEDIF($F123,Employee!$U$1,"D")*5/365)+1,DATEDIF($M123,Employee!$U$1,"D")-(DATEDIF($M123,Employee!$U$1,"D")*5/365)+1)),0)</f>
        <v>4441.3287671232874</v>
      </c>
      <c r="S123" s="46"/>
      <c r="T123" s="46"/>
      <c r="U123" s="46">
        <f>IFERROR(IF($R123&gt;=360,IF(O123&gt;4,IF($N123=$AH$23,VLOOKUP($E123,$AF$4:$AG$22,2,0)*4,VLOOKUP($E123,$AF$4:$AG$22,2,0)),IF($N123=$AH$23,VLOOKUP($E123,$AF$4:$AG$22,2,0)*O123,VLOOKUP($E123,$AF$4:$AG$22,2,0))),(IF(O123&gt;4,IF($N123=$AH$23,VLOOKUP($E123,$AF$4:$AG$22,2,0)*4,VLOOKUP($E123,$AF$4:$AG$22,2,0)),IF($N123=$AH$23,VLOOKUP($E123,$AF$4:$AG$22,2,0)*O123,VLOOKUP($E123,$AF$4:$AG$22,2,0))))/360*$R123),0)</f>
        <v>0</v>
      </c>
      <c r="V123" s="46">
        <f>IF(F123&gt;0,DATEDIF($F123,Employee!$Z$1,"Y")*12*30+DATEDIF($F123,Employee!$Z$1,"YM")*30+DATEDIF($F123,Employee!$Z$1,"MD")+1,0)</f>
        <v>4471</v>
      </c>
      <c r="W123" s="46">
        <f>IF(F123&gt;0,IF(M123=$AG$23,0,IF($M123=$AF$23,DATEDIF($F123,Employee!$Z$1,"D")-(DATEDIF($F123,Employee!$Z$1,"D")*5/365)+1,DATEDIF($M123,Employee!$Z$1,"D")-(DATEDIF($M123,Employee!$Z$1,"D")*5/365)+1)),0)</f>
        <v>4471.9041095890407</v>
      </c>
      <c r="X123" s="46">
        <f>IF($V123&lt;=1800,($V123/360*$K123)*0.5,($V123-1800)/360*$K123+1800/360*$K123*0.5)</f>
        <v>64744.213888888888</v>
      </c>
      <c r="Y123" s="46">
        <f>IF($P123=21,0.0583333333333333*$W123*$K123/30,0.0833333333333333*$W123*$K123/30)</f>
        <v>56754.674128614868</v>
      </c>
      <c r="Z123" s="46">
        <f>IFERROR(IF($W123&gt;=360,IF(O123&gt;4,IF($N123=$AH$23,VLOOKUP($E123,$AF$4:$AG$22,2,0)*4,VLOOKUP($E123,$AF$4:$AG$22,2,0)),IF($N123=$AH$23,VLOOKUP($E123,$AF$4:$AG$22,2,0)*O123,VLOOKUP($E123,$AF$4:$AG$22,2,0))),(IF(O123&gt;4,IF($N123=$AH$23,VLOOKUP($E123,$AF$4:$AG$22,2,0)*4,VLOOKUP($E123,$AF$4:$AG$22,2,0)),IF($N123=$AH$23,VLOOKUP($E123,$AF$4:$AG$22,2,0)*O123,VLOOKUP($E123,$AF$4:$AG$22,2,0))))/360*$W123),0)</f>
        <v>0</v>
      </c>
      <c r="AA123" s="49">
        <f>Table1[[#This Row],[نهاية الخدمة2]]-Table1[[#This Row],[نهاية الخدمة]]</f>
        <v>64744.213888888888</v>
      </c>
      <c r="AB123" s="49">
        <f>Table1[[#This Row],[رصيد اجازات2]]-Table1[[#This Row],[رصيد اجازات]]</f>
        <v>56754.674128614868</v>
      </c>
      <c r="AC123" s="49">
        <f>Table1[[#This Row],[تذاكر سفر2]]-Table1[[#This Row],[تذاكر سفر]]</f>
        <v>0</v>
      </c>
      <c r="AD123" s="5"/>
      <c r="AE123" s="5"/>
      <c r="AF123" s="5"/>
      <c r="AG123" s="5"/>
    </row>
    <row r="124" spans="1:33" ht="21.95" customHeight="1" x14ac:dyDescent="0.35">
      <c r="A124" s="32">
        <f>SUBTOTAL(3,C$3:$C124)</f>
        <v>122</v>
      </c>
      <c r="B124" s="30" t="s">
        <v>198</v>
      </c>
      <c r="C124" s="33" t="s">
        <v>73</v>
      </c>
      <c r="D124" s="50">
        <v>134201101102</v>
      </c>
      <c r="E124" s="51" t="s">
        <v>30</v>
      </c>
      <c r="F124" s="52">
        <v>40179</v>
      </c>
      <c r="G124" s="51">
        <v>35201</v>
      </c>
      <c r="H124" s="51">
        <v>5032</v>
      </c>
      <c r="I124" s="51">
        <v>252</v>
      </c>
      <c r="J124" s="51">
        <v>0</v>
      </c>
      <c r="K124" s="51">
        <f t="shared" si="4"/>
        <v>40485</v>
      </c>
      <c r="L124" s="52" t="s">
        <v>21</v>
      </c>
      <c r="M124" s="52" t="s">
        <v>21</v>
      </c>
      <c r="N124" s="51" t="s">
        <v>24</v>
      </c>
      <c r="O124" s="51">
        <v>0</v>
      </c>
      <c r="P124" s="53">
        <v>21</v>
      </c>
      <c r="Q124" s="54">
        <f>IF(F124&gt;0,DATEDIF($F124,Employee!$U$1,"Y")*12*30+DATEDIF($F124,Employee!$U$1,"YM")*30+DATEDIF($F124,Employee!$U$1,"MD")+1,0)</f>
        <v>4440</v>
      </c>
      <c r="R124" s="51">
        <f>IF(F124&gt;0,IF(M124=$AG$23,0,IF($M124=$AF$23,DATEDIF($F124,Employee!$U$1,"D")-(DATEDIF($F124,Employee!$U$1,"D")*5/365)+1,DATEDIF($M124,Employee!$U$1,"D")-(DATEDIF($M124,Employee!$U$1,"D")*5/365)+1)),0)</f>
        <v>4441.3287671232874</v>
      </c>
      <c r="S124" s="51"/>
      <c r="T124" s="51"/>
      <c r="U124" s="55">
        <f>IFERROR(IF($R124&gt;=360,IF(O124&gt;4,IF($N124=$AH$23,VLOOKUP($E124,$AF$4:$AG$22,2,0)*4,VLOOKUP($E124,$AF$4:$AG$22,2,0)),IF($N124=$AH$23,VLOOKUP($E124,$AF$4:$AG$22,2,0)*O124,VLOOKUP($E124,$AF$4:$AG$22,2,0))),(IF(O124&gt;4,IF($N124=$AH$23,VLOOKUP($E124,$AF$4:$AG$22,2,0)*4,VLOOKUP($E124,$AF$4:$AG$22,2,0)),IF($N124=$AH$23,VLOOKUP($E124,$AF$4:$AG$22,2,0)*O124,VLOOKUP($E124,$AF$4:$AG$22,2,0))))/360*$R124),0)</f>
        <v>0</v>
      </c>
      <c r="V124" s="56">
        <f>IF(F124&gt;0,DATEDIF($F124,Employee!$Z$1,"Y")*12*30+DATEDIF($F124,Employee!$Z$1,"YM")*30+DATEDIF($F124,Employee!$Z$1,"MD")+1,0)</f>
        <v>4471</v>
      </c>
      <c r="W124" s="51">
        <f>IF(F124&gt;0,IF(M124=$AG$23,0,IF($M124=$AF$23,DATEDIF($F124,Employee!$Z$1,"D")-(DATEDIF($F124,Employee!$Z$1,"D")*5/365)+1,DATEDIF($M124,Employee!$Z$1,"D")-(DATEDIF($M124,Employee!$Z$1,"D")*5/365)+1)),0)</f>
        <v>4471.9041095890407</v>
      </c>
      <c r="X124" s="51">
        <f>IF($V124&lt;=1800,($V124/360*$K124)*0.5,($V124-1800)/360*$K124+1800/360*$K124*0.5)</f>
        <v>401588.70833333331</v>
      </c>
      <c r="Y124" s="51">
        <f>IF($P124=21,0.0583333333333333*$W124*$K124/30,0.0833333333333333*$W124*$K124/30)</f>
        <v>352032.01809360704</v>
      </c>
      <c r="Z124" s="51">
        <f>IFERROR(IF($W124&gt;=360,IF(O124&gt;4,IF($N124=$AH$23,VLOOKUP($E124,$AF$4:$AG$22,2,0)*4,VLOOKUP($E124,$AF$4:$AG$22,2,0)),IF($N124=$AH$23,VLOOKUP($E124,$AF$4:$AG$22,2,0)*O124,VLOOKUP($E124,$AF$4:$AG$22,2,0))),(IF(O124&gt;4,IF($N124=$AH$23,VLOOKUP($E124,$AF$4:$AG$22,2,0)*4,VLOOKUP($E124,$AF$4:$AG$22,2,0)),IF($N124=$AH$23,VLOOKUP($E124,$AF$4:$AG$22,2,0)*O124,VLOOKUP($E124,$AF$4:$AG$22,2,0))))/360*$W124),0)</f>
        <v>0</v>
      </c>
      <c r="AA124" s="57">
        <f>Table1[[#This Row],[نهاية الخدمة2]]-Table1[[#This Row],[نهاية الخدمة]]</f>
        <v>401588.70833333331</v>
      </c>
      <c r="AB124" s="57">
        <f>Table1[[#This Row],[رصيد اجازات2]]-Table1[[#This Row],[رصيد اجازات]]</f>
        <v>352032.01809360704</v>
      </c>
      <c r="AC124" s="58">
        <f>Table1[[#This Row],[تذاكر سفر2]]-Table1[[#This Row],[تذاكر سفر]]</f>
        <v>0</v>
      </c>
      <c r="AD124" s="5"/>
      <c r="AE124" s="5"/>
      <c r="AF124" s="5"/>
      <c r="AG124" s="5"/>
    </row>
    <row r="125" spans="1:33" ht="21.95" customHeight="1" x14ac:dyDescent="0.35">
      <c r="A125" s="32">
        <f>SUBTOTAL(3,C$3:$C125)</f>
        <v>123</v>
      </c>
      <c r="B125" s="30" t="s">
        <v>199</v>
      </c>
      <c r="C125" s="33" t="s">
        <v>74</v>
      </c>
      <c r="D125" s="45">
        <v>135301101102</v>
      </c>
      <c r="E125" s="46" t="s">
        <v>30</v>
      </c>
      <c r="F125" s="47">
        <v>40179</v>
      </c>
      <c r="G125" s="46">
        <v>5026</v>
      </c>
      <c r="H125" s="46">
        <v>1001</v>
      </c>
      <c r="I125" s="46">
        <v>500</v>
      </c>
      <c r="J125" s="46">
        <v>0</v>
      </c>
      <c r="K125" s="46">
        <f>G125+H125+I125+J125</f>
        <v>6527</v>
      </c>
      <c r="L125" s="47" t="s">
        <v>21</v>
      </c>
      <c r="M125" s="47" t="s">
        <v>21</v>
      </c>
      <c r="N125" s="46" t="s">
        <v>24</v>
      </c>
      <c r="O125" s="46">
        <v>0</v>
      </c>
      <c r="P125" s="48">
        <v>21</v>
      </c>
      <c r="Q125" s="46">
        <f>IF(F125&gt;0,DATEDIF($F125,Employee!$U$1,"Y")*12*30+DATEDIF($F125,Employee!$U$1,"YM")*30+DATEDIF($F125,Employee!$U$1,"MD")+1,0)</f>
        <v>4440</v>
      </c>
      <c r="R125" s="46">
        <f>IF(F125&gt;0,IF(M125=$AG$23,0,IF($M125=$AF$23,DATEDIF($F125,Employee!$U$1,"D")-(DATEDIF($F125,Employee!$U$1,"D")*5/365)+1,DATEDIF($M125,Employee!$U$1,"D")-(DATEDIF($M125,Employee!$U$1,"D")*5/365)+1)),0)</f>
        <v>4441.3287671232874</v>
      </c>
      <c r="S125" s="46">
        <f>IF($Q125&lt;=1800,($Q125/360*$K125)*0.5,($Q125-1800)/360*$K125+1800/360*$K125*0.5)</f>
        <v>64182.166666666664</v>
      </c>
      <c r="T125" s="46">
        <f>IF($P125=21,0.0583333333333333*$R125*$K125/30,0.0833333333333333*$R125*$K125/30)</f>
        <v>56366.630566971042</v>
      </c>
      <c r="U125" s="46">
        <f>IFERROR(IF($R125&gt;=360,IF(O125&gt;4,IF($N125=$AH$23,VLOOKUP($E125,$AF$4:$AG$22,2,0)*4,VLOOKUP($E125,$AF$4:$AG$22,2,0)),IF($N125=$AH$23,VLOOKUP($E125,$AF$4:$AG$22,2,0)*O125,VLOOKUP($E125,$AF$4:$AG$22,2,0))),(IF(O125&gt;4,IF($N125=$AH$23,VLOOKUP($E125,$AF$4:$AG$22,2,0)*4,VLOOKUP($E125,$AF$4:$AG$22,2,0)),IF($N125=$AH$23,VLOOKUP($E125,$AF$4:$AG$22,2,0)*O125,VLOOKUP($E125,$AF$4:$AG$22,2,0))))/360*$R125),0)</f>
        <v>0</v>
      </c>
      <c r="V125" s="46">
        <f>IF(F125&gt;0,DATEDIF($F125,Employee!$Z$1,"Y")*12*30+DATEDIF($F125,Employee!$Z$1,"YM")*30+DATEDIF($F125,Employee!$Z$1,"MD")+1,0)</f>
        <v>4471</v>
      </c>
      <c r="W125" s="46">
        <f>IF(F125&gt;0,IF(M125=$AG$23,0,IF($M125=$AF$23,DATEDIF($F125,Employee!$Z$1,"D")-(DATEDIF($F125,Employee!$Z$1,"D")*5/365)+1,DATEDIF($M125,Employee!$Z$1,"D")-(DATEDIF($M125,Employee!$Z$1,"D")*5/365)+1)),0)</f>
        <v>4471.9041095890407</v>
      </c>
      <c r="X125" s="46">
        <f>IF($V125&lt;=1800,($V125/360*$K125)*0.5,($V125-1800)/360*$K125+1800/360*$K125*0.5)</f>
        <v>64744.213888888888</v>
      </c>
      <c r="Y125" s="46">
        <f>IF($P125=21,0.0583333333333333*$W125*$K125/30,0.0833333333333333*$W125*$K125/30)</f>
        <v>56754.674128614868</v>
      </c>
      <c r="Z125" s="46">
        <f>IFERROR(IF($W125&gt;=360,IF(O125&gt;4,IF($N125=$AH$23,VLOOKUP($E125,$AF$4:$AG$22,2,0)*4,VLOOKUP($E125,$AF$4:$AG$22,2,0)),IF($N125=$AH$23,VLOOKUP($E125,$AF$4:$AG$22,2,0)*O125,VLOOKUP($E125,$AF$4:$AG$22,2,0))),(IF(O125&gt;4,IF($N125=$AH$23,VLOOKUP($E125,$AF$4:$AG$22,2,0)*4,VLOOKUP($E125,$AF$4:$AG$22,2,0)),IF($N125=$AH$23,VLOOKUP($E125,$AF$4:$AG$22,2,0)*O125,VLOOKUP($E125,$AF$4:$AG$22,2,0))))/360*$W125),0)</f>
        <v>0</v>
      </c>
      <c r="AA125" s="49">
        <f>Table1[[#This Row],[نهاية الخدمة2]]-Table1[[#This Row],[نهاية الخدمة]]</f>
        <v>562.04722222222335</v>
      </c>
      <c r="AB125" s="49">
        <f>Table1[[#This Row],[رصيد اجازات2]]-Table1[[#This Row],[رصيد اجازات]]</f>
        <v>388.04356164382625</v>
      </c>
      <c r="AC125" s="49">
        <f>Table1[[#This Row],[تذاكر سفر2]]-Table1[[#This Row],[تذاكر سفر]]</f>
        <v>0</v>
      </c>
      <c r="AD125" s="5"/>
      <c r="AE125" s="5"/>
      <c r="AF125" s="5"/>
      <c r="AG125" s="5"/>
    </row>
    <row r="126" spans="1:33" ht="21.95" customHeight="1" x14ac:dyDescent="0.35">
      <c r="A126" s="32">
        <f>SUBTOTAL(3,C$3:$C126)</f>
        <v>124</v>
      </c>
      <c r="B126" s="30" t="s">
        <v>200</v>
      </c>
      <c r="C126" s="34" t="s">
        <v>75</v>
      </c>
      <c r="D126" s="50">
        <v>136401101102</v>
      </c>
      <c r="E126" s="51" t="s">
        <v>30</v>
      </c>
      <c r="F126" s="52">
        <v>40179</v>
      </c>
      <c r="G126" s="51">
        <v>35201</v>
      </c>
      <c r="H126" s="51">
        <v>5032</v>
      </c>
      <c r="I126" s="51">
        <v>252</v>
      </c>
      <c r="J126" s="51">
        <v>0</v>
      </c>
      <c r="K126" s="51">
        <f t="shared" si="4"/>
        <v>40485</v>
      </c>
      <c r="L126" s="52" t="s">
        <v>21</v>
      </c>
      <c r="M126" s="52" t="s">
        <v>21</v>
      </c>
      <c r="N126" s="51" t="s">
        <v>24</v>
      </c>
      <c r="O126" s="51">
        <v>0</v>
      </c>
      <c r="P126" s="53">
        <v>21</v>
      </c>
      <c r="Q126" s="54">
        <f>IF(F126&gt;0,DATEDIF($F126,Employee!$U$1,"Y")*12*30+DATEDIF($F126,Employee!$U$1,"YM")*30+DATEDIF($F126,Employee!$U$1,"MD")+1,0)</f>
        <v>4440</v>
      </c>
      <c r="R126" s="51">
        <f>IF(F126&gt;0,IF(M126=$AG$23,0,IF($M126=$AF$23,DATEDIF($F126,Employee!$U$1,"D")-(DATEDIF($F126,Employee!$U$1,"D")*5/365)+1,DATEDIF($M126,Employee!$U$1,"D")-(DATEDIF($M126,Employee!$U$1,"D")*5/365)+1)),0)</f>
        <v>4441.3287671232874</v>
      </c>
      <c r="S126" s="51"/>
      <c r="T126" s="51"/>
      <c r="U126" s="55">
        <f>IFERROR(IF($R126&gt;=360,IF(O126&gt;4,IF($N126=$AH$23,VLOOKUP($E126,$AF$4:$AG$22,2,0)*4,VLOOKUP($E126,$AF$4:$AG$22,2,0)),IF($N126=$AH$23,VLOOKUP($E126,$AF$4:$AG$22,2,0)*O126,VLOOKUP($E126,$AF$4:$AG$22,2,0))),(IF(O126&gt;4,IF($N126=$AH$23,VLOOKUP($E126,$AF$4:$AG$22,2,0)*4,VLOOKUP($E126,$AF$4:$AG$22,2,0)),IF($N126=$AH$23,VLOOKUP($E126,$AF$4:$AG$22,2,0)*O126,VLOOKUP($E126,$AF$4:$AG$22,2,0))))/360*$R126),0)</f>
        <v>0</v>
      </c>
      <c r="V126" s="56">
        <f>IF(F126&gt;0,DATEDIF($F126,Employee!$Z$1,"Y")*12*30+DATEDIF($F126,Employee!$Z$1,"YM")*30+DATEDIF($F126,Employee!$Z$1,"MD")+1,0)</f>
        <v>4471</v>
      </c>
      <c r="W126" s="51">
        <f>IF(F126&gt;0,IF(M126=$AG$23,0,IF($M126=$AF$23,DATEDIF($F126,Employee!$Z$1,"D")-(DATEDIF($F126,Employee!$Z$1,"D")*5/365)+1,DATEDIF($M126,Employee!$Z$1,"D")-(DATEDIF($M126,Employee!$Z$1,"D")*5/365)+1)),0)</f>
        <v>4471.9041095890407</v>
      </c>
      <c r="X126" s="51">
        <f>IF($V126&lt;=1800,($V126/360*$K126)*0.5,($V126-1800)/360*$K126+1800/360*$K126*0.5)</f>
        <v>401588.70833333331</v>
      </c>
      <c r="Y126" s="51">
        <f>IF($P126=21,0.0583333333333333*$W126*$K126/30,0.0833333333333333*$W126*$K126/30)</f>
        <v>352032.01809360704</v>
      </c>
      <c r="Z126" s="51">
        <f>IFERROR(IF($W126&gt;=360,IF(O126&gt;4,IF($N126=$AH$23,VLOOKUP($E126,$AF$4:$AG$22,2,0)*4,VLOOKUP($E126,$AF$4:$AG$22,2,0)),IF($N126=$AH$23,VLOOKUP($E126,$AF$4:$AG$22,2,0)*O126,VLOOKUP($E126,$AF$4:$AG$22,2,0))),(IF(O126&gt;4,IF($N126=$AH$23,VLOOKUP($E126,$AF$4:$AG$22,2,0)*4,VLOOKUP($E126,$AF$4:$AG$22,2,0)),IF($N126=$AH$23,VLOOKUP($E126,$AF$4:$AG$22,2,0)*O126,VLOOKUP($E126,$AF$4:$AG$22,2,0))))/360*$W126),0)</f>
        <v>0</v>
      </c>
      <c r="AA126" s="57">
        <f>Table1[[#This Row],[نهاية الخدمة2]]-Table1[[#This Row],[نهاية الخدمة]]</f>
        <v>401588.70833333331</v>
      </c>
      <c r="AB126" s="57">
        <f>Table1[[#This Row],[رصيد اجازات2]]-Table1[[#This Row],[رصيد اجازات]]</f>
        <v>352032.01809360704</v>
      </c>
      <c r="AC126" s="58">
        <f>Table1[[#This Row],[تذاكر سفر2]]-Table1[[#This Row],[تذاكر سفر]]</f>
        <v>0</v>
      </c>
      <c r="AD126" s="5"/>
      <c r="AE126" s="5"/>
      <c r="AF126" s="5"/>
      <c r="AG126" s="5"/>
    </row>
    <row r="127" spans="1:33" ht="22.5" customHeight="1" x14ac:dyDescent="0.45">
      <c r="A127" s="35" t="s">
        <v>43</v>
      </c>
      <c r="B127" s="35"/>
      <c r="C127" s="36"/>
      <c r="D127" s="19"/>
      <c r="E127" s="17"/>
      <c r="F127" s="17"/>
      <c r="G127" s="18">
        <f>SUBTOTAL(109,Table1[الراتب الاساسي])</f>
        <v>2494074</v>
      </c>
      <c r="H127" s="18">
        <f>SUBTOTAL(109,Table1[بدل سكن])</f>
        <v>374046</v>
      </c>
      <c r="I127" s="18">
        <f>SUBTOTAL(109,Table1[[بدل انتقال ]])</f>
        <v>46624</v>
      </c>
      <c r="J127" s="18">
        <f>SUBTOTAL(109,Table1[اخرى])</f>
        <v>3200</v>
      </c>
      <c r="K127" s="18">
        <f>SUBTOTAL(109,Table1[اجمالي الراتب])</f>
        <v>2917944</v>
      </c>
      <c r="L127" s="18">
        <f>SUBTOTAL(109,Table1[تاريخ اخر  اجازة])</f>
        <v>2866263</v>
      </c>
      <c r="M127" s="18">
        <f>SUBTOTAL(109,Table1[تاريخ اخر مباشرة عمل])</f>
        <v>2737298</v>
      </c>
      <c r="N127" s="18">
        <f>SUBTOTAL(109,Table1[نوع عقد العمل])</f>
        <v>0</v>
      </c>
      <c r="O127" s="18">
        <f>SUBTOTAL(109,Table1[اعداد المرافقين])</f>
        <v>12</v>
      </c>
      <c r="P127" s="18">
        <f>SUBTOTAL(109,Table1[ايام الاجازة / السنة])</f>
        <v>2919</v>
      </c>
      <c r="Q127" s="37">
        <f>SUBTOTAL(109,Table1[مدة الخدمة/اليوم])</f>
        <v>550560</v>
      </c>
      <c r="R127" s="18">
        <f>SUBTOTAL(109,Table1[مدة الاجازة المستحقة باليوم])</f>
        <v>290132.05479452037</v>
      </c>
      <c r="S127" s="18">
        <f>SUBTOTAL(109,$S$3:$S$126)</f>
        <v>27832728.833333351</v>
      </c>
      <c r="T127" s="18">
        <f>SUBTOTAL(109,$T$3:$T$126)</f>
        <v>13351821.2825076</v>
      </c>
      <c r="U127" s="18">
        <f>SUBTOTAL(109,$U$3:$U$126)</f>
        <v>151861.78462709283</v>
      </c>
      <c r="V127" s="18"/>
      <c r="W127" s="18"/>
      <c r="X127" s="18">
        <f>SUBTOTAL(109,$X$3:$X$126)</f>
        <v>28944383.399999946</v>
      </c>
      <c r="Y127" s="18">
        <f>SUBTOTAL(109,$Y$3:$Y$126)</f>
        <v>14294572.54652206</v>
      </c>
      <c r="Z127" s="18">
        <f>SUBTOTAL(109,$Z$3:$Z$126)</f>
        <v>156456.52207001526</v>
      </c>
      <c r="AA127" s="18">
        <f>SUBTOTAL(109,Table1[نهاية الخدمة3])</f>
        <v>1111654.5666666657</v>
      </c>
      <c r="AB127" s="18">
        <f>SUBTOTAL(109,Table1[رصيد اجازات3])</f>
        <v>942751.26401445689</v>
      </c>
      <c r="AC127" s="20">
        <f>SUBTOTAL(109,Table1[تذاكر سفر3])</f>
        <v>4594.7374429223737</v>
      </c>
      <c r="AD127" s="5"/>
      <c r="AE127" s="5"/>
      <c r="AF127" s="5"/>
      <c r="AG127" s="5"/>
    </row>
  </sheetData>
  <mergeCells count="3">
    <mergeCell ref="Q1:T1"/>
    <mergeCell ref="V1:Y1"/>
    <mergeCell ref="AA1:AC1"/>
  </mergeCells>
  <phoneticPr fontId="16" type="noConversion"/>
  <conditionalFormatting sqref="C1">
    <cfRule type="expression" dxfId="3" priority="45">
      <formula>AND(COUNTIF($C:$C,C1)&gt;1,NOT(ISBLANK(C1)))</formula>
    </cfRule>
  </conditionalFormatting>
  <conditionalFormatting sqref="D1">
    <cfRule type="expression" dxfId="2" priority="46">
      <formula>AND(COUNTIF($D:$D,D1)&gt;1,NOT(ISBLANK(D1)))</formula>
    </cfRule>
  </conditionalFormatting>
  <conditionalFormatting sqref="B1">
    <cfRule type="expression" dxfId="1" priority="677">
      <formula>AND(COUNTIF($B$2:$B$60,B1)+COUNTIF($B$109:$B$127,B1)&gt;1,NOT(ISBLANK(B1)))</formula>
    </cfRule>
  </conditionalFormatting>
  <conditionalFormatting sqref="D1">
    <cfRule type="expression" dxfId="0" priority="678">
      <formula>AND(COUNTIF($D$109:$D$127,D110)+COUNTIF($D$2:$D$3,D110)&gt;1,NOT(ISBLANK(D110)))</formula>
    </cfRule>
  </conditionalFormatting>
  <dataValidations count="5">
    <dataValidation type="custom" allowBlank="1" showInputMessage="1" showErrorMessage="1" errorTitle="خطأ تكرار" error="انتبه البيان مكرر من قبل" sqref="D3:D126" xr:uid="{B5D572DC-0609-41DD-9E87-C10A02D4CB1D}">
      <formula1>"countif(D3:$D$129)"</formula1>
    </dataValidation>
    <dataValidation allowBlank="1" showErrorMessage="1" errorTitle="انتبه خطأ" error="خطأ مكرر هذا الاسم مسجل من قبل " sqref="C1 A69:A126 C3:C126" xr:uid="{00000000-0002-0000-0100-000001000000}"/>
    <dataValidation type="custom" allowBlank="1" showInputMessage="1" showErrorMessage="1" errorTitle="انتبه &quot;لا تكتب هنا &quot;" error="معادلات محاسبية يتم الجمع تلقائيا" promptTitle="انتبه &quot;لا تكتب هنامعادلات &quot;" sqref="K1 K3:K126" xr:uid="{00000000-0002-0000-0100-000003000000}">
      <formula1>"K3+L3+M3+N3"</formula1>
      <formula2>0</formula2>
    </dataValidation>
    <dataValidation type="custom" allowBlank="1" showErrorMessage="1" errorTitle="انتبه &quot; لا تكتب هنا &quot;" error="معادلات محاسبية تعمل تلقائيا" sqref="T3:T126 Y3:Y126" xr:uid="{00000000-0002-0000-0100-000002000000}">
      <formula1>IF($P3=21,0.0583333333333333*$R3*$K3/30,0.0833333333333333*$R3*$K3/30)</formula1>
    </dataValidation>
    <dataValidation type="list" allowBlank="1" showErrorMessage="1" sqref="AH23" xr:uid="{00000000-0002-0000-0100-000004000000}">
      <formula1>"عقد عمل عائلى ,عقد عمل فرد"</formula1>
      <formula2>0</formula2>
    </dataValidation>
  </dataValidations>
  <pageMargins left="0.15748031496062992" right="0.15748031496062992" top="0.39370078740157483" bottom="0.39370078740157483" header="0.15748031496062992" footer="0.15748031496062992"/>
  <pageSetup paperSize="9" firstPageNumber="0" orientation="landscape" horizontalDpi="300" verticalDpi="300" r:id="rId1"/>
  <headerFooter>
    <oddHeader>&amp;Cمخصصات الموظفين عن ديسمبر2021</oddHeader>
    <oddFooter xml:space="preserve">&amp;CPage &amp;P            &amp;R&amp;F                       </oddFooter>
  </headerFooter>
  <ignoredErrors>
    <ignoredError sqref="K3:K119 K120:K126" listDataValidation="1"/>
    <ignoredError sqref="X3:Z116 Y117:Z117 X118:Z119 W4:W119 W3" calculatedColumn="1"/>
    <ignoredError sqref="AA3:AC119" unlockedFormula="1" calculatedColumn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Employee</vt:lpstr>
      <vt:lpstr>Employee!Excel_BuiltIn__FilterDatabase</vt:lpstr>
      <vt:lpstr>Employee!Excel_BuiltIn_Print_Titles</vt:lpstr>
      <vt:lpstr>Employee!Print_Titles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Ahmed Abualmagd</dc:creator>
  <dc:description/>
  <cp:lastModifiedBy>Ahmed AbuAlmjd</cp:lastModifiedBy>
  <cp:revision>0</cp:revision>
  <cp:lastPrinted>2022-05-12T13:29:12Z</cp:lastPrinted>
  <dcterms:created xsi:type="dcterms:W3CDTF">2020-10-11T06:44:37Z</dcterms:created>
  <dcterms:modified xsi:type="dcterms:W3CDTF">2022-05-26T09:45:12Z</dcterms:modified>
  <dc:language>en-US</dc:language>
</cp:coreProperties>
</file>